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pooja\Downloads\"/>
    </mc:Choice>
  </mc:AlternateContent>
  <xr:revisionPtr revIDLastSave="0" documentId="8_{19527238-4ABC-4FF8-88DB-2F93927D244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2.1" sheetId="1" r:id="rId1"/>
    <sheet name="2.2." sheetId="2" r:id="rId2"/>
    <sheet name="2.3." sheetId="13" r:id="rId3"/>
    <sheet name="2.4." sheetId="5" r:id="rId4"/>
    <sheet name="2.4.TestDecision2022Q1" sheetId="7" r:id="rId5"/>
    <sheet name="2.5.6. Build portfolio" sheetId="10" r:id="rId6"/>
    <sheet name="2019-2021" sheetId="14" r:id="rId7"/>
    <sheet name="7.BAC_2022_Q1" sheetId="15" r:id="rId8"/>
    <sheet name="7.CITI_2022Q1 " sheetId="16" r:id="rId9"/>
    <sheet name="7.CompareActual2022Q1" sheetId="17" r:id="rId10"/>
  </sheets>
  <externalReferences>
    <externalReference r:id="rId11"/>
    <externalReference r:id="rId12"/>
    <externalReference r:id="rId13"/>
  </externalReferences>
  <definedNames>
    <definedName name="Delta_t" localSheetId="8">'7.CITI_2022Q1 '!$B$5</definedName>
    <definedName name="Delta_t">[1]BAC_2022_Q1!$B$5</definedName>
    <definedName name="Mu" localSheetId="8">'7.CITI_2022Q1 '!$B$3</definedName>
    <definedName name="Mu">[1]BAC_2022_Q1!$B$3</definedName>
    <definedName name="portfolio_mean">'[2]Page 301'!$B$17</definedName>
    <definedName name="Portfolio_sigma">'[2]Page 301'!$B$18</definedName>
    <definedName name="Sigma" localSheetId="8">'7.CITI_2022Q1 '!$B$4</definedName>
    <definedName name="Sigma">[1]BAC_2022_Q1!$B$4</definedName>
    <definedName name="solver_adj" localSheetId="5" hidden="1">'2.5.6. Build portfolio'!$I$4:$I$5</definedName>
    <definedName name="solver_cvg" localSheetId="5" hidden="1">0.0001</definedName>
    <definedName name="solver_drv" localSheetId="5" hidden="1">2</definedName>
    <definedName name="solver_eng" localSheetId="5" hidden="1">1</definedName>
    <definedName name="solver_est" localSheetId="5" hidden="1">1</definedName>
    <definedName name="solver_itr" localSheetId="5" hidden="1">2147483647</definedName>
    <definedName name="solver_lhs1" localSheetId="5" hidden="1">'2.5.6. Build portfolio'!$I$6</definedName>
    <definedName name="solver_lhs2" localSheetId="5" hidden="1">'2.5.6. Build portfolio'!$I$6</definedName>
    <definedName name="solver_mip" localSheetId="5" hidden="1">2147483647</definedName>
    <definedName name="solver_mni" localSheetId="5" hidden="1">30</definedName>
    <definedName name="solver_mrt" localSheetId="5" hidden="1">0.075</definedName>
    <definedName name="solver_msl" localSheetId="5" hidden="1">2</definedName>
    <definedName name="solver_neg" localSheetId="5" hidden="1">1</definedName>
    <definedName name="solver_nod" localSheetId="5" hidden="1">2147483647</definedName>
    <definedName name="solver_num" localSheetId="5" hidden="1">2</definedName>
    <definedName name="solver_nwt" localSheetId="5" hidden="1">1</definedName>
    <definedName name="solver_opt" localSheetId="5" hidden="1">'2.5.6. Build portfolio'!$I$9</definedName>
    <definedName name="solver_pre" localSheetId="5" hidden="1">0.000001</definedName>
    <definedName name="solver_rbv" localSheetId="5" hidden="1">2</definedName>
    <definedName name="solver_rel1" localSheetId="5" hidden="1">2</definedName>
    <definedName name="solver_rel2" localSheetId="5" hidden="1">2</definedName>
    <definedName name="solver_rhs1" localSheetId="5" hidden="1">1</definedName>
    <definedName name="solver_rhs2" localSheetId="5" hidden="1">1</definedName>
    <definedName name="solver_rlx" localSheetId="5" hidden="1">2</definedName>
    <definedName name="solver_rsd" localSheetId="5" hidden="1">0</definedName>
    <definedName name="solver_scl" localSheetId="5" hidden="1">2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0.01</definedName>
    <definedName name="solver_typ" localSheetId="5" hidden="1">1</definedName>
    <definedName name="solver_val" localSheetId="5" hidden="1">0</definedName>
    <definedName name="solver_ver" localSheetId="5" hidden="1">3</definedName>
    <definedName name="varcov">'[3]Efficient port 1 step (names)'!$B$4:$E$7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5" i="17" l="1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B3" i="17"/>
  <c r="A3" i="17"/>
  <c r="B5" i="16"/>
  <c r="B5" i="15"/>
  <c r="B4" i="15"/>
  <c r="B3" i="15"/>
  <c r="B2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D192" i="14"/>
  <c r="C192" i="14"/>
  <c r="D191" i="14"/>
  <c r="C191" i="14"/>
  <c r="D190" i="14"/>
  <c r="C190" i="14"/>
  <c r="D189" i="14"/>
  <c r="C189" i="14"/>
  <c r="D188" i="14"/>
  <c r="C188" i="14"/>
  <c r="D187" i="14"/>
  <c r="C187" i="14"/>
  <c r="D186" i="14"/>
  <c r="C186" i="14"/>
  <c r="D185" i="14"/>
  <c r="C185" i="14"/>
  <c r="D184" i="14"/>
  <c r="C184" i="14"/>
  <c r="D183" i="14"/>
  <c r="C183" i="14"/>
  <c r="D182" i="14"/>
  <c r="C182" i="14"/>
  <c r="D181" i="14"/>
  <c r="C181" i="14"/>
  <c r="D180" i="14"/>
  <c r="C180" i="14"/>
  <c r="D179" i="14"/>
  <c r="C179" i="14"/>
  <c r="D178" i="14"/>
  <c r="C178" i="14"/>
  <c r="D177" i="14"/>
  <c r="C177" i="14"/>
  <c r="D176" i="14"/>
  <c r="C176" i="14"/>
  <c r="D175" i="14"/>
  <c r="C175" i="14"/>
  <c r="D174" i="14"/>
  <c r="C174" i="14"/>
  <c r="D173" i="14"/>
  <c r="C173" i="14"/>
  <c r="D172" i="14"/>
  <c r="C172" i="14"/>
  <c r="D171" i="14"/>
  <c r="C171" i="14"/>
  <c r="D170" i="14"/>
  <c r="C170" i="14"/>
  <c r="D169" i="14"/>
  <c r="C169" i="14"/>
  <c r="D168" i="14"/>
  <c r="C168" i="14"/>
  <c r="D167" i="14"/>
  <c r="C167" i="14"/>
  <c r="D166" i="14"/>
  <c r="C166" i="14"/>
  <c r="D165" i="14"/>
  <c r="C165" i="14"/>
  <c r="D164" i="14"/>
  <c r="C164" i="14"/>
  <c r="D163" i="14"/>
  <c r="C163" i="14"/>
  <c r="D162" i="14"/>
  <c r="C162" i="14"/>
  <c r="D161" i="14"/>
  <c r="C161" i="14"/>
  <c r="D160" i="14"/>
  <c r="C160" i="14"/>
  <c r="D159" i="14"/>
  <c r="C159" i="14"/>
  <c r="D158" i="14"/>
  <c r="C158" i="14"/>
  <c r="D157" i="14"/>
  <c r="C157" i="14"/>
  <c r="D156" i="14"/>
  <c r="C156" i="14"/>
  <c r="D155" i="14"/>
  <c r="C155" i="14"/>
  <c r="D154" i="14"/>
  <c r="C154" i="14"/>
  <c r="D153" i="14"/>
  <c r="C153" i="14"/>
  <c r="D152" i="14"/>
  <c r="C152" i="14"/>
  <c r="D151" i="14"/>
  <c r="C151" i="14"/>
  <c r="D150" i="14"/>
  <c r="C150" i="14"/>
  <c r="D149" i="14"/>
  <c r="C149" i="14"/>
  <c r="D148" i="14"/>
  <c r="B2" i="14" s="1"/>
  <c r="C148" i="14"/>
  <c r="D147" i="14"/>
  <c r="C147" i="14"/>
  <c r="D146" i="14"/>
  <c r="C146" i="14"/>
  <c r="D145" i="14"/>
  <c r="C145" i="14"/>
  <c r="D144" i="14"/>
  <c r="C144" i="14"/>
  <c r="D143" i="14"/>
  <c r="C143" i="14"/>
  <c r="D142" i="14"/>
  <c r="C142" i="14"/>
  <c r="D141" i="14"/>
  <c r="C141" i="14"/>
  <c r="D140" i="14"/>
  <c r="C140" i="14"/>
  <c r="D139" i="14"/>
  <c r="C139" i="14"/>
  <c r="D138" i="14"/>
  <c r="C138" i="14"/>
  <c r="D137" i="14"/>
  <c r="C137" i="14"/>
  <c r="D136" i="14"/>
  <c r="C136" i="14"/>
  <c r="D135" i="14"/>
  <c r="C135" i="14"/>
  <c r="D134" i="14"/>
  <c r="C134" i="14"/>
  <c r="D133" i="14"/>
  <c r="C133" i="14"/>
  <c r="D132" i="14"/>
  <c r="C132" i="14"/>
  <c r="D131" i="14"/>
  <c r="C131" i="14"/>
  <c r="D130" i="14"/>
  <c r="C130" i="14"/>
  <c r="D129" i="14"/>
  <c r="C129" i="14"/>
  <c r="D128" i="14"/>
  <c r="C128" i="14"/>
  <c r="D127" i="14"/>
  <c r="C127" i="14"/>
  <c r="D126" i="14"/>
  <c r="C126" i="14"/>
  <c r="D125" i="14"/>
  <c r="C125" i="14"/>
  <c r="D124" i="14"/>
  <c r="C124" i="14"/>
  <c r="D123" i="14"/>
  <c r="C123" i="14"/>
  <c r="D122" i="14"/>
  <c r="C122" i="14"/>
  <c r="D121" i="14"/>
  <c r="C121" i="14"/>
  <c r="D120" i="14"/>
  <c r="C120" i="14"/>
  <c r="D119" i="14"/>
  <c r="C119" i="14"/>
  <c r="D118" i="14"/>
  <c r="C118" i="14"/>
  <c r="D117" i="14"/>
  <c r="C117" i="14"/>
  <c r="D116" i="14"/>
  <c r="C116" i="14"/>
  <c r="D115" i="14"/>
  <c r="C115" i="14"/>
  <c r="D114" i="14"/>
  <c r="C114" i="14"/>
  <c r="D113" i="14"/>
  <c r="C113" i="14"/>
  <c r="D112" i="14"/>
  <c r="C112" i="14"/>
  <c r="D111" i="14"/>
  <c r="C111" i="14"/>
  <c r="D110" i="14"/>
  <c r="C110" i="14"/>
  <c r="D109" i="14"/>
  <c r="C109" i="14"/>
  <c r="D108" i="14"/>
  <c r="C108" i="14"/>
  <c r="D107" i="14"/>
  <c r="C107" i="14"/>
  <c r="D106" i="14"/>
  <c r="C106" i="14"/>
  <c r="D105" i="14"/>
  <c r="C105" i="14"/>
  <c r="D104" i="14"/>
  <c r="C104" i="14"/>
  <c r="D103" i="14"/>
  <c r="C103" i="14"/>
  <c r="D102" i="14"/>
  <c r="C102" i="14"/>
  <c r="D101" i="14"/>
  <c r="C101" i="14"/>
  <c r="D100" i="14"/>
  <c r="C100" i="14"/>
  <c r="D99" i="14"/>
  <c r="C99" i="14"/>
  <c r="D98" i="14"/>
  <c r="C98" i="14"/>
  <c r="D97" i="14"/>
  <c r="C97" i="14"/>
  <c r="D96" i="14"/>
  <c r="C96" i="14"/>
  <c r="D95" i="14"/>
  <c r="C95" i="14"/>
  <c r="D94" i="14"/>
  <c r="C94" i="14"/>
  <c r="D93" i="14"/>
  <c r="C93" i="14"/>
  <c r="D92" i="14"/>
  <c r="C92" i="14"/>
  <c r="D91" i="14"/>
  <c r="C91" i="14"/>
  <c r="D90" i="14"/>
  <c r="C90" i="14"/>
  <c r="D89" i="14"/>
  <c r="C89" i="14"/>
  <c r="D88" i="14"/>
  <c r="C88" i="14"/>
  <c r="D87" i="14"/>
  <c r="C87" i="14"/>
  <c r="D86" i="14"/>
  <c r="C86" i="14"/>
  <c r="D85" i="14"/>
  <c r="C85" i="14"/>
  <c r="D84" i="14"/>
  <c r="C84" i="14"/>
  <c r="D83" i="14"/>
  <c r="C83" i="14"/>
  <c r="D82" i="14"/>
  <c r="C82" i="14"/>
  <c r="D81" i="14"/>
  <c r="C81" i="14"/>
  <c r="D80" i="14"/>
  <c r="C80" i="14"/>
  <c r="D79" i="14"/>
  <c r="C79" i="14"/>
  <c r="D78" i="14"/>
  <c r="C78" i="14"/>
  <c r="D77" i="14"/>
  <c r="C77" i="14"/>
  <c r="D76" i="14"/>
  <c r="C76" i="14"/>
  <c r="D75" i="14"/>
  <c r="C75" i="14"/>
  <c r="D74" i="14"/>
  <c r="C74" i="14"/>
  <c r="D73" i="14"/>
  <c r="C73" i="14"/>
  <c r="D72" i="14"/>
  <c r="C72" i="14"/>
  <c r="D71" i="14"/>
  <c r="C71" i="14"/>
  <c r="D70" i="14"/>
  <c r="C70" i="14"/>
  <c r="D69" i="14"/>
  <c r="C69" i="14"/>
  <c r="D68" i="14"/>
  <c r="C68" i="14"/>
  <c r="D67" i="14"/>
  <c r="C67" i="14"/>
  <c r="D66" i="14"/>
  <c r="C66" i="14"/>
  <c r="D65" i="14"/>
  <c r="C65" i="14"/>
  <c r="D64" i="14"/>
  <c r="C64" i="14"/>
  <c r="D63" i="14"/>
  <c r="C63" i="14"/>
  <c r="D62" i="14"/>
  <c r="C62" i="14"/>
  <c r="D61" i="14"/>
  <c r="C61" i="14"/>
  <c r="D60" i="14"/>
  <c r="C60" i="14"/>
  <c r="D59" i="14"/>
  <c r="C59" i="14"/>
  <c r="D58" i="14"/>
  <c r="C58" i="14"/>
  <c r="D57" i="14"/>
  <c r="C57" i="14"/>
  <c r="D56" i="14"/>
  <c r="C56" i="14"/>
  <c r="D55" i="14"/>
  <c r="C55" i="14"/>
  <c r="D54" i="14"/>
  <c r="C54" i="14"/>
  <c r="D53" i="14"/>
  <c r="C53" i="14"/>
  <c r="D52" i="14"/>
  <c r="C52" i="14"/>
  <c r="D51" i="14"/>
  <c r="C51" i="14"/>
  <c r="D50" i="14"/>
  <c r="C50" i="14"/>
  <c r="D49" i="14"/>
  <c r="C49" i="14"/>
  <c r="D48" i="14"/>
  <c r="C48" i="14"/>
  <c r="D47" i="14"/>
  <c r="C47" i="14"/>
  <c r="D46" i="14"/>
  <c r="C46" i="14"/>
  <c r="D45" i="14"/>
  <c r="C45" i="14"/>
  <c r="D44" i="14"/>
  <c r="C44" i="14"/>
  <c r="D43" i="14"/>
  <c r="C43" i="14"/>
  <c r="D42" i="14"/>
  <c r="C42" i="14"/>
  <c r="D41" i="14"/>
  <c r="C41" i="14"/>
  <c r="D40" i="14"/>
  <c r="C40" i="14"/>
  <c r="D39" i="14"/>
  <c r="C39" i="14"/>
  <c r="D38" i="14"/>
  <c r="C38" i="14"/>
  <c r="D37" i="14"/>
  <c r="C37" i="14"/>
  <c r="D36" i="14"/>
  <c r="C36" i="14"/>
  <c r="D35" i="14"/>
  <c r="C35" i="14"/>
  <c r="D34" i="14"/>
  <c r="C34" i="14"/>
  <c r="D33" i="14"/>
  <c r="C33" i="14"/>
  <c r="D32" i="14"/>
  <c r="C32" i="14"/>
  <c r="D31" i="14"/>
  <c r="C31" i="14"/>
  <c r="D30" i="14"/>
  <c r="C30" i="14"/>
  <c r="D29" i="14"/>
  <c r="C29" i="14"/>
  <c r="D28" i="14"/>
  <c r="C28" i="14"/>
  <c r="D27" i="14"/>
  <c r="C27" i="14"/>
  <c r="D26" i="14"/>
  <c r="C26" i="14"/>
  <c r="D25" i="14"/>
  <c r="C25" i="14"/>
  <c r="D24" i="14"/>
  <c r="C24" i="14"/>
  <c r="D23" i="14"/>
  <c r="C23" i="14"/>
  <c r="D22" i="14"/>
  <c r="C22" i="14"/>
  <c r="D21" i="14"/>
  <c r="C21" i="14"/>
  <c r="D20" i="14"/>
  <c r="C20" i="14"/>
  <c r="D19" i="14"/>
  <c r="C19" i="14"/>
  <c r="D18" i="14"/>
  <c r="C18" i="14"/>
  <c r="D17" i="14"/>
  <c r="C17" i="14"/>
  <c r="D16" i="14"/>
  <c r="C16" i="14"/>
  <c r="D15" i="14"/>
  <c r="C15" i="14"/>
  <c r="D14" i="14"/>
  <c r="C14" i="14"/>
  <c r="D13" i="14"/>
  <c r="C13" i="14"/>
  <c r="D12" i="14"/>
  <c r="C12" i="14"/>
  <c r="D11" i="14"/>
  <c r="C11" i="14"/>
  <c r="D10" i="14"/>
  <c r="B3" i="14" s="1"/>
  <c r="B4" i="14" s="1"/>
  <c r="C10" i="14"/>
  <c r="C9" i="14"/>
  <c r="B6" i="14"/>
  <c r="C5" i="14"/>
  <c r="B5" i="14"/>
  <c r="B2" i="16"/>
  <c r="E4" i="16"/>
  <c r="E4" i="15"/>
  <c r="C9" i="15" l="1"/>
  <c r="C10" i="15" s="1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C42" i="15" s="1"/>
  <c r="C43" i="15" s="1"/>
  <c r="C44" i="15" s="1"/>
  <c r="C45" i="15" s="1"/>
  <c r="C46" i="15" s="1"/>
  <c r="C47" i="15" s="1"/>
  <c r="C48" i="15" s="1"/>
  <c r="C49" i="15" s="1"/>
  <c r="C50" i="15" s="1"/>
  <c r="C51" i="15" s="1"/>
  <c r="C52" i="15" s="1"/>
  <c r="C53" i="15" s="1"/>
  <c r="C54" i="15" s="1"/>
  <c r="C55" i="15" s="1"/>
  <c r="C56" i="15" s="1"/>
  <c r="C57" i="15" s="1"/>
  <c r="C58" i="15" s="1"/>
  <c r="C59" i="15" s="1"/>
  <c r="C60" i="15" s="1"/>
  <c r="C61" i="15" s="1"/>
  <c r="C62" i="15" s="1"/>
  <c r="C63" i="15" s="1"/>
  <c r="C64" i="15" s="1"/>
  <c r="C65" i="15" s="1"/>
  <c r="C66" i="15" s="1"/>
  <c r="C67" i="15" s="1"/>
  <c r="C68" i="15" s="1"/>
  <c r="C69" i="15" s="1"/>
  <c r="C70" i="15" s="1"/>
  <c r="C71" i="15" s="1"/>
  <c r="G9" i="15"/>
  <c r="G10" i="15" s="1"/>
  <c r="G11" i="15" s="1"/>
  <c r="G12" i="15" s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24" i="15" s="1"/>
  <c r="G25" i="15" s="1"/>
  <c r="G26" i="15" s="1"/>
  <c r="G27" i="15" s="1"/>
  <c r="G28" i="15" s="1"/>
  <c r="G29" i="15" s="1"/>
  <c r="G30" i="15" s="1"/>
  <c r="G31" i="15" s="1"/>
  <c r="G32" i="15" s="1"/>
  <c r="G33" i="15" s="1"/>
  <c r="G34" i="15" s="1"/>
  <c r="G35" i="15" s="1"/>
  <c r="G36" i="15" s="1"/>
  <c r="G37" i="15" s="1"/>
  <c r="G38" i="15" s="1"/>
  <c r="G39" i="15" s="1"/>
  <c r="G40" i="15" s="1"/>
  <c r="G41" i="15" s="1"/>
  <c r="G42" i="15" s="1"/>
  <c r="G43" i="15" s="1"/>
  <c r="G44" i="15" s="1"/>
  <c r="G45" i="15" s="1"/>
  <c r="G46" i="15" s="1"/>
  <c r="G47" i="15" s="1"/>
  <c r="G48" i="15" s="1"/>
  <c r="G49" i="15" s="1"/>
  <c r="G50" i="15" s="1"/>
  <c r="G51" i="15" s="1"/>
  <c r="G52" i="15" s="1"/>
  <c r="G53" i="15" s="1"/>
  <c r="G54" i="15" s="1"/>
  <c r="G55" i="15" s="1"/>
  <c r="G56" i="15" s="1"/>
  <c r="G57" i="15" s="1"/>
  <c r="G58" i="15" s="1"/>
  <c r="G59" i="15" s="1"/>
  <c r="G60" i="15" s="1"/>
  <c r="G61" i="15" s="1"/>
  <c r="G62" i="15" s="1"/>
  <c r="G63" i="15" s="1"/>
  <c r="G64" i="15" s="1"/>
  <c r="G65" i="15" s="1"/>
  <c r="G66" i="15" s="1"/>
  <c r="G67" i="15" s="1"/>
  <c r="G68" i="15" s="1"/>
  <c r="G69" i="15" s="1"/>
  <c r="G70" i="15" s="1"/>
  <c r="G71" i="15" s="1"/>
  <c r="K9" i="15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9" i="16"/>
  <c r="G9" i="16"/>
  <c r="C9" i="16"/>
  <c r="J9" i="16"/>
  <c r="F9" i="16"/>
  <c r="B9" i="16"/>
  <c r="H9" i="16"/>
  <c r="D9" i="16"/>
  <c r="I9" i="16"/>
  <c r="E9" i="16"/>
  <c r="E11" i="14"/>
  <c r="E13" i="14"/>
  <c r="E16" i="14"/>
  <c r="E25" i="14"/>
  <c r="E27" i="14"/>
  <c r="E29" i="14"/>
  <c r="E31" i="14"/>
  <c r="E41" i="14"/>
  <c r="E43" i="14"/>
  <c r="E45" i="14"/>
  <c r="E47" i="14"/>
  <c r="E57" i="14"/>
  <c r="E59" i="14"/>
  <c r="E61" i="14"/>
  <c r="E63" i="14"/>
  <c r="E73" i="14"/>
  <c r="E75" i="14"/>
  <c r="E77" i="14"/>
  <c r="E79" i="14"/>
  <c r="E89" i="14"/>
  <c r="E91" i="14"/>
  <c r="E93" i="14"/>
  <c r="E95" i="14"/>
  <c r="E105" i="14"/>
  <c r="E107" i="14"/>
  <c r="E109" i="14"/>
  <c r="E111" i="14"/>
  <c r="E121" i="14"/>
  <c r="E123" i="14"/>
  <c r="E125" i="14"/>
  <c r="E127" i="14"/>
  <c r="E143" i="14"/>
  <c r="D9" i="15"/>
  <c r="D10" i="15" s="1"/>
  <c r="D11" i="15" s="1"/>
  <c r="D12" i="15" s="1"/>
  <c r="D13" i="15" s="1"/>
  <c r="D14" i="15" s="1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H9" i="15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E137" i="14"/>
  <c r="E139" i="14"/>
  <c r="E141" i="14"/>
  <c r="E153" i="14"/>
  <c r="E155" i="14"/>
  <c r="E157" i="14"/>
  <c r="E159" i="14"/>
  <c r="E169" i="14"/>
  <c r="E171" i="14"/>
  <c r="E173" i="14"/>
  <c r="E175" i="14"/>
  <c r="E185" i="14"/>
  <c r="E187" i="14"/>
  <c r="E189" i="14"/>
  <c r="E191" i="14"/>
  <c r="E9" i="15"/>
  <c r="E10" i="15" s="1"/>
  <c r="E11" i="15" s="1"/>
  <c r="E12" i="15" s="1"/>
  <c r="E13" i="15" s="1"/>
  <c r="E14" i="15" s="1"/>
  <c r="E15" i="15" s="1"/>
  <c r="E16" i="15" s="1"/>
  <c r="E17" i="15" s="1"/>
  <c r="E18" i="15" s="1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E32" i="15" s="1"/>
  <c r="E33" i="15" s="1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E47" i="15" s="1"/>
  <c r="E48" i="15" s="1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E62" i="15" s="1"/>
  <c r="E63" i="15" s="1"/>
  <c r="E64" i="15" s="1"/>
  <c r="E65" i="15" s="1"/>
  <c r="E66" i="15" s="1"/>
  <c r="E67" i="15" s="1"/>
  <c r="E68" i="15" s="1"/>
  <c r="E69" i="15" s="1"/>
  <c r="E70" i="15" s="1"/>
  <c r="E71" i="15" s="1"/>
  <c r="I9" i="15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B9" i="15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F9" i="15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E18" i="14"/>
  <c r="E22" i="14"/>
  <c r="E34" i="14"/>
  <c r="E38" i="14"/>
  <c r="E50" i="14"/>
  <c r="E54" i="14"/>
  <c r="E66" i="14"/>
  <c r="E70" i="14"/>
  <c r="E83" i="14"/>
  <c r="E87" i="14"/>
  <c r="E100" i="14"/>
  <c r="E116" i="14"/>
  <c r="E132" i="14"/>
  <c r="E147" i="14"/>
  <c r="E148" i="14"/>
  <c r="E163" i="14"/>
  <c r="E164" i="14"/>
  <c r="E167" i="14"/>
  <c r="E176" i="14"/>
  <c r="E179" i="14"/>
  <c r="E180" i="14"/>
  <c r="E183" i="14"/>
  <c r="E192" i="14"/>
  <c r="E20" i="14"/>
  <c r="E36" i="14"/>
  <c r="E52" i="14"/>
  <c r="E68" i="14"/>
  <c r="E84" i="14"/>
  <c r="E98" i="14"/>
  <c r="E102" i="14"/>
  <c r="E114" i="14"/>
  <c r="E118" i="14"/>
  <c r="E130" i="14"/>
  <c r="E134" i="14"/>
  <c r="E151" i="14"/>
  <c r="E10" i="14"/>
  <c r="E17" i="14"/>
  <c r="E24" i="14"/>
  <c r="E26" i="14"/>
  <c r="E33" i="14"/>
  <c r="E40" i="14"/>
  <c r="E42" i="14"/>
  <c r="E49" i="14"/>
  <c r="E56" i="14"/>
  <c r="E58" i="14"/>
  <c r="E65" i="14"/>
  <c r="E72" i="14"/>
  <c r="E81" i="14"/>
  <c r="E88" i="14"/>
  <c r="E97" i="14"/>
  <c r="E104" i="14"/>
  <c r="E106" i="14"/>
  <c r="E113" i="14"/>
  <c r="E120" i="14"/>
  <c r="E129" i="14"/>
  <c r="E136" i="14"/>
  <c r="E138" i="14"/>
  <c r="E145" i="14"/>
  <c r="E152" i="14"/>
  <c r="E161" i="14"/>
  <c r="E168" i="14"/>
  <c r="E177" i="14"/>
  <c r="E184" i="14"/>
  <c r="E12" i="14"/>
  <c r="E14" i="14"/>
  <c r="E15" i="14"/>
  <c r="E21" i="14"/>
  <c r="E28" i="14"/>
  <c r="E30" i="14"/>
  <c r="E37" i="14"/>
  <c r="E44" i="14"/>
  <c r="E46" i="14"/>
  <c r="E53" i="14"/>
  <c r="E60" i="14"/>
  <c r="E62" i="14"/>
  <c r="E69" i="14"/>
  <c r="E76" i="14"/>
  <c r="E85" i="14"/>
  <c r="E92" i="14"/>
  <c r="E94" i="14"/>
  <c r="E101" i="14"/>
  <c r="E108" i="14"/>
  <c r="E110" i="14"/>
  <c r="E117" i="14"/>
  <c r="E124" i="14"/>
  <c r="E126" i="14"/>
  <c r="E133" i="14"/>
  <c r="E140" i="14"/>
  <c r="E142" i="14"/>
  <c r="E149" i="14"/>
  <c r="E156" i="14"/>
  <c r="E165" i="14"/>
  <c r="E172" i="14"/>
  <c r="E174" i="14"/>
  <c r="E181" i="14"/>
  <c r="E188" i="14"/>
  <c r="E19" i="14"/>
  <c r="E32" i="14"/>
  <c r="E35" i="14"/>
  <c r="E48" i="14"/>
  <c r="E51" i="14"/>
  <c r="E64" i="14"/>
  <c r="E67" i="14"/>
  <c r="E80" i="14"/>
  <c r="E96" i="14"/>
  <c r="E99" i="14"/>
  <c r="E112" i="14"/>
  <c r="E115" i="14"/>
  <c r="E128" i="14"/>
  <c r="E131" i="14"/>
  <c r="E144" i="14"/>
  <c r="E160" i="14"/>
  <c r="E23" i="14"/>
  <c r="E39" i="14"/>
  <c r="E55" i="14"/>
  <c r="E71" i="14"/>
  <c r="E103" i="14"/>
  <c r="E119" i="14"/>
  <c r="E135" i="14"/>
  <c r="C6" i="14"/>
  <c r="E74" i="14"/>
  <c r="E78" i="14"/>
  <c r="E82" i="14"/>
  <c r="E86" i="14"/>
  <c r="E90" i="14"/>
  <c r="E122" i="14"/>
  <c r="E146" i="14"/>
  <c r="E150" i="14"/>
  <c r="E154" i="14"/>
  <c r="E158" i="14"/>
  <c r="E162" i="14"/>
  <c r="E166" i="14"/>
  <c r="E170" i="14"/>
  <c r="E178" i="14"/>
  <c r="E182" i="14"/>
  <c r="E186" i="14"/>
  <c r="E190" i="14"/>
  <c r="C3" i="14" l="1"/>
  <c r="C4" i="14" s="1"/>
  <c r="C2" i="14"/>
  <c r="B3" i="16" l="1"/>
  <c r="B4" i="16"/>
  <c r="D10" i="16" l="1"/>
  <c r="D11" i="16" s="1"/>
  <c r="D12" i="16" s="1"/>
  <c r="D13" i="16" s="1"/>
  <c r="D14" i="16" s="1"/>
  <c r="D15" i="16" s="1"/>
  <c r="D16" i="16" s="1"/>
  <c r="D17" i="16" s="1"/>
  <c r="D18" i="16" s="1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71" i="16" s="1"/>
  <c r="G10" i="16"/>
  <c r="G11" i="16" s="1"/>
  <c r="G12" i="16" s="1"/>
  <c r="G13" i="16" s="1"/>
  <c r="G14" i="16" s="1"/>
  <c r="G15" i="16" s="1"/>
  <c r="G16" i="16" s="1"/>
  <c r="G17" i="16" s="1"/>
  <c r="G18" i="16" s="1"/>
  <c r="G19" i="16" s="1"/>
  <c r="G20" i="16" s="1"/>
  <c r="G21" i="16" s="1"/>
  <c r="G22" i="16" s="1"/>
  <c r="G23" i="16" s="1"/>
  <c r="G24" i="16" s="1"/>
  <c r="G25" i="16" s="1"/>
  <c r="G26" i="16" s="1"/>
  <c r="G27" i="16" s="1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47" i="16" s="1"/>
  <c r="G48" i="16" s="1"/>
  <c r="G49" i="16" s="1"/>
  <c r="G50" i="16" s="1"/>
  <c r="G51" i="16" s="1"/>
  <c r="G52" i="16" s="1"/>
  <c r="G53" i="16" s="1"/>
  <c r="G54" i="16" s="1"/>
  <c r="G55" i="16" s="1"/>
  <c r="G56" i="16" s="1"/>
  <c r="G57" i="16" s="1"/>
  <c r="G58" i="16" s="1"/>
  <c r="G59" i="16" s="1"/>
  <c r="G60" i="16" s="1"/>
  <c r="G61" i="16" s="1"/>
  <c r="G62" i="16" s="1"/>
  <c r="G63" i="16" s="1"/>
  <c r="G64" i="16" s="1"/>
  <c r="G65" i="16" s="1"/>
  <c r="G66" i="16" s="1"/>
  <c r="G67" i="16" s="1"/>
  <c r="G68" i="16" s="1"/>
  <c r="G69" i="16" s="1"/>
  <c r="G70" i="16" s="1"/>
  <c r="G71" i="16" s="1"/>
  <c r="F10" i="16"/>
  <c r="F11" i="16" s="1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71" i="16" s="1"/>
  <c r="H10" i="16"/>
  <c r="H11" i="16" s="1"/>
  <c r="H12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71" i="16" s="1"/>
  <c r="K10" i="16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E10" i="16"/>
  <c r="E11" i="16" s="1"/>
  <c r="E12" i="16" s="1"/>
  <c r="E13" i="16" s="1"/>
  <c r="E14" i="16" s="1"/>
  <c r="E15" i="16" s="1"/>
  <c r="E16" i="16" s="1"/>
  <c r="E17" i="16" s="1"/>
  <c r="E18" i="16" s="1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E47" i="16" s="1"/>
  <c r="E48" i="16" s="1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E62" i="16" s="1"/>
  <c r="E63" i="16" s="1"/>
  <c r="E64" i="16" s="1"/>
  <c r="E65" i="16" s="1"/>
  <c r="E66" i="16" s="1"/>
  <c r="E67" i="16" s="1"/>
  <c r="E68" i="16" s="1"/>
  <c r="E69" i="16" s="1"/>
  <c r="E70" i="16" s="1"/>
  <c r="E71" i="16" s="1"/>
  <c r="C10" i="16"/>
  <c r="C11" i="16" s="1"/>
  <c r="C12" i="16" s="1"/>
  <c r="C13" i="16" s="1"/>
  <c r="C14" i="16" s="1"/>
  <c r="C15" i="16" s="1"/>
  <c r="C16" i="16" s="1"/>
  <c r="C17" i="16" s="1"/>
  <c r="C18" i="16" s="1"/>
  <c r="C19" i="16" s="1"/>
  <c r="C20" i="16" s="1"/>
  <c r="C21" i="16" s="1"/>
  <c r="C22" i="16" s="1"/>
  <c r="C23" i="16" s="1"/>
  <c r="C24" i="16" s="1"/>
  <c r="C25" i="16" s="1"/>
  <c r="C26" i="16" s="1"/>
  <c r="C27" i="16" s="1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71" i="16" s="1"/>
  <c r="J10" i="16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B10" i="16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I10" i="16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B5" i="10"/>
  <c r="B4" i="10"/>
  <c r="B3" i="10"/>
  <c r="F4" i="7"/>
  <c r="F3" i="7"/>
  <c r="B6" i="7"/>
  <c r="E8" i="5"/>
  <c r="B9" i="2"/>
  <c r="F3" i="13" s="1"/>
  <c r="F70" i="13"/>
  <c r="D70" i="13"/>
  <c r="C70" i="13"/>
  <c r="F69" i="13"/>
  <c r="D69" i="13"/>
  <c r="C69" i="13"/>
  <c r="F68" i="13"/>
  <c r="D68" i="13"/>
  <c r="C68" i="13"/>
  <c r="F67" i="13"/>
  <c r="D67" i="13"/>
  <c r="C67" i="13"/>
  <c r="F66" i="13"/>
  <c r="D66" i="13"/>
  <c r="C66" i="13"/>
  <c r="F65" i="13"/>
  <c r="D65" i="13"/>
  <c r="C65" i="13"/>
  <c r="F64" i="13"/>
  <c r="D64" i="13"/>
  <c r="C64" i="13"/>
  <c r="F63" i="13"/>
  <c r="D63" i="13"/>
  <c r="C63" i="13"/>
  <c r="F62" i="13"/>
  <c r="D62" i="13"/>
  <c r="C62" i="13"/>
  <c r="F61" i="13"/>
  <c r="D61" i="13"/>
  <c r="C61" i="13"/>
  <c r="F60" i="13"/>
  <c r="D60" i="13"/>
  <c r="C60" i="13"/>
  <c r="F59" i="13"/>
  <c r="D59" i="13"/>
  <c r="C59" i="13"/>
  <c r="F58" i="13"/>
  <c r="D58" i="13"/>
  <c r="C58" i="13"/>
  <c r="F57" i="13"/>
  <c r="D57" i="13"/>
  <c r="C57" i="13"/>
  <c r="F56" i="13"/>
  <c r="D56" i="13"/>
  <c r="C56" i="13"/>
  <c r="F55" i="13"/>
  <c r="D55" i="13"/>
  <c r="C55" i="13"/>
  <c r="F54" i="13"/>
  <c r="D54" i="13"/>
  <c r="C54" i="13"/>
  <c r="F53" i="13"/>
  <c r="D53" i="13"/>
  <c r="C53" i="13"/>
  <c r="F52" i="13"/>
  <c r="D52" i="13"/>
  <c r="C52" i="13"/>
  <c r="F51" i="13"/>
  <c r="D51" i="13"/>
  <c r="C51" i="13"/>
  <c r="F50" i="13"/>
  <c r="D50" i="13"/>
  <c r="C50" i="13"/>
  <c r="F49" i="13"/>
  <c r="D49" i="13"/>
  <c r="C49" i="13"/>
  <c r="F48" i="13"/>
  <c r="D48" i="13"/>
  <c r="C48" i="13"/>
  <c r="F47" i="13"/>
  <c r="D47" i="13"/>
  <c r="C47" i="13"/>
  <c r="F46" i="13"/>
  <c r="D46" i="13"/>
  <c r="C46" i="13"/>
  <c r="F45" i="13"/>
  <c r="D45" i="13"/>
  <c r="C45" i="13"/>
  <c r="F44" i="13"/>
  <c r="D44" i="13"/>
  <c r="C44" i="13"/>
  <c r="F43" i="13"/>
  <c r="D43" i="13"/>
  <c r="C43" i="13"/>
  <c r="F42" i="13"/>
  <c r="D42" i="13"/>
  <c r="C42" i="13"/>
  <c r="F41" i="13"/>
  <c r="D41" i="13"/>
  <c r="C41" i="13"/>
  <c r="F40" i="13"/>
  <c r="D40" i="13"/>
  <c r="C40" i="13"/>
  <c r="F39" i="13"/>
  <c r="D39" i="13"/>
  <c r="C39" i="13"/>
  <c r="F38" i="13"/>
  <c r="D38" i="13"/>
  <c r="C38" i="13"/>
  <c r="F37" i="13"/>
  <c r="D37" i="13"/>
  <c r="C37" i="13"/>
  <c r="F36" i="13"/>
  <c r="D36" i="13"/>
  <c r="C36" i="13"/>
  <c r="F35" i="13"/>
  <c r="D35" i="13"/>
  <c r="C35" i="13"/>
  <c r="F34" i="13"/>
  <c r="D34" i="13"/>
  <c r="C34" i="13"/>
  <c r="F33" i="13"/>
  <c r="D33" i="13"/>
  <c r="C33" i="13"/>
  <c r="F32" i="13"/>
  <c r="D32" i="13"/>
  <c r="C32" i="13"/>
  <c r="F31" i="13"/>
  <c r="D31" i="13"/>
  <c r="C31" i="13"/>
  <c r="F30" i="13"/>
  <c r="D30" i="13"/>
  <c r="C30" i="13"/>
  <c r="F29" i="13"/>
  <c r="D29" i="13"/>
  <c r="C29" i="13"/>
  <c r="F28" i="13"/>
  <c r="D28" i="13"/>
  <c r="C28" i="13"/>
  <c r="F27" i="13"/>
  <c r="D27" i="13"/>
  <c r="C27" i="13"/>
  <c r="F26" i="13"/>
  <c r="D26" i="13"/>
  <c r="C26" i="13"/>
  <c r="F25" i="13"/>
  <c r="D25" i="13"/>
  <c r="C25" i="13"/>
  <c r="F24" i="13"/>
  <c r="D24" i="13"/>
  <c r="C24" i="13"/>
  <c r="F23" i="13"/>
  <c r="D23" i="13"/>
  <c r="C23" i="13"/>
  <c r="F22" i="13"/>
  <c r="D22" i="13"/>
  <c r="C22" i="13"/>
  <c r="F21" i="13"/>
  <c r="D21" i="13"/>
  <c r="C21" i="13"/>
  <c r="F20" i="13"/>
  <c r="D20" i="13"/>
  <c r="C20" i="13"/>
  <c r="F19" i="13"/>
  <c r="D19" i="13"/>
  <c r="C19" i="13"/>
  <c r="F18" i="13"/>
  <c r="D18" i="13"/>
  <c r="C18" i="13"/>
  <c r="F17" i="13"/>
  <c r="D17" i="13"/>
  <c r="C17" i="13"/>
  <c r="F16" i="13"/>
  <c r="D16" i="13"/>
  <c r="C16" i="13"/>
  <c r="F15" i="13"/>
  <c r="D15" i="13"/>
  <c r="C15" i="13"/>
  <c r="F14" i="13"/>
  <c r="D14" i="13"/>
  <c r="C14" i="13"/>
  <c r="F13" i="13"/>
  <c r="D13" i="13"/>
  <c r="C13" i="13"/>
  <c r="F12" i="13"/>
  <c r="D12" i="13"/>
  <c r="C12" i="13"/>
  <c r="F11" i="13"/>
  <c r="D11" i="13"/>
  <c r="C11" i="13"/>
  <c r="F10" i="13"/>
  <c r="D10" i="13"/>
  <c r="C10" i="13"/>
  <c r="D9" i="13"/>
  <c r="C9" i="13"/>
  <c r="I6" i="10"/>
  <c r="B7" i="5"/>
  <c r="C9" i="10"/>
  <c r="C10" i="10"/>
  <c r="C11" i="10"/>
  <c r="H65" i="13" l="1"/>
  <c r="H64" i="13"/>
  <c r="H57" i="13"/>
  <c r="H61" i="13"/>
  <c r="G11" i="13"/>
  <c r="G15" i="13"/>
  <c r="G19" i="13"/>
  <c r="G23" i="13"/>
  <c r="G27" i="13"/>
  <c r="G36" i="13"/>
  <c r="H38" i="13"/>
  <c r="G40" i="13"/>
  <c r="H42" i="13"/>
  <c r="H46" i="13"/>
  <c r="H50" i="13"/>
  <c r="G67" i="13"/>
  <c r="H68" i="13"/>
  <c r="H10" i="13"/>
  <c r="G13" i="13"/>
  <c r="G17" i="13"/>
  <c r="G21" i="13"/>
  <c r="G25" i="13"/>
  <c r="H36" i="13"/>
  <c r="G38" i="13"/>
  <c r="H40" i="13"/>
  <c r="G42" i="13"/>
  <c r="H44" i="13"/>
  <c r="H48" i="13"/>
  <c r="G51" i="13"/>
  <c r="H52" i="13"/>
  <c r="G55" i="13"/>
  <c r="H56" i="13"/>
  <c r="G59" i="13"/>
  <c r="H60" i="13"/>
  <c r="H53" i="13"/>
  <c r="H69" i="13"/>
  <c r="H58" i="13"/>
  <c r="G63" i="13"/>
  <c r="H66" i="13"/>
  <c r="G10" i="13"/>
  <c r="G14" i="13"/>
  <c r="G18" i="13"/>
  <c r="G22" i="13"/>
  <c r="G26" i="13"/>
  <c r="G30" i="13"/>
  <c r="H32" i="13"/>
  <c r="G34" i="13"/>
  <c r="G44" i="13"/>
  <c r="G48" i="13"/>
  <c r="G54" i="13"/>
  <c r="H55" i="13"/>
  <c r="H63" i="13"/>
  <c r="H54" i="13"/>
  <c r="H62" i="13"/>
  <c r="H70" i="13"/>
  <c r="G12" i="13"/>
  <c r="G16" i="13"/>
  <c r="G20" i="13"/>
  <c r="G24" i="13"/>
  <c r="G28" i="13"/>
  <c r="H30" i="13"/>
  <c r="G32" i="13"/>
  <c r="H34" i="13"/>
  <c r="H43" i="13"/>
  <c r="G46" i="13"/>
  <c r="G50" i="13"/>
  <c r="H51" i="13"/>
  <c r="G58" i="13"/>
  <c r="H67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59" i="13"/>
  <c r="H29" i="13"/>
  <c r="H31" i="13"/>
  <c r="H33" i="13"/>
  <c r="H35" i="13"/>
  <c r="H37" i="13"/>
  <c r="H39" i="13"/>
  <c r="H41" i="13"/>
  <c r="H45" i="13"/>
  <c r="H47" i="13"/>
  <c r="H49" i="13"/>
  <c r="G52" i="13"/>
  <c r="G56" i="13"/>
  <c r="G60" i="13"/>
  <c r="G64" i="13"/>
  <c r="G68" i="13"/>
  <c r="G29" i="13"/>
  <c r="G31" i="13"/>
  <c r="G33" i="13"/>
  <c r="G35" i="13"/>
  <c r="G37" i="13"/>
  <c r="G39" i="13"/>
  <c r="G41" i="13"/>
  <c r="G43" i="13"/>
  <c r="G45" i="13"/>
  <c r="G47" i="13"/>
  <c r="G49" i="13"/>
  <c r="G53" i="13"/>
  <c r="G57" i="13"/>
  <c r="G61" i="13"/>
  <c r="G65" i="13"/>
  <c r="G69" i="13"/>
  <c r="G62" i="13"/>
  <c r="G66" i="13"/>
  <c r="G70" i="13"/>
  <c r="B8" i="5"/>
  <c r="J4" i="10" l="1"/>
  <c r="C72" i="7" l="1"/>
  <c r="D71" i="7"/>
  <c r="C71" i="7"/>
  <c r="D70" i="7"/>
  <c r="C70" i="7"/>
  <c r="D69" i="7"/>
  <c r="C69" i="7"/>
  <c r="D68" i="7"/>
  <c r="C68" i="7"/>
  <c r="D67" i="7"/>
  <c r="C67" i="7"/>
  <c r="D66" i="7"/>
  <c r="C66" i="7"/>
  <c r="D65" i="7"/>
  <c r="C65" i="7"/>
  <c r="D64" i="7"/>
  <c r="C64" i="7"/>
  <c r="D63" i="7"/>
  <c r="C63" i="7"/>
  <c r="D62" i="7"/>
  <c r="C62" i="7"/>
  <c r="D61" i="7"/>
  <c r="C61" i="7"/>
  <c r="D60" i="7"/>
  <c r="C60" i="7"/>
  <c r="D59" i="7"/>
  <c r="C59" i="7"/>
  <c r="D58" i="7"/>
  <c r="C58" i="7"/>
  <c r="D57" i="7"/>
  <c r="C57" i="7"/>
  <c r="D56" i="7"/>
  <c r="C56" i="7"/>
  <c r="D55" i="7"/>
  <c r="C55" i="7"/>
  <c r="D54" i="7"/>
  <c r="C54" i="7"/>
  <c r="D53" i="7"/>
  <c r="C53" i="7"/>
  <c r="D52" i="7"/>
  <c r="C52" i="7"/>
  <c r="D51" i="7"/>
  <c r="C51" i="7"/>
  <c r="D50" i="7"/>
  <c r="C50" i="7"/>
  <c r="D49" i="7"/>
  <c r="C49" i="7"/>
  <c r="D48" i="7"/>
  <c r="C48" i="7"/>
  <c r="D47" i="7"/>
  <c r="C47" i="7"/>
  <c r="D46" i="7"/>
  <c r="C46" i="7"/>
  <c r="D45" i="7"/>
  <c r="C45" i="7"/>
  <c r="D44" i="7"/>
  <c r="C44" i="7"/>
  <c r="D43" i="7"/>
  <c r="C43" i="7"/>
  <c r="D42" i="7"/>
  <c r="C42" i="7"/>
  <c r="D41" i="7"/>
  <c r="C41" i="7"/>
  <c r="D40" i="7"/>
  <c r="C40" i="7"/>
  <c r="D39" i="7"/>
  <c r="C39" i="7"/>
  <c r="D38" i="7"/>
  <c r="C38" i="7"/>
  <c r="D37" i="7"/>
  <c r="C37" i="7"/>
  <c r="D36" i="7"/>
  <c r="C36" i="7"/>
  <c r="D35" i="7"/>
  <c r="C35" i="7"/>
  <c r="D34" i="7"/>
  <c r="C34" i="7"/>
  <c r="D33" i="7"/>
  <c r="C33" i="7"/>
  <c r="D32" i="7"/>
  <c r="C32" i="7"/>
  <c r="D31" i="7"/>
  <c r="C31" i="7"/>
  <c r="D30" i="7"/>
  <c r="C30" i="7"/>
  <c r="D29" i="7"/>
  <c r="C29" i="7"/>
  <c r="D28" i="7"/>
  <c r="C28" i="7"/>
  <c r="D27" i="7"/>
  <c r="C27" i="7"/>
  <c r="D26" i="7"/>
  <c r="C26" i="7"/>
  <c r="D25" i="7"/>
  <c r="C25" i="7"/>
  <c r="D24" i="7"/>
  <c r="C24" i="7"/>
  <c r="D23" i="7"/>
  <c r="C23" i="7"/>
  <c r="D22" i="7"/>
  <c r="C22" i="7"/>
  <c r="D21" i="7"/>
  <c r="C21" i="7"/>
  <c r="D20" i="7"/>
  <c r="C20" i="7"/>
  <c r="D19" i="7"/>
  <c r="C19" i="7"/>
  <c r="D18" i="7"/>
  <c r="C18" i="7"/>
  <c r="D17" i="7"/>
  <c r="C17" i="7"/>
  <c r="D16" i="7"/>
  <c r="C16" i="7"/>
  <c r="D15" i="7"/>
  <c r="C15" i="7"/>
  <c r="D14" i="7"/>
  <c r="C14" i="7"/>
  <c r="D13" i="7"/>
  <c r="C13" i="7"/>
  <c r="D12" i="7"/>
  <c r="C12" i="7"/>
  <c r="D11" i="7"/>
  <c r="C11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5" i="7" l="1"/>
  <c r="H12" i="7"/>
  <c r="H16" i="7"/>
  <c r="H18" i="7"/>
  <c r="H20" i="7"/>
  <c r="H22" i="7"/>
  <c r="H24" i="7"/>
  <c r="H26" i="7"/>
  <c r="H14" i="7"/>
  <c r="H28" i="7"/>
  <c r="H30" i="7"/>
  <c r="H32" i="7"/>
  <c r="H34" i="7"/>
  <c r="H36" i="7"/>
  <c r="H38" i="7"/>
  <c r="H40" i="7"/>
  <c r="H42" i="7"/>
  <c r="H44" i="7"/>
  <c r="H46" i="7"/>
  <c r="H48" i="7"/>
  <c r="H50" i="7"/>
  <c r="H52" i="7"/>
  <c r="H54" i="7"/>
  <c r="H56" i="7"/>
  <c r="H58" i="7"/>
  <c r="H60" i="7"/>
  <c r="H62" i="7"/>
  <c r="H64" i="7"/>
  <c r="H66" i="7"/>
  <c r="H68" i="7"/>
  <c r="H70" i="7"/>
  <c r="H13" i="7"/>
  <c r="H17" i="7"/>
  <c r="H19" i="7"/>
  <c r="H23" i="7"/>
  <c r="H25" i="7"/>
  <c r="H27" i="7"/>
  <c r="H29" i="7"/>
  <c r="H31" i="7"/>
  <c r="H33" i="7"/>
  <c r="H35" i="7"/>
  <c r="H37" i="7"/>
  <c r="H39" i="7"/>
  <c r="H41" i="7"/>
  <c r="H43" i="7"/>
  <c r="H45" i="7"/>
  <c r="H47" i="7"/>
  <c r="H49" i="7"/>
  <c r="H51" i="7"/>
  <c r="H53" i="7"/>
  <c r="H55" i="7"/>
  <c r="H57" i="7"/>
  <c r="H59" i="7"/>
  <c r="H61" i="7"/>
  <c r="H63" i="7"/>
  <c r="H65" i="7"/>
  <c r="H67" i="7"/>
  <c r="H69" i="7"/>
  <c r="H72" i="7"/>
  <c r="H71" i="7"/>
  <c r="H15" i="7"/>
  <c r="H21" i="7"/>
  <c r="G16" i="7"/>
  <c r="G20" i="7"/>
  <c r="G24" i="7"/>
  <c r="G28" i="7"/>
  <c r="G33" i="7"/>
  <c r="G41" i="7"/>
  <c r="G49" i="7"/>
  <c r="G13" i="7"/>
  <c r="G15" i="7"/>
  <c r="G19" i="7"/>
  <c r="G23" i="7"/>
  <c r="G27" i="7"/>
  <c r="G30" i="7"/>
  <c r="G17" i="7"/>
  <c r="G21" i="7"/>
  <c r="G25" i="7"/>
  <c r="G29" i="7"/>
  <c r="G35" i="7"/>
  <c r="G43" i="7"/>
  <c r="G51" i="7"/>
  <c r="G14" i="7"/>
  <c r="G18" i="7"/>
  <c r="G22" i="7"/>
  <c r="G26" i="7"/>
  <c r="G37" i="7"/>
  <c r="G45" i="7"/>
  <c r="G53" i="7"/>
  <c r="G57" i="7"/>
  <c r="G61" i="7"/>
  <c r="G65" i="7"/>
  <c r="G69" i="7"/>
  <c r="G56" i="7"/>
  <c r="G60" i="7"/>
  <c r="G64" i="7"/>
  <c r="G68" i="7"/>
  <c r="G72" i="7"/>
  <c r="G31" i="7"/>
  <c r="G12" i="7"/>
  <c r="G39" i="7"/>
  <c r="G47" i="7"/>
  <c r="G58" i="7"/>
  <c r="G62" i="7"/>
  <c r="G66" i="7"/>
  <c r="G70" i="7"/>
  <c r="G55" i="7"/>
  <c r="G59" i="7"/>
  <c r="G63" i="7"/>
  <c r="G67" i="7"/>
  <c r="G71" i="7"/>
  <c r="G54" i="7"/>
  <c r="G32" i="7"/>
  <c r="G34" i="7"/>
  <c r="G36" i="7"/>
  <c r="G38" i="7"/>
  <c r="G40" i="7"/>
  <c r="G42" i="7"/>
  <c r="G44" i="7"/>
  <c r="G46" i="7"/>
  <c r="G48" i="7"/>
  <c r="G50" i="7"/>
  <c r="G52" i="7"/>
  <c r="J16" i="5"/>
  <c r="H4" i="5"/>
  <c r="H3" i="5"/>
  <c r="F16" i="5"/>
  <c r="J268" i="5"/>
  <c r="J280" i="5"/>
  <c r="J284" i="5"/>
  <c r="J296" i="5"/>
  <c r="J300" i="5"/>
  <c r="J312" i="5"/>
  <c r="J316" i="5"/>
  <c r="J328" i="5"/>
  <c r="J332" i="5"/>
  <c r="J344" i="5"/>
  <c r="J348" i="5"/>
  <c r="J360" i="5"/>
  <c r="J364" i="5"/>
  <c r="J376" i="5"/>
  <c r="J380" i="5"/>
  <c r="J392" i="5"/>
  <c r="J396" i="5"/>
  <c r="J408" i="5"/>
  <c r="J412" i="5"/>
  <c r="J424" i="5"/>
  <c r="J428" i="5"/>
  <c r="J440" i="5"/>
  <c r="J444" i="5"/>
  <c r="J456" i="5"/>
  <c r="J460" i="5"/>
  <c r="J472" i="5"/>
  <c r="J476" i="5"/>
  <c r="J488" i="5"/>
  <c r="J492" i="5"/>
  <c r="J504" i="5"/>
  <c r="J508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D519" i="5"/>
  <c r="C519" i="5"/>
  <c r="D518" i="5"/>
  <c r="C518" i="5"/>
  <c r="D517" i="5"/>
  <c r="C517" i="5"/>
  <c r="D516" i="5"/>
  <c r="C516" i="5"/>
  <c r="D515" i="5"/>
  <c r="C515" i="5"/>
  <c r="D514" i="5"/>
  <c r="C514" i="5"/>
  <c r="D513" i="5"/>
  <c r="C513" i="5"/>
  <c r="D512" i="5"/>
  <c r="C512" i="5"/>
  <c r="D511" i="5"/>
  <c r="C511" i="5"/>
  <c r="D510" i="5"/>
  <c r="C510" i="5"/>
  <c r="D509" i="5"/>
  <c r="C509" i="5"/>
  <c r="D508" i="5"/>
  <c r="C508" i="5"/>
  <c r="D507" i="5"/>
  <c r="C507" i="5"/>
  <c r="D506" i="5"/>
  <c r="C506" i="5"/>
  <c r="D505" i="5"/>
  <c r="C505" i="5"/>
  <c r="D504" i="5"/>
  <c r="C504" i="5"/>
  <c r="D503" i="5"/>
  <c r="C503" i="5"/>
  <c r="D502" i="5"/>
  <c r="C502" i="5"/>
  <c r="D501" i="5"/>
  <c r="C501" i="5"/>
  <c r="D500" i="5"/>
  <c r="C500" i="5"/>
  <c r="D499" i="5"/>
  <c r="C499" i="5"/>
  <c r="D498" i="5"/>
  <c r="C498" i="5"/>
  <c r="D497" i="5"/>
  <c r="C497" i="5"/>
  <c r="D496" i="5"/>
  <c r="C496" i="5"/>
  <c r="D495" i="5"/>
  <c r="C495" i="5"/>
  <c r="D494" i="5"/>
  <c r="C494" i="5"/>
  <c r="D493" i="5"/>
  <c r="C493" i="5"/>
  <c r="D492" i="5"/>
  <c r="C492" i="5"/>
  <c r="D491" i="5"/>
  <c r="C491" i="5"/>
  <c r="D490" i="5"/>
  <c r="C490" i="5"/>
  <c r="D489" i="5"/>
  <c r="C489" i="5"/>
  <c r="D488" i="5"/>
  <c r="C488" i="5"/>
  <c r="D487" i="5"/>
  <c r="C487" i="5"/>
  <c r="D486" i="5"/>
  <c r="C486" i="5"/>
  <c r="D485" i="5"/>
  <c r="C485" i="5"/>
  <c r="D484" i="5"/>
  <c r="C484" i="5"/>
  <c r="D483" i="5"/>
  <c r="C483" i="5"/>
  <c r="D482" i="5"/>
  <c r="C482" i="5"/>
  <c r="D481" i="5"/>
  <c r="C481" i="5"/>
  <c r="D480" i="5"/>
  <c r="C480" i="5"/>
  <c r="D479" i="5"/>
  <c r="C479" i="5"/>
  <c r="D478" i="5"/>
  <c r="C478" i="5"/>
  <c r="D477" i="5"/>
  <c r="C477" i="5"/>
  <c r="D476" i="5"/>
  <c r="C476" i="5"/>
  <c r="D475" i="5"/>
  <c r="C475" i="5"/>
  <c r="D474" i="5"/>
  <c r="C474" i="5"/>
  <c r="D473" i="5"/>
  <c r="C473" i="5"/>
  <c r="D472" i="5"/>
  <c r="C472" i="5"/>
  <c r="D471" i="5"/>
  <c r="C471" i="5"/>
  <c r="D470" i="5"/>
  <c r="C470" i="5"/>
  <c r="D469" i="5"/>
  <c r="C469" i="5"/>
  <c r="D468" i="5"/>
  <c r="C468" i="5"/>
  <c r="D467" i="5"/>
  <c r="C467" i="5"/>
  <c r="D466" i="5"/>
  <c r="C466" i="5"/>
  <c r="D465" i="5"/>
  <c r="C465" i="5"/>
  <c r="D464" i="5"/>
  <c r="C464" i="5"/>
  <c r="D463" i="5"/>
  <c r="C463" i="5"/>
  <c r="D462" i="5"/>
  <c r="C462" i="5"/>
  <c r="D461" i="5"/>
  <c r="C461" i="5"/>
  <c r="D460" i="5"/>
  <c r="C460" i="5"/>
  <c r="D459" i="5"/>
  <c r="C459" i="5"/>
  <c r="D458" i="5"/>
  <c r="C458" i="5"/>
  <c r="D457" i="5"/>
  <c r="C457" i="5"/>
  <c r="D456" i="5"/>
  <c r="C456" i="5"/>
  <c r="D455" i="5"/>
  <c r="C455" i="5"/>
  <c r="D454" i="5"/>
  <c r="C454" i="5"/>
  <c r="D453" i="5"/>
  <c r="C453" i="5"/>
  <c r="D452" i="5"/>
  <c r="C452" i="5"/>
  <c r="D451" i="5"/>
  <c r="C451" i="5"/>
  <c r="D450" i="5"/>
  <c r="C450" i="5"/>
  <c r="D449" i="5"/>
  <c r="C449" i="5"/>
  <c r="D448" i="5"/>
  <c r="C448" i="5"/>
  <c r="D447" i="5"/>
  <c r="C447" i="5"/>
  <c r="D446" i="5"/>
  <c r="C446" i="5"/>
  <c r="D445" i="5"/>
  <c r="C445" i="5"/>
  <c r="D444" i="5"/>
  <c r="C444" i="5"/>
  <c r="D443" i="5"/>
  <c r="C443" i="5"/>
  <c r="D442" i="5"/>
  <c r="C442" i="5"/>
  <c r="D441" i="5"/>
  <c r="C441" i="5"/>
  <c r="D440" i="5"/>
  <c r="C440" i="5"/>
  <c r="D439" i="5"/>
  <c r="C439" i="5"/>
  <c r="D438" i="5"/>
  <c r="C438" i="5"/>
  <c r="D437" i="5"/>
  <c r="C437" i="5"/>
  <c r="D436" i="5"/>
  <c r="C436" i="5"/>
  <c r="D435" i="5"/>
  <c r="C435" i="5"/>
  <c r="D434" i="5"/>
  <c r="C434" i="5"/>
  <c r="D433" i="5"/>
  <c r="C433" i="5"/>
  <c r="D432" i="5"/>
  <c r="C432" i="5"/>
  <c r="D431" i="5"/>
  <c r="C431" i="5"/>
  <c r="D430" i="5"/>
  <c r="C430" i="5"/>
  <c r="D429" i="5"/>
  <c r="C429" i="5"/>
  <c r="D428" i="5"/>
  <c r="C428" i="5"/>
  <c r="D427" i="5"/>
  <c r="C427" i="5"/>
  <c r="D426" i="5"/>
  <c r="C426" i="5"/>
  <c r="D425" i="5"/>
  <c r="C425" i="5"/>
  <c r="D424" i="5"/>
  <c r="C424" i="5"/>
  <c r="D423" i="5"/>
  <c r="C423" i="5"/>
  <c r="D422" i="5"/>
  <c r="C422" i="5"/>
  <c r="D421" i="5"/>
  <c r="C421" i="5"/>
  <c r="D420" i="5"/>
  <c r="C420" i="5"/>
  <c r="D419" i="5"/>
  <c r="C419" i="5"/>
  <c r="D418" i="5"/>
  <c r="C418" i="5"/>
  <c r="D417" i="5"/>
  <c r="C417" i="5"/>
  <c r="D416" i="5"/>
  <c r="C416" i="5"/>
  <c r="D415" i="5"/>
  <c r="C415" i="5"/>
  <c r="D414" i="5"/>
  <c r="C414" i="5"/>
  <c r="D413" i="5"/>
  <c r="C413" i="5"/>
  <c r="D412" i="5"/>
  <c r="C412" i="5"/>
  <c r="D411" i="5"/>
  <c r="C411" i="5"/>
  <c r="D410" i="5"/>
  <c r="C410" i="5"/>
  <c r="D409" i="5"/>
  <c r="C409" i="5"/>
  <c r="D408" i="5"/>
  <c r="C408" i="5"/>
  <c r="D407" i="5"/>
  <c r="C407" i="5"/>
  <c r="D406" i="5"/>
  <c r="C406" i="5"/>
  <c r="D405" i="5"/>
  <c r="C405" i="5"/>
  <c r="D404" i="5"/>
  <c r="C404" i="5"/>
  <c r="D403" i="5"/>
  <c r="C403" i="5"/>
  <c r="D402" i="5"/>
  <c r="C402" i="5"/>
  <c r="D401" i="5"/>
  <c r="C401" i="5"/>
  <c r="D400" i="5"/>
  <c r="C400" i="5"/>
  <c r="D399" i="5"/>
  <c r="C399" i="5"/>
  <c r="D398" i="5"/>
  <c r="C398" i="5"/>
  <c r="D397" i="5"/>
  <c r="C397" i="5"/>
  <c r="D396" i="5"/>
  <c r="C396" i="5"/>
  <c r="D395" i="5"/>
  <c r="C395" i="5"/>
  <c r="D394" i="5"/>
  <c r="C394" i="5"/>
  <c r="D393" i="5"/>
  <c r="C393" i="5"/>
  <c r="D392" i="5"/>
  <c r="C392" i="5"/>
  <c r="D391" i="5"/>
  <c r="C391" i="5"/>
  <c r="D390" i="5"/>
  <c r="C390" i="5"/>
  <c r="D389" i="5"/>
  <c r="C389" i="5"/>
  <c r="D388" i="5"/>
  <c r="C388" i="5"/>
  <c r="D387" i="5"/>
  <c r="C387" i="5"/>
  <c r="D386" i="5"/>
  <c r="C386" i="5"/>
  <c r="D385" i="5"/>
  <c r="C385" i="5"/>
  <c r="D384" i="5"/>
  <c r="C384" i="5"/>
  <c r="D383" i="5"/>
  <c r="C383" i="5"/>
  <c r="D382" i="5"/>
  <c r="C382" i="5"/>
  <c r="D381" i="5"/>
  <c r="C381" i="5"/>
  <c r="D380" i="5"/>
  <c r="C380" i="5"/>
  <c r="D379" i="5"/>
  <c r="C379" i="5"/>
  <c r="D378" i="5"/>
  <c r="C378" i="5"/>
  <c r="D377" i="5"/>
  <c r="C377" i="5"/>
  <c r="D376" i="5"/>
  <c r="C376" i="5"/>
  <c r="D375" i="5"/>
  <c r="C375" i="5"/>
  <c r="D374" i="5"/>
  <c r="C374" i="5"/>
  <c r="D373" i="5"/>
  <c r="C373" i="5"/>
  <c r="D372" i="5"/>
  <c r="C372" i="5"/>
  <c r="D371" i="5"/>
  <c r="C371" i="5"/>
  <c r="D370" i="5"/>
  <c r="C370" i="5"/>
  <c r="D369" i="5"/>
  <c r="C369" i="5"/>
  <c r="D368" i="5"/>
  <c r="C368" i="5"/>
  <c r="D367" i="5"/>
  <c r="C367" i="5"/>
  <c r="D366" i="5"/>
  <c r="C366" i="5"/>
  <c r="D365" i="5"/>
  <c r="C365" i="5"/>
  <c r="D364" i="5"/>
  <c r="C364" i="5"/>
  <c r="D363" i="5"/>
  <c r="C363" i="5"/>
  <c r="D362" i="5"/>
  <c r="C362" i="5"/>
  <c r="D361" i="5"/>
  <c r="C361" i="5"/>
  <c r="D360" i="5"/>
  <c r="C360" i="5"/>
  <c r="D359" i="5"/>
  <c r="C359" i="5"/>
  <c r="D358" i="5"/>
  <c r="C358" i="5"/>
  <c r="D357" i="5"/>
  <c r="C357" i="5"/>
  <c r="D356" i="5"/>
  <c r="C356" i="5"/>
  <c r="D355" i="5"/>
  <c r="C355" i="5"/>
  <c r="D354" i="5"/>
  <c r="C354" i="5"/>
  <c r="D353" i="5"/>
  <c r="C353" i="5"/>
  <c r="D352" i="5"/>
  <c r="C352" i="5"/>
  <c r="D351" i="5"/>
  <c r="C351" i="5"/>
  <c r="D350" i="5"/>
  <c r="C350" i="5"/>
  <c r="D349" i="5"/>
  <c r="C349" i="5"/>
  <c r="D348" i="5"/>
  <c r="C348" i="5"/>
  <c r="D347" i="5"/>
  <c r="C347" i="5"/>
  <c r="D346" i="5"/>
  <c r="C346" i="5"/>
  <c r="D345" i="5"/>
  <c r="C345" i="5"/>
  <c r="D344" i="5"/>
  <c r="C344" i="5"/>
  <c r="D343" i="5"/>
  <c r="C343" i="5"/>
  <c r="D342" i="5"/>
  <c r="C342" i="5"/>
  <c r="D341" i="5"/>
  <c r="C341" i="5"/>
  <c r="D340" i="5"/>
  <c r="C340" i="5"/>
  <c r="D339" i="5"/>
  <c r="C339" i="5"/>
  <c r="D338" i="5"/>
  <c r="C338" i="5"/>
  <c r="D337" i="5"/>
  <c r="C337" i="5"/>
  <c r="D336" i="5"/>
  <c r="C336" i="5"/>
  <c r="D335" i="5"/>
  <c r="C335" i="5"/>
  <c r="D334" i="5"/>
  <c r="C334" i="5"/>
  <c r="D333" i="5"/>
  <c r="C333" i="5"/>
  <c r="D332" i="5"/>
  <c r="C332" i="5"/>
  <c r="D331" i="5"/>
  <c r="C331" i="5"/>
  <c r="D330" i="5"/>
  <c r="C330" i="5"/>
  <c r="D329" i="5"/>
  <c r="C329" i="5"/>
  <c r="D328" i="5"/>
  <c r="C328" i="5"/>
  <c r="D327" i="5"/>
  <c r="C327" i="5"/>
  <c r="D326" i="5"/>
  <c r="C326" i="5"/>
  <c r="D325" i="5"/>
  <c r="C325" i="5"/>
  <c r="D324" i="5"/>
  <c r="C324" i="5"/>
  <c r="D323" i="5"/>
  <c r="C323" i="5"/>
  <c r="D322" i="5"/>
  <c r="C322" i="5"/>
  <c r="D321" i="5"/>
  <c r="C321" i="5"/>
  <c r="D320" i="5"/>
  <c r="C320" i="5"/>
  <c r="D319" i="5"/>
  <c r="C319" i="5"/>
  <c r="D318" i="5"/>
  <c r="C318" i="5"/>
  <c r="D317" i="5"/>
  <c r="C317" i="5"/>
  <c r="D316" i="5"/>
  <c r="C316" i="5"/>
  <c r="D315" i="5"/>
  <c r="C315" i="5"/>
  <c r="D314" i="5"/>
  <c r="C314" i="5"/>
  <c r="D313" i="5"/>
  <c r="C313" i="5"/>
  <c r="D312" i="5"/>
  <c r="C312" i="5"/>
  <c r="D311" i="5"/>
  <c r="C311" i="5"/>
  <c r="D310" i="5"/>
  <c r="C310" i="5"/>
  <c r="D309" i="5"/>
  <c r="C309" i="5"/>
  <c r="D308" i="5"/>
  <c r="C308" i="5"/>
  <c r="D307" i="5"/>
  <c r="C307" i="5"/>
  <c r="D306" i="5"/>
  <c r="C306" i="5"/>
  <c r="D305" i="5"/>
  <c r="C305" i="5"/>
  <c r="D304" i="5"/>
  <c r="C304" i="5"/>
  <c r="D303" i="5"/>
  <c r="C303" i="5"/>
  <c r="D302" i="5"/>
  <c r="C302" i="5"/>
  <c r="D301" i="5"/>
  <c r="C301" i="5"/>
  <c r="D300" i="5"/>
  <c r="C300" i="5"/>
  <c r="D299" i="5"/>
  <c r="C299" i="5"/>
  <c r="D298" i="5"/>
  <c r="C298" i="5"/>
  <c r="D297" i="5"/>
  <c r="C297" i="5"/>
  <c r="D296" i="5"/>
  <c r="C296" i="5"/>
  <c r="D295" i="5"/>
  <c r="C295" i="5"/>
  <c r="D294" i="5"/>
  <c r="C294" i="5"/>
  <c r="D293" i="5"/>
  <c r="C293" i="5"/>
  <c r="D292" i="5"/>
  <c r="C292" i="5"/>
  <c r="D291" i="5"/>
  <c r="C291" i="5"/>
  <c r="D290" i="5"/>
  <c r="C290" i="5"/>
  <c r="D289" i="5"/>
  <c r="C289" i="5"/>
  <c r="D288" i="5"/>
  <c r="C288" i="5"/>
  <c r="D287" i="5"/>
  <c r="C287" i="5"/>
  <c r="D286" i="5"/>
  <c r="C286" i="5"/>
  <c r="D285" i="5"/>
  <c r="C285" i="5"/>
  <c r="D284" i="5"/>
  <c r="C284" i="5"/>
  <c r="D283" i="5"/>
  <c r="C283" i="5"/>
  <c r="D282" i="5"/>
  <c r="C282" i="5"/>
  <c r="D281" i="5"/>
  <c r="C281" i="5"/>
  <c r="D280" i="5"/>
  <c r="C280" i="5"/>
  <c r="D279" i="5"/>
  <c r="C279" i="5"/>
  <c r="D278" i="5"/>
  <c r="C278" i="5"/>
  <c r="D277" i="5"/>
  <c r="C277" i="5"/>
  <c r="D276" i="5"/>
  <c r="C276" i="5"/>
  <c r="D275" i="5"/>
  <c r="C275" i="5"/>
  <c r="D274" i="5"/>
  <c r="C274" i="5"/>
  <c r="D273" i="5"/>
  <c r="C273" i="5"/>
  <c r="D272" i="5"/>
  <c r="C272" i="5"/>
  <c r="D271" i="5"/>
  <c r="C271" i="5"/>
  <c r="D270" i="5"/>
  <c r="C270" i="5"/>
  <c r="D269" i="5"/>
  <c r="C269" i="5"/>
  <c r="D268" i="5"/>
  <c r="C268" i="5"/>
  <c r="D267" i="5"/>
  <c r="C267" i="5"/>
  <c r="D266" i="5"/>
  <c r="C266" i="5"/>
  <c r="D265" i="5"/>
  <c r="C265" i="5"/>
  <c r="D264" i="5"/>
  <c r="C264" i="5"/>
  <c r="D263" i="5"/>
  <c r="C263" i="5"/>
  <c r="D262" i="5"/>
  <c r="C262" i="5"/>
  <c r="D261" i="5"/>
  <c r="C261" i="5"/>
  <c r="D260" i="5"/>
  <c r="C260" i="5"/>
  <c r="D259" i="5"/>
  <c r="C259" i="5"/>
  <c r="D258" i="5"/>
  <c r="C258" i="5"/>
  <c r="D257" i="5"/>
  <c r="C257" i="5"/>
  <c r="D256" i="5"/>
  <c r="C256" i="5"/>
  <c r="D255" i="5"/>
  <c r="C255" i="5"/>
  <c r="D254" i="5"/>
  <c r="C254" i="5"/>
  <c r="D253" i="5"/>
  <c r="C253" i="5"/>
  <c r="D252" i="5"/>
  <c r="C252" i="5"/>
  <c r="D251" i="5"/>
  <c r="C251" i="5"/>
  <c r="D250" i="5"/>
  <c r="C250" i="5"/>
  <c r="D249" i="5"/>
  <c r="C249" i="5"/>
  <c r="D248" i="5"/>
  <c r="C248" i="5"/>
  <c r="D247" i="5"/>
  <c r="C247" i="5"/>
  <c r="D246" i="5"/>
  <c r="C246" i="5"/>
  <c r="D245" i="5"/>
  <c r="C245" i="5"/>
  <c r="D244" i="5"/>
  <c r="C244" i="5"/>
  <c r="D243" i="5"/>
  <c r="C243" i="5"/>
  <c r="D242" i="5"/>
  <c r="C242" i="5"/>
  <c r="D241" i="5"/>
  <c r="C241" i="5"/>
  <c r="D240" i="5"/>
  <c r="C240" i="5"/>
  <c r="D239" i="5"/>
  <c r="C239" i="5"/>
  <c r="D238" i="5"/>
  <c r="C238" i="5"/>
  <c r="D237" i="5"/>
  <c r="C237" i="5"/>
  <c r="D236" i="5"/>
  <c r="C236" i="5"/>
  <c r="D235" i="5"/>
  <c r="C235" i="5"/>
  <c r="D234" i="5"/>
  <c r="C234" i="5"/>
  <c r="D233" i="5"/>
  <c r="C233" i="5"/>
  <c r="D232" i="5"/>
  <c r="C232" i="5"/>
  <c r="D231" i="5"/>
  <c r="C231" i="5"/>
  <c r="D230" i="5"/>
  <c r="C230" i="5"/>
  <c r="D229" i="5"/>
  <c r="C229" i="5"/>
  <c r="D228" i="5"/>
  <c r="C228" i="5"/>
  <c r="D227" i="5"/>
  <c r="C227" i="5"/>
  <c r="D226" i="5"/>
  <c r="C226" i="5"/>
  <c r="D225" i="5"/>
  <c r="C225" i="5"/>
  <c r="D224" i="5"/>
  <c r="C224" i="5"/>
  <c r="D223" i="5"/>
  <c r="C223" i="5"/>
  <c r="D222" i="5"/>
  <c r="C222" i="5"/>
  <c r="D221" i="5"/>
  <c r="C221" i="5"/>
  <c r="D220" i="5"/>
  <c r="C220" i="5"/>
  <c r="D219" i="5"/>
  <c r="C219" i="5"/>
  <c r="D218" i="5"/>
  <c r="C218" i="5"/>
  <c r="D217" i="5"/>
  <c r="C217" i="5"/>
  <c r="D216" i="5"/>
  <c r="C216" i="5"/>
  <c r="D215" i="5"/>
  <c r="C215" i="5"/>
  <c r="D214" i="5"/>
  <c r="C214" i="5"/>
  <c r="D213" i="5"/>
  <c r="C213" i="5"/>
  <c r="D212" i="5"/>
  <c r="C212" i="5"/>
  <c r="D211" i="5"/>
  <c r="C211" i="5"/>
  <c r="D210" i="5"/>
  <c r="C210" i="5"/>
  <c r="D209" i="5"/>
  <c r="C209" i="5"/>
  <c r="D208" i="5"/>
  <c r="C208" i="5"/>
  <c r="D207" i="5"/>
  <c r="C207" i="5"/>
  <c r="D206" i="5"/>
  <c r="C206" i="5"/>
  <c r="D205" i="5"/>
  <c r="C205" i="5"/>
  <c r="D204" i="5"/>
  <c r="C204" i="5"/>
  <c r="D203" i="5"/>
  <c r="C203" i="5"/>
  <c r="D202" i="5"/>
  <c r="C202" i="5"/>
  <c r="D201" i="5"/>
  <c r="C201" i="5"/>
  <c r="D200" i="5"/>
  <c r="C200" i="5"/>
  <c r="D199" i="5"/>
  <c r="C199" i="5"/>
  <c r="D198" i="5"/>
  <c r="C198" i="5"/>
  <c r="D197" i="5"/>
  <c r="C197" i="5"/>
  <c r="D196" i="5"/>
  <c r="C196" i="5"/>
  <c r="D195" i="5"/>
  <c r="C195" i="5"/>
  <c r="D194" i="5"/>
  <c r="C194" i="5"/>
  <c r="D193" i="5"/>
  <c r="C193" i="5"/>
  <c r="D192" i="5"/>
  <c r="C192" i="5"/>
  <c r="D191" i="5"/>
  <c r="C191" i="5"/>
  <c r="D190" i="5"/>
  <c r="C190" i="5"/>
  <c r="D189" i="5"/>
  <c r="C189" i="5"/>
  <c r="D188" i="5"/>
  <c r="C188" i="5"/>
  <c r="D187" i="5"/>
  <c r="C187" i="5"/>
  <c r="D186" i="5"/>
  <c r="C186" i="5"/>
  <c r="D185" i="5"/>
  <c r="C185" i="5"/>
  <c r="D184" i="5"/>
  <c r="C184" i="5"/>
  <c r="D183" i="5"/>
  <c r="C183" i="5"/>
  <c r="D182" i="5"/>
  <c r="C182" i="5"/>
  <c r="D181" i="5"/>
  <c r="C181" i="5"/>
  <c r="D180" i="5"/>
  <c r="C180" i="5"/>
  <c r="D179" i="5"/>
  <c r="C179" i="5"/>
  <c r="D178" i="5"/>
  <c r="C178" i="5"/>
  <c r="D177" i="5"/>
  <c r="C177" i="5"/>
  <c r="D176" i="5"/>
  <c r="C176" i="5"/>
  <c r="D175" i="5"/>
  <c r="C175" i="5"/>
  <c r="D174" i="5"/>
  <c r="C174" i="5"/>
  <c r="D173" i="5"/>
  <c r="C173" i="5"/>
  <c r="D172" i="5"/>
  <c r="C172" i="5"/>
  <c r="D171" i="5"/>
  <c r="C171" i="5"/>
  <c r="D170" i="5"/>
  <c r="C170" i="5"/>
  <c r="D169" i="5"/>
  <c r="C169" i="5"/>
  <c r="D168" i="5"/>
  <c r="C168" i="5"/>
  <c r="D167" i="5"/>
  <c r="C167" i="5"/>
  <c r="D166" i="5"/>
  <c r="C166" i="5"/>
  <c r="D165" i="5"/>
  <c r="C165" i="5"/>
  <c r="D164" i="5"/>
  <c r="C164" i="5"/>
  <c r="D163" i="5"/>
  <c r="C163" i="5"/>
  <c r="D162" i="5"/>
  <c r="C162" i="5"/>
  <c r="D161" i="5"/>
  <c r="C161" i="5"/>
  <c r="D160" i="5"/>
  <c r="C160" i="5"/>
  <c r="D159" i="5"/>
  <c r="C159" i="5"/>
  <c r="D158" i="5"/>
  <c r="C158" i="5"/>
  <c r="D157" i="5"/>
  <c r="C157" i="5"/>
  <c r="D156" i="5"/>
  <c r="C156" i="5"/>
  <c r="D155" i="5"/>
  <c r="C155" i="5"/>
  <c r="D154" i="5"/>
  <c r="C154" i="5"/>
  <c r="D153" i="5"/>
  <c r="C153" i="5"/>
  <c r="D152" i="5"/>
  <c r="C152" i="5"/>
  <c r="D151" i="5"/>
  <c r="C151" i="5"/>
  <c r="D150" i="5"/>
  <c r="C150" i="5"/>
  <c r="D149" i="5"/>
  <c r="C149" i="5"/>
  <c r="D148" i="5"/>
  <c r="C148" i="5"/>
  <c r="D147" i="5"/>
  <c r="C147" i="5"/>
  <c r="D146" i="5"/>
  <c r="C146" i="5"/>
  <c r="D145" i="5"/>
  <c r="C145" i="5"/>
  <c r="D144" i="5"/>
  <c r="C144" i="5"/>
  <c r="D143" i="5"/>
  <c r="C143" i="5"/>
  <c r="D142" i="5"/>
  <c r="C142" i="5"/>
  <c r="D141" i="5"/>
  <c r="C141" i="5"/>
  <c r="D140" i="5"/>
  <c r="C140" i="5"/>
  <c r="D139" i="5"/>
  <c r="C139" i="5"/>
  <c r="D138" i="5"/>
  <c r="C138" i="5"/>
  <c r="D137" i="5"/>
  <c r="C137" i="5"/>
  <c r="D136" i="5"/>
  <c r="C136" i="5"/>
  <c r="D135" i="5"/>
  <c r="C135" i="5"/>
  <c r="D134" i="5"/>
  <c r="C134" i="5"/>
  <c r="D133" i="5"/>
  <c r="C133" i="5"/>
  <c r="D132" i="5"/>
  <c r="C132" i="5"/>
  <c r="D131" i="5"/>
  <c r="C131" i="5"/>
  <c r="D130" i="5"/>
  <c r="C130" i="5"/>
  <c r="D129" i="5"/>
  <c r="C129" i="5"/>
  <c r="D128" i="5"/>
  <c r="C128" i="5"/>
  <c r="D127" i="5"/>
  <c r="C127" i="5"/>
  <c r="D126" i="5"/>
  <c r="C126" i="5"/>
  <c r="D125" i="5"/>
  <c r="C125" i="5"/>
  <c r="D124" i="5"/>
  <c r="C124" i="5"/>
  <c r="D123" i="5"/>
  <c r="C123" i="5"/>
  <c r="D122" i="5"/>
  <c r="C122" i="5"/>
  <c r="D121" i="5"/>
  <c r="C121" i="5"/>
  <c r="D120" i="5"/>
  <c r="C120" i="5"/>
  <c r="D119" i="5"/>
  <c r="C119" i="5"/>
  <c r="D118" i="5"/>
  <c r="C118" i="5"/>
  <c r="D117" i="5"/>
  <c r="C117" i="5"/>
  <c r="D116" i="5"/>
  <c r="C116" i="5"/>
  <c r="D115" i="5"/>
  <c r="C115" i="5"/>
  <c r="D114" i="5"/>
  <c r="C114" i="5"/>
  <c r="D113" i="5"/>
  <c r="C113" i="5"/>
  <c r="D112" i="5"/>
  <c r="C112" i="5"/>
  <c r="D111" i="5"/>
  <c r="C111" i="5"/>
  <c r="D110" i="5"/>
  <c r="C110" i="5"/>
  <c r="D109" i="5"/>
  <c r="C109" i="5"/>
  <c r="D108" i="5"/>
  <c r="C108" i="5"/>
  <c r="D107" i="5"/>
  <c r="C107" i="5"/>
  <c r="D106" i="5"/>
  <c r="C106" i="5"/>
  <c r="D105" i="5"/>
  <c r="C105" i="5"/>
  <c r="D104" i="5"/>
  <c r="C104" i="5"/>
  <c r="D103" i="5"/>
  <c r="C103" i="5"/>
  <c r="D102" i="5"/>
  <c r="C102" i="5"/>
  <c r="D101" i="5"/>
  <c r="C101" i="5"/>
  <c r="D100" i="5"/>
  <c r="C100" i="5"/>
  <c r="D99" i="5"/>
  <c r="C99" i="5"/>
  <c r="D98" i="5"/>
  <c r="C98" i="5"/>
  <c r="D97" i="5"/>
  <c r="C97" i="5"/>
  <c r="D96" i="5"/>
  <c r="C96" i="5"/>
  <c r="D95" i="5"/>
  <c r="C95" i="5"/>
  <c r="D94" i="5"/>
  <c r="C94" i="5"/>
  <c r="D93" i="5"/>
  <c r="C93" i="5"/>
  <c r="D92" i="5"/>
  <c r="C92" i="5"/>
  <c r="D91" i="5"/>
  <c r="C91" i="5"/>
  <c r="D90" i="5"/>
  <c r="C90" i="5"/>
  <c r="D89" i="5"/>
  <c r="C89" i="5"/>
  <c r="D88" i="5"/>
  <c r="C88" i="5"/>
  <c r="D87" i="5"/>
  <c r="C87" i="5"/>
  <c r="D86" i="5"/>
  <c r="C86" i="5"/>
  <c r="D85" i="5"/>
  <c r="C85" i="5"/>
  <c r="D84" i="5"/>
  <c r="C84" i="5"/>
  <c r="D83" i="5"/>
  <c r="C83" i="5"/>
  <c r="D82" i="5"/>
  <c r="C82" i="5"/>
  <c r="D81" i="5"/>
  <c r="C81" i="5"/>
  <c r="D80" i="5"/>
  <c r="C80" i="5"/>
  <c r="D79" i="5"/>
  <c r="C79" i="5"/>
  <c r="D78" i="5"/>
  <c r="C78" i="5"/>
  <c r="D77" i="5"/>
  <c r="C77" i="5"/>
  <c r="D76" i="5"/>
  <c r="C76" i="5"/>
  <c r="D75" i="5"/>
  <c r="C75" i="5"/>
  <c r="D74" i="5"/>
  <c r="C74" i="5"/>
  <c r="D73" i="5"/>
  <c r="C73" i="5"/>
  <c r="D72" i="5"/>
  <c r="C72" i="5"/>
  <c r="D71" i="5"/>
  <c r="C71" i="5"/>
  <c r="D70" i="5"/>
  <c r="C70" i="5"/>
  <c r="D69" i="5"/>
  <c r="C69" i="5"/>
  <c r="D68" i="5"/>
  <c r="C68" i="5"/>
  <c r="D67" i="5"/>
  <c r="C67" i="5"/>
  <c r="D66" i="5"/>
  <c r="C66" i="5"/>
  <c r="D65" i="5"/>
  <c r="C65" i="5"/>
  <c r="D64" i="5"/>
  <c r="C64" i="5"/>
  <c r="D63" i="5"/>
  <c r="C63" i="5"/>
  <c r="D62" i="5"/>
  <c r="C62" i="5"/>
  <c r="D61" i="5"/>
  <c r="C61" i="5"/>
  <c r="D60" i="5"/>
  <c r="C60" i="5"/>
  <c r="D59" i="5"/>
  <c r="C59" i="5"/>
  <c r="D58" i="5"/>
  <c r="C58" i="5"/>
  <c r="D57" i="5"/>
  <c r="C57" i="5"/>
  <c r="D56" i="5"/>
  <c r="C56" i="5"/>
  <c r="D55" i="5"/>
  <c r="C55" i="5"/>
  <c r="D54" i="5"/>
  <c r="C54" i="5"/>
  <c r="D53" i="5"/>
  <c r="C53" i="5"/>
  <c r="D52" i="5"/>
  <c r="C52" i="5"/>
  <c r="D51" i="5"/>
  <c r="C51" i="5"/>
  <c r="D50" i="5"/>
  <c r="C50" i="5"/>
  <c r="D49" i="5"/>
  <c r="C49" i="5"/>
  <c r="D48" i="5"/>
  <c r="C48" i="5"/>
  <c r="D47" i="5"/>
  <c r="C47" i="5"/>
  <c r="D46" i="5"/>
  <c r="C46" i="5"/>
  <c r="D45" i="5"/>
  <c r="C45" i="5"/>
  <c r="D44" i="5"/>
  <c r="C44" i="5"/>
  <c r="D43" i="5"/>
  <c r="C43" i="5"/>
  <c r="D42" i="5"/>
  <c r="C42" i="5"/>
  <c r="D41" i="5"/>
  <c r="C41" i="5"/>
  <c r="D40" i="5"/>
  <c r="C40" i="5"/>
  <c r="D39" i="5"/>
  <c r="C39" i="5"/>
  <c r="D38" i="5"/>
  <c r="C38" i="5"/>
  <c r="D37" i="5"/>
  <c r="C37" i="5"/>
  <c r="D36" i="5"/>
  <c r="C36" i="5"/>
  <c r="D35" i="5"/>
  <c r="C35" i="5"/>
  <c r="D34" i="5"/>
  <c r="C34" i="5"/>
  <c r="D33" i="5"/>
  <c r="C33" i="5"/>
  <c r="D32" i="5"/>
  <c r="C32" i="5"/>
  <c r="D31" i="5"/>
  <c r="C31" i="5"/>
  <c r="D30" i="5"/>
  <c r="C30" i="5"/>
  <c r="D29" i="5"/>
  <c r="C29" i="5"/>
  <c r="D28" i="5"/>
  <c r="C28" i="5"/>
  <c r="D27" i="5"/>
  <c r="C27" i="5"/>
  <c r="D26" i="5"/>
  <c r="C26" i="5"/>
  <c r="D25" i="5"/>
  <c r="C25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D15" i="5"/>
  <c r="C15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J25" i="5" s="1"/>
  <c r="F24" i="5"/>
  <c r="F23" i="5"/>
  <c r="F22" i="5"/>
  <c r="F21" i="5"/>
  <c r="F20" i="5"/>
  <c r="F19" i="5"/>
  <c r="F18" i="5"/>
  <c r="F17" i="5"/>
  <c r="E9" i="5"/>
  <c r="B9" i="5"/>
  <c r="J152" i="5" s="1"/>
  <c r="E9" i="2"/>
  <c r="D266" i="2"/>
  <c r="C266" i="2"/>
  <c r="D265" i="2"/>
  <c r="C265" i="2"/>
  <c r="D264" i="2"/>
  <c r="C264" i="2"/>
  <c r="D263" i="2"/>
  <c r="C263" i="2"/>
  <c r="D262" i="2"/>
  <c r="C262" i="2"/>
  <c r="D261" i="2"/>
  <c r="C261" i="2"/>
  <c r="D260" i="2"/>
  <c r="C260" i="2"/>
  <c r="D259" i="2"/>
  <c r="C259" i="2"/>
  <c r="D258" i="2"/>
  <c r="C258" i="2"/>
  <c r="D257" i="2"/>
  <c r="C257" i="2"/>
  <c r="D256" i="2"/>
  <c r="C256" i="2"/>
  <c r="D255" i="2"/>
  <c r="C255" i="2"/>
  <c r="D254" i="2"/>
  <c r="C254" i="2"/>
  <c r="D253" i="2"/>
  <c r="C253" i="2"/>
  <c r="D252" i="2"/>
  <c r="C252" i="2"/>
  <c r="D251" i="2"/>
  <c r="C251" i="2"/>
  <c r="D250" i="2"/>
  <c r="C250" i="2"/>
  <c r="D249" i="2"/>
  <c r="C249" i="2"/>
  <c r="D248" i="2"/>
  <c r="C248" i="2"/>
  <c r="D247" i="2"/>
  <c r="C247" i="2"/>
  <c r="D246" i="2"/>
  <c r="C246" i="2"/>
  <c r="D245" i="2"/>
  <c r="C245" i="2"/>
  <c r="D244" i="2"/>
  <c r="C244" i="2"/>
  <c r="D243" i="2"/>
  <c r="C243" i="2"/>
  <c r="D242" i="2"/>
  <c r="C242" i="2"/>
  <c r="D241" i="2"/>
  <c r="C241" i="2"/>
  <c r="D240" i="2"/>
  <c r="C240" i="2"/>
  <c r="D239" i="2"/>
  <c r="C239" i="2"/>
  <c r="D238" i="2"/>
  <c r="C238" i="2"/>
  <c r="D237" i="2"/>
  <c r="C237" i="2"/>
  <c r="D236" i="2"/>
  <c r="C236" i="2"/>
  <c r="D235" i="2"/>
  <c r="C235" i="2"/>
  <c r="D234" i="2"/>
  <c r="C234" i="2"/>
  <c r="D233" i="2"/>
  <c r="C233" i="2"/>
  <c r="D232" i="2"/>
  <c r="C232" i="2"/>
  <c r="D231" i="2"/>
  <c r="C231" i="2"/>
  <c r="D230" i="2"/>
  <c r="C230" i="2"/>
  <c r="D229" i="2"/>
  <c r="C229" i="2"/>
  <c r="D228" i="2"/>
  <c r="C228" i="2"/>
  <c r="D227" i="2"/>
  <c r="C227" i="2"/>
  <c r="D226" i="2"/>
  <c r="C226" i="2"/>
  <c r="D225" i="2"/>
  <c r="C225" i="2"/>
  <c r="D224" i="2"/>
  <c r="C224" i="2"/>
  <c r="D223" i="2"/>
  <c r="C223" i="2"/>
  <c r="D222" i="2"/>
  <c r="C222" i="2"/>
  <c r="D221" i="2"/>
  <c r="C221" i="2"/>
  <c r="D220" i="2"/>
  <c r="C220" i="2"/>
  <c r="D219" i="2"/>
  <c r="C219" i="2"/>
  <c r="D218" i="2"/>
  <c r="C218" i="2"/>
  <c r="D217" i="2"/>
  <c r="C217" i="2"/>
  <c r="D216" i="2"/>
  <c r="C216" i="2"/>
  <c r="D215" i="2"/>
  <c r="C215" i="2"/>
  <c r="D214" i="2"/>
  <c r="C214" i="2"/>
  <c r="D213" i="2"/>
  <c r="C213" i="2"/>
  <c r="D212" i="2"/>
  <c r="C212" i="2"/>
  <c r="D211" i="2"/>
  <c r="C211" i="2"/>
  <c r="D210" i="2"/>
  <c r="C210" i="2"/>
  <c r="D209" i="2"/>
  <c r="C209" i="2"/>
  <c r="D208" i="2"/>
  <c r="C208" i="2"/>
  <c r="D207" i="2"/>
  <c r="C207" i="2"/>
  <c r="D206" i="2"/>
  <c r="C206" i="2"/>
  <c r="D205" i="2"/>
  <c r="C205" i="2"/>
  <c r="D204" i="2"/>
  <c r="C204" i="2"/>
  <c r="D203" i="2"/>
  <c r="C203" i="2"/>
  <c r="D202" i="2"/>
  <c r="C202" i="2"/>
  <c r="D201" i="2"/>
  <c r="C201" i="2"/>
  <c r="D200" i="2"/>
  <c r="C200" i="2"/>
  <c r="D199" i="2"/>
  <c r="C199" i="2"/>
  <c r="D198" i="2"/>
  <c r="C198" i="2"/>
  <c r="D197" i="2"/>
  <c r="C197" i="2"/>
  <c r="D196" i="2"/>
  <c r="C196" i="2"/>
  <c r="D195" i="2"/>
  <c r="C195" i="2"/>
  <c r="D194" i="2"/>
  <c r="C194" i="2"/>
  <c r="D193" i="2"/>
  <c r="C193" i="2"/>
  <c r="D192" i="2"/>
  <c r="C192" i="2"/>
  <c r="D191" i="2"/>
  <c r="C191" i="2"/>
  <c r="D190" i="2"/>
  <c r="C190" i="2"/>
  <c r="D189" i="2"/>
  <c r="C189" i="2"/>
  <c r="D188" i="2"/>
  <c r="C188" i="2"/>
  <c r="D187" i="2"/>
  <c r="C187" i="2"/>
  <c r="D186" i="2"/>
  <c r="C186" i="2"/>
  <c r="D185" i="2"/>
  <c r="C185" i="2"/>
  <c r="D184" i="2"/>
  <c r="C184" i="2"/>
  <c r="D183" i="2"/>
  <c r="C183" i="2"/>
  <c r="D182" i="2"/>
  <c r="C182" i="2"/>
  <c r="D181" i="2"/>
  <c r="C181" i="2"/>
  <c r="D180" i="2"/>
  <c r="C180" i="2"/>
  <c r="D179" i="2"/>
  <c r="C179" i="2"/>
  <c r="D178" i="2"/>
  <c r="C178" i="2"/>
  <c r="D177" i="2"/>
  <c r="C177" i="2"/>
  <c r="D176" i="2"/>
  <c r="C176" i="2"/>
  <c r="D175" i="2"/>
  <c r="C175" i="2"/>
  <c r="D174" i="2"/>
  <c r="C174" i="2"/>
  <c r="D173" i="2"/>
  <c r="C173" i="2"/>
  <c r="D172" i="2"/>
  <c r="C172" i="2"/>
  <c r="D171" i="2"/>
  <c r="C171" i="2"/>
  <c r="D170" i="2"/>
  <c r="C170" i="2"/>
  <c r="D169" i="2"/>
  <c r="C169" i="2"/>
  <c r="D168" i="2"/>
  <c r="C168" i="2"/>
  <c r="D167" i="2"/>
  <c r="C167" i="2"/>
  <c r="D166" i="2"/>
  <c r="C166" i="2"/>
  <c r="D165" i="2"/>
  <c r="C165" i="2"/>
  <c r="D164" i="2"/>
  <c r="C164" i="2"/>
  <c r="D163" i="2"/>
  <c r="C163" i="2"/>
  <c r="D162" i="2"/>
  <c r="C162" i="2"/>
  <c r="D161" i="2"/>
  <c r="C161" i="2"/>
  <c r="D160" i="2"/>
  <c r="C160" i="2"/>
  <c r="D159" i="2"/>
  <c r="C159" i="2"/>
  <c r="D158" i="2"/>
  <c r="C158" i="2"/>
  <c r="D157" i="2"/>
  <c r="C157" i="2"/>
  <c r="D156" i="2"/>
  <c r="C156" i="2"/>
  <c r="D155" i="2"/>
  <c r="C155" i="2"/>
  <c r="D154" i="2"/>
  <c r="C154" i="2"/>
  <c r="D153" i="2"/>
  <c r="C153" i="2"/>
  <c r="D152" i="2"/>
  <c r="C152" i="2"/>
  <c r="D151" i="2"/>
  <c r="C151" i="2"/>
  <c r="D150" i="2"/>
  <c r="C150" i="2"/>
  <c r="D149" i="2"/>
  <c r="C149" i="2"/>
  <c r="D148" i="2"/>
  <c r="C148" i="2"/>
  <c r="D147" i="2"/>
  <c r="C147" i="2"/>
  <c r="D146" i="2"/>
  <c r="C146" i="2"/>
  <c r="D145" i="2"/>
  <c r="C145" i="2"/>
  <c r="D144" i="2"/>
  <c r="C144" i="2"/>
  <c r="D143" i="2"/>
  <c r="C143" i="2"/>
  <c r="D142" i="2"/>
  <c r="C142" i="2"/>
  <c r="D141" i="2"/>
  <c r="C141" i="2"/>
  <c r="D140" i="2"/>
  <c r="C140" i="2"/>
  <c r="D139" i="2"/>
  <c r="C139" i="2"/>
  <c r="D138" i="2"/>
  <c r="C138" i="2"/>
  <c r="D137" i="2"/>
  <c r="C137" i="2"/>
  <c r="D136" i="2"/>
  <c r="C136" i="2"/>
  <c r="D135" i="2"/>
  <c r="C135" i="2"/>
  <c r="D134" i="2"/>
  <c r="C134" i="2"/>
  <c r="D133" i="2"/>
  <c r="C133" i="2"/>
  <c r="D132" i="2"/>
  <c r="C132" i="2"/>
  <c r="D131" i="2"/>
  <c r="C131" i="2"/>
  <c r="D130" i="2"/>
  <c r="C130" i="2"/>
  <c r="D129" i="2"/>
  <c r="C129" i="2"/>
  <c r="D128" i="2"/>
  <c r="C128" i="2"/>
  <c r="D127" i="2"/>
  <c r="C127" i="2"/>
  <c r="D126" i="2"/>
  <c r="C126" i="2"/>
  <c r="D125" i="2"/>
  <c r="C125" i="2"/>
  <c r="D124" i="2"/>
  <c r="C124" i="2"/>
  <c r="D123" i="2"/>
  <c r="C123" i="2"/>
  <c r="D122" i="2"/>
  <c r="C122" i="2"/>
  <c r="D121" i="2"/>
  <c r="C121" i="2"/>
  <c r="D120" i="2"/>
  <c r="C120" i="2"/>
  <c r="D119" i="2"/>
  <c r="C119" i="2"/>
  <c r="D118" i="2"/>
  <c r="C118" i="2"/>
  <c r="D117" i="2"/>
  <c r="C117" i="2"/>
  <c r="D116" i="2"/>
  <c r="C116" i="2"/>
  <c r="D115" i="2"/>
  <c r="C115" i="2"/>
  <c r="D114" i="2"/>
  <c r="C114" i="2"/>
  <c r="D113" i="2"/>
  <c r="C113" i="2"/>
  <c r="D112" i="2"/>
  <c r="C112" i="2"/>
  <c r="D111" i="2"/>
  <c r="C111" i="2"/>
  <c r="D110" i="2"/>
  <c r="C110" i="2"/>
  <c r="D109" i="2"/>
  <c r="C109" i="2"/>
  <c r="D108" i="2"/>
  <c r="C108" i="2"/>
  <c r="D107" i="2"/>
  <c r="C107" i="2"/>
  <c r="D106" i="2"/>
  <c r="C106" i="2"/>
  <c r="D105" i="2"/>
  <c r="C105" i="2"/>
  <c r="D104" i="2"/>
  <c r="C104" i="2"/>
  <c r="D103" i="2"/>
  <c r="C103" i="2"/>
  <c r="D102" i="2"/>
  <c r="C102" i="2"/>
  <c r="D101" i="2"/>
  <c r="C101" i="2"/>
  <c r="D100" i="2"/>
  <c r="C100" i="2"/>
  <c r="D99" i="2"/>
  <c r="C99" i="2"/>
  <c r="D98" i="2"/>
  <c r="C98" i="2"/>
  <c r="D97" i="2"/>
  <c r="C97" i="2"/>
  <c r="D96" i="2"/>
  <c r="C96" i="2"/>
  <c r="D95" i="2"/>
  <c r="C95" i="2"/>
  <c r="D94" i="2"/>
  <c r="C94" i="2"/>
  <c r="D93" i="2"/>
  <c r="C93" i="2"/>
  <c r="D92" i="2"/>
  <c r="C92" i="2"/>
  <c r="D91" i="2"/>
  <c r="C91" i="2"/>
  <c r="D90" i="2"/>
  <c r="C90" i="2"/>
  <c r="D89" i="2"/>
  <c r="C89" i="2"/>
  <c r="D88" i="2"/>
  <c r="C88" i="2"/>
  <c r="D87" i="2"/>
  <c r="C87" i="2"/>
  <c r="D86" i="2"/>
  <c r="C86" i="2"/>
  <c r="D85" i="2"/>
  <c r="C85" i="2"/>
  <c r="D84" i="2"/>
  <c r="C84" i="2"/>
  <c r="D83" i="2"/>
  <c r="C83" i="2"/>
  <c r="D82" i="2"/>
  <c r="C82" i="2"/>
  <c r="D81" i="2"/>
  <c r="C81" i="2"/>
  <c r="D80" i="2"/>
  <c r="C80" i="2"/>
  <c r="D79" i="2"/>
  <c r="C79" i="2"/>
  <c r="D78" i="2"/>
  <c r="C78" i="2"/>
  <c r="D77" i="2"/>
  <c r="C77" i="2"/>
  <c r="D76" i="2"/>
  <c r="C76" i="2"/>
  <c r="D75" i="2"/>
  <c r="C75" i="2"/>
  <c r="D74" i="2"/>
  <c r="C74" i="2"/>
  <c r="D73" i="2"/>
  <c r="C73" i="2"/>
  <c r="D72" i="2"/>
  <c r="C72" i="2"/>
  <c r="D71" i="2"/>
  <c r="C71" i="2"/>
  <c r="D70" i="2"/>
  <c r="C70" i="2"/>
  <c r="D69" i="2"/>
  <c r="C69" i="2"/>
  <c r="D68" i="2"/>
  <c r="C68" i="2"/>
  <c r="D67" i="2"/>
  <c r="C67" i="2"/>
  <c r="D66" i="2"/>
  <c r="C66" i="2"/>
  <c r="D65" i="2"/>
  <c r="C65" i="2"/>
  <c r="D64" i="2"/>
  <c r="C64" i="2"/>
  <c r="D63" i="2"/>
  <c r="C63" i="2"/>
  <c r="D62" i="2"/>
  <c r="C62" i="2"/>
  <c r="D61" i="2"/>
  <c r="C61" i="2"/>
  <c r="D60" i="2"/>
  <c r="C60" i="2"/>
  <c r="D59" i="2"/>
  <c r="C59" i="2"/>
  <c r="D58" i="2"/>
  <c r="C58" i="2"/>
  <c r="D57" i="2"/>
  <c r="C57" i="2"/>
  <c r="D56" i="2"/>
  <c r="C56" i="2"/>
  <c r="D55" i="2"/>
  <c r="C55" i="2"/>
  <c r="D54" i="2"/>
  <c r="C54" i="2"/>
  <c r="D53" i="2"/>
  <c r="C53" i="2"/>
  <c r="D52" i="2"/>
  <c r="C52" i="2"/>
  <c r="D51" i="2"/>
  <c r="C51" i="2"/>
  <c r="D50" i="2"/>
  <c r="C50" i="2"/>
  <c r="D49" i="2"/>
  <c r="C49" i="2"/>
  <c r="D48" i="2"/>
  <c r="C48" i="2"/>
  <c r="D47" i="2"/>
  <c r="C47" i="2"/>
  <c r="D46" i="2"/>
  <c r="C46" i="2"/>
  <c r="D45" i="2"/>
  <c r="C45" i="2"/>
  <c r="D44" i="2"/>
  <c r="C44" i="2"/>
  <c r="D43" i="2"/>
  <c r="C43" i="2"/>
  <c r="D42" i="2"/>
  <c r="C42" i="2"/>
  <c r="D41" i="2"/>
  <c r="C41" i="2"/>
  <c r="D40" i="2"/>
  <c r="C40" i="2"/>
  <c r="D39" i="2"/>
  <c r="C39" i="2"/>
  <c r="D38" i="2"/>
  <c r="C38" i="2"/>
  <c r="D37" i="2"/>
  <c r="C37" i="2"/>
  <c r="D36" i="2"/>
  <c r="C36" i="2"/>
  <c r="D35" i="2"/>
  <c r="C35" i="2"/>
  <c r="D34" i="2"/>
  <c r="C34" i="2"/>
  <c r="D33" i="2"/>
  <c r="C33" i="2"/>
  <c r="D32" i="2"/>
  <c r="C32" i="2"/>
  <c r="D31" i="2"/>
  <c r="C31" i="2"/>
  <c r="D30" i="2"/>
  <c r="C30" i="2"/>
  <c r="D29" i="2"/>
  <c r="C29" i="2"/>
  <c r="D28" i="2"/>
  <c r="C28" i="2"/>
  <c r="D27" i="2"/>
  <c r="C27" i="2"/>
  <c r="D26" i="2"/>
  <c r="C26" i="2"/>
  <c r="D25" i="2"/>
  <c r="C25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H3" i="7" l="1"/>
  <c r="J14" i="10" s="1"/>
  <c r="J15" i="10" s="1"/>
  <c r="G4" i="7"/>
  <c r="G3" i="7"/>
  <c r="C3" i="10" s="1"/>
  <c r="F6" i="7"/>
  <c r="B6" i="10" s="1"/>
  <c r="J59" i="5"/>
  <c r="J82" i="5"/>
  <c r="J86" i="5"/>
  <c r="J98" i="5"/>
  <c r="J102" i="5"/>
  <c r="J114" i="5"/>
  <c r="J118" i="5"/>
  <c r="J130" i="5"/>
  <c r="J146" i="5"/>
  <c r="J516" i="5"/>
  <c r="J500" i="5"/>
  <c r="J484" i="5"/>
  <c r="J468" i="5"/>
  <c r="J452" i="5"/>
  <c r="J436" i="5"/>
  <c r="J420" i="5"/>
  <c r="J404" i="5"/>
  <c r="J388" i="5"/>
  <c r="J372" i="5"/>
  <c r="J356" i="5"/>
  <c r="J340" i="5"/>
  <c r="J324" i="5"/>
  <c r="J308" i="5"/>
  <c r="J292" i="5"/>
  <c r="J276" i="5"/>
  <c r="J24" i="5"/>
  <c r="J32" i="5"/>
  <c r="J40" i="5"/>
  <c r="J60" i="5"/>
  <c r="J75" i="5"/>
  <c r="J91" i="5"/>
  <c r="J107" i="5"/>
  <c r="J512" i="5"/>
  <c r="J496" i="5"/>
  <c r="J480" i="5"/>
  <c r="J464" i="5"/>
  <c r="J448" i="5"/>
  <c r="J432" i="5"/>
  <c r="J416" i="5"/>
  <c r="J400" i="5"/>
  <c r="J384" i="5"/>
  <c r="J368" i="5"/>
  <c r="J352" i="5"/>
  <c r="J336" i="5"/>
  <c r="J320" i="5"/>
  <c r="J304" i="5"/>
  <c r="J288" i="5"/>
  <c r="J272" i="5"/>
  <c r="J519" i="5"/>
  <c r="J515" i="5"/>
  <c r="J511" i="5"/>
  <c r="J507" i="5"/>
  <c r="J503" i="5"/>
  <c r="J499" i="5"/>
  <c r="J495" i="5"/>
  <c r="J491" i="5"/>
  <c r="J487" i="5"/>
  <c r="J483" i="5"/>
  <c r="J479" i="5"/>
  <c r="J475" i="5"/>
  <c r="J471" i="5"/>
  <c r="J467" i="5"/>
  <c r="J463" i="5"/>
  <c r="J459" i="5"/>
  <c r="J455" i="5"/>
  <c r="J451" i="5"/>
  <c r="J447" i="5"/>
  <c r="J443" i="5"/>
  <c r="J439" i="5"/>
  <c r="J435" i="5"/>
  <c r="J431" i="5"/>
  <c r="J427" i="5"/>
  <c r="J423" i="5"/>
  <c r="J419" i="5"/>
  <c r="J415" i="5"/>
  <c r="J411" i="5"/>
  <c r="J407" i="5"/>
  <c r="J403" i="5"/>
  <c r="J399" i="5"/>
  <c r="J395" i="5"/>
  <c r="J391" i="5"/>
  <c r="J387" i="5"/>
  <c r="J383" i="5"/>
  <c r="J379" i="5"/>
  <c r="J375" i="5"/>
  <c r="J371" i="5"/>
  <c r="J367" i="5"/>
  <c r="J363" i="5"/>
  <c r="J359" i="5"/>
  <c r="J355" i="5"/>
  <c r="J351" i="5"/>
  <c r="J347" i="5"/>
  <c r="J343" i="5"/>
  <c r="J339" i="5"/>
  <c r="J335" i="5"/>
  <c r="J331" i="5"/>
  <c r="J327" i="5"/>
  <c r="J323" i="5"/>
  <c r="J319" i="5"/>
  <c r="J315" i="5"/>
  <c r="J311" i="5"/>
  <c r="J307" i="5"/>
  <c r="J303" i="5"/>
  <c r="J299" i="5"/>
  <c r="J295" i="5"/>
  <c r="J291" i="5"/>
  <c r="J287" i="5"/>
  <c r="J283" i="5"/>
  <c r="J279" i="5"/>
  <c r="J275" i="5"/>
  <c r="J271" i="5"/>
  <c r="J18" i="5"/>
  <c r="J33" i="5"/>
  <c r="J41" i="5"/>
  <c r="J49" i="5"/>
  <c r="J76" i="5"/>
  <c r="J92" i="5"/>
  <c r="J108" i="5"/>
  <c r="J123" i="5"/>
  <c r="J139" i="5"/>
  <c r="J518" i="5"/>
  <c r="J514" i="5"/>
  <c r="J510" i="5"/>
  <c r="J506" i="5"/>
  <c r="J502" i="5"/>
  <c r="J498" i="5"/>
  <c r="J494" i="5"/>
  <c r="J490" i="5"/>
  <c r="J486" i="5"/>
  <c r="J482" i="5"/>
  <c r="J478" i="5"/>
  <c r="J474" i="5"/>
  <c r="J470" i="5"/>
  <c r="J466" i="5"/>
  <c r="J462" i="5"/>
  <c r="J458" i="5"/>
  <c r="J454" i="5"/>
  <c r="J450" i="5"/>
  <c r="J446" i="5"/>
  <c r="J442" i="5"/>
  <c r="J438" i="5"/>
  <c r="J434" i="5"/>
  <c r="J430" i="5"/>
  <c r="J426" i="5"/>
  <c r="J422" i="5"/>
  <c r="J418" i="5"/>
  <c r="J414" i="5"/>
  <c r="J410" i="5"/>
  <c r="J406" i="5"/>
  <c r="J402" i="5"/>
  <c r="J398" i="5"/>
  <c r="J394" i="5"/>
  <c r="J390" i="5"/>
  <c r="J386" i="5"/>
  <c r="J382" i="5"/>
  <c r="J378" i="5"/>
  <c r="J374" i="5"/>
  <c r="J370" i="5"/>
  <c r="J366" i="5"/>
  <c r="J362" i="5"/>
  <c r="J358" i="5"/>
  <c r="J354" i="5"/>
  <c r="J350" i="5"/>
  <c r="J346" i="5"/>
  <c r="J342" i="5"/>
  <c r="J338" i="5"/>
  <c r="J334" i="5"/>
  <c r="J330" i="5"/>
  <c r="J326" i="5"/>
  <c r="J322" i="5"/>
  <c r="J318" i="5"/>
  <c r="J314" i="5"/>
  <c r="J310" i="5"/>
  <c r="J306" i="5"/>
  <c r="J302" i="5"/>
  <c r="J298" i="5"/>
  <c r="J294" i="5"/>
  <c r="J290" i="5"/>
  <c r="J286" i="5"/>
  <c r="J282" i="5"/>
  <c r="J278" i="5"/>
  <c r="J274" i="5"/>
  <c r="J270" i="5"/>
  <c r="J26" i="5"/>
  <c r="J34" i="5"/>
  <c r="J42" i="5"/>
  <c r="J50" i="5"/>
  <c r="J54" i="5"/>
  <c r="J66" i="5"/>
  <c r="J70" i="5"/>
  <c r="J124" i="5"/>
  <c r="J140" i="5"/>
  <c r="J517" i="5"/>
  <c r="J513" i="5"/>
  <c r="J509" i="5"/>
  <c r="J505" i="5"/>
  <c r="J501" i="5"/>
  <c r="J497" i="5"/>
  <c r="J493" i="5"/>
  <c r="J489" i="5"/>
  <c r="J485" i="5"/>
  <c r="J481" i="5"/>
  <c r="J477" i="5"/>
  <c r="J473" i="5"/>
  <c r="J469" i="5"/>
  <c r="J465" i="5"/>
  <c r="J461" i="5"/>
  <c r="J457" i="5"/>
  <c r="J453" i="5"/>
  <c r="J449" i="5"/>
  <c r="J445" i="5"/>
  <c r="J441" i="5"/>
  <c r="J437" i="5"/>
  <c r="J433" i="5"/>
  <c r="J429" i="5"/>
  <c r="J425" i="5"/>
  <c r="J421" i="5"/>
  <c r="J417" i="5"/>
  <c r="J413" i="5"/>
  <c r="J409" i="5"/>
  <c r="J405" i="5"/>
  <c r="J401" i="5"/>
  <c r="J397" i="5"/>
  <c r="J393" i="5"/>
  <c r="J389" i="5"/>
  <c r="J385" i="5"/>
  <c r="J381" i="5"/>
  <c r="J377" i="5"/>
  <c r="J373" i="5"/>
  <c r="J369" i="5"/>
  <c r="J365" i="5"/>
  <c r="J361" i="5"/>
  <c r="J357" i="5"/>
  <c r="J353" i="5"/>
  <c r="J349" i="5"/>
  <c r="J345" i="5"/>
  <c r="J341" i="5"/>
  <c r="J337" i="5"/>
  <c r="J333" i="5"/>
  <c r="J329" i="5"/>
  <c r="J325" i="5"/>
  <c r="J321" i="5"/>
  <c r="J317" i="5"/>
  <c r="J313" i="5"/>
  <c r="J309" i="5"/>
  <c r="J305" i="5"/>
  <c r="J301" i="5"/>
  <c r="J297" i="5"/>
  <c r="J293" i="5"/>
  <c r="J289" i="5"/>
  <c r="J285" i="5"/>
  <c r="J281" i="5"/>
  <c r="J277" i="5"/>
  <c r="J273" i="5"/>
  <c r="J269" i="5"/>
  <c r="J180" i="2"/>
  <c r="G16" i="5"/>
  <c r="H16" i="5"/>
  <c r="L16" i="5" s="1"/>
  <c r="G444" i="5"/>
  <c r="K444" i="5" s="1"/>
  <c r="G460" i="5"/>
  <c r="K460" i="5" s="1"/>
  <c r="G476" i="5"/>
  <c r="K476" i="5" s="1"/>
  <c r="G492" i="5"/>
  <c r="K492" i="5" s="1"/>
  <c r="G508" i="5"/>
  <c r="K508" i="5" s="1"/>
  <c r="H20" i="5"/>
  <c r="L20" i="5" s="1"/>
  <c r="H45" i="5"/>
  <c r="L45" i="5" s="1"/>
  <c r="H53" i="5"/>
  <c r="L53" i="5" s="1"/>
  <c r="H186" i="5"/>
  <c r="L186" i="5" s="1"/>
  <c r="H269" i="5"/>
  <c r="L269" i="5" s="1"/>
  <c r="H271" i="5"/>
  <c r="L271" i="5" s="1"/>
  <c r="H273" i="5"/>
  <c r="L273" i="5" s="1"/>
  <c r="H275" i="5"/>
  <c r="L275" i="5" s="1"/>
  <c r="H277" i="5"/>
  <c r="L277" i="5" s="1"/>
  <c r="H279" i="5"/>
  <c r="L279" i="5" s="1"/>
  <c r="H281" i="5"/>
  <c r="L281" i="5" s="1"/>
  <c r="H283" i="5"/>
  <c r="L283" i="5" s="1"/>
  <c r="H285" i="5"/>
  <c r="L285" i="5" s="1"/>
  <c r="H287" i="5"/>
  <c r="L287" i="5" s="1"/>
  <c r="H289" i="5"/>
  <c r="L289" i="5" s="1"/>
  <c r="H291" i="5"/>
  <c r="L291" i="5" s="1"/>
  <c r="H293" i="5"/>
  <c r="L293" i="5" s="1"/>
  <c r="H295" i="5"/>
  <c r="L295" i="5" s="1"/>
  <c r="H297" i="5"/>
  <c r="L297" i="5" s="1"/>
  <c r="H299" i="5"/>
  <c r="L299" i="5" s="1"/>
  <c r="H301" i="5"/>
  <c r="L301" i="5" s="1"/>
  <c r="H303" i="5"/>
  <c r="L303" i="5" s="1"/>
  <c r="H305" i="5"/>
  <c r="L305" i="5" s="1"/>
  <c r="H307" i="5"/>
  <c r="L307" i="5" s="1"/>
  <c r="H309" i="5"/>
  <c r="L309" i="5" s="1"/>
  <c r="H311" i="5"/>
  <c r="L311" i="5" s="1"/>
  <c r="H313" i="5"/>
  <c r="L313" i="5" s="1"/>
  <c r="H315" i="5"/>
  <c r="L315" i="5" s="1"/>
  <c r="H317" i="5"/>
  <c r="L317" i="5" s="1"/>
  <c r="H319" i="5"/>
  <c r="L319" i="5" s="1"/>
  <c r="H321" i="5"/>
  <c r="L321" i="5" s="1"/>
  <c r="H323" i="5"/>
  <c r="L323" i="5" s="1"/>
  <c r="H325" i="5"/>
  <c r="L325" i="5" s="1"/>
  <c r="H327" i="5"/>
  <c r="L327" i="5" s="1"/>
  <c r="H329" i="5"/>
  <c r="L329" i="5" s="1"/>
  <c r="H331" i="5"/>
  <c r="L331" i="5" s="1"/>
  <c r="H333" i="5"/>
  <c r="L333" i="5" s="1"/>
  <c r="H335" i="5"/>
  <c r="L335" i="5" s="1"/>
  <c r="H337" i="5"/>
  <c r="L337" i="5" s="1"/>
  <c r="H339" i="5"/>
  <c r="L339" i="5" s="1"/>
  <c r="H341" i="5"/>
  <c r="L341" i="5" s="1"/>
  <c r="H343" i="5"/>
  <c r="L343" i="5" s="1"/>
  <c r="H345" i="5"/>
  <c r="L345" i="5" s="1"/>
  <c r="H347" i="5"/>
  <c r="L347" i="5" s="1"/>
  <c r="H349" i="5"/>
  <c r="L349" i="5" s="1"/>
  <c r="H351" i="5"/>
  <c r="L351" i="5" s="1"/>
  <c r="H353" i="5"/>
  <c r="L353" i="5" s="1"/>
  <c r="H355" i="5"/>
  <c r="L355" i="5" s="1"/>
  <c r="H357" i="5"/>
  <c r="L357" i="5" s="1"/>
  <c r="H359" i="5"/>
  <c r="L359" i="5" s="1"/>
  <c r="H361" i="5"/>
  <c r="L361" i="5" s="1"/>
  <c r="H363" i="5"/>
  <c r="L363" i="5" s="1"/>
  <c r="H365" i="5"/>
  <c r="L365" i="5" s="1"/>
  <c r="H367" i="5"/>
  <c r="L367" i="5" s="1"/>
  <c r="H369" i="5"/>
  <c r="L369" i="5" s="1"/>
  <c r="H371" i="5"/>
  <c r="L371" i="5" s="1"/>
  <c r="H373" i="5"/>
  <c r="L373" i="5" s="1"/>
  <c r="H375" i="5"/>
  <c r="L375" i="5" s="1"/>
  <c r="H377" i="5"/>
  <c r="L377" i="5" s="1"/>
  <c r="H379" i="5"/>
  <c r="L379" i="5" s="1"/>
  <c r="H381" i="5"/>
  <c r="L381" i="5" s="1"/>
  <c r="H383" i="5"/>
  <c r="L383" i="5" s="1"/>
  <c r="H385" i="5"/>
  <c r="L385" i="5" s="1"/>
  <c r="H387" i="5"/>
  <c r="L387" i="5" s="1"/>
  <c r="H389" i="5"/>
  <c r="L389" i="5" s="1"/>
  <c r="H391" i="5"/>
  <c r="L391" i="5" s="1"/>
  <c r="H393" i="5"/>
  <c r="L393" i="5" s="1"/>
  <c r="H395" i="5"/>
  <c r="L395" i="5" s="1"/>
  <c r="H397" i="5"/>
  <c r="L397" i="5" s="1"/>
  <c r="H399" i="5"/>
  <c r="L399" i="5" s="1"/>
  <c r="H401" i="5"/>
  <c r="L401" i="5" s="1"/>
  <c r="H403" i="5"/>
  <c r="L403" i="5" s="1"/>
  <c r="H405" i="5"/>
  <c r="L405" i="5" s="1"/>
  <c r="H407" i="5"/>
  <c r="L407" i="5" s="1"/>
  <c r="H409" i="5"/>
  <c r="L409" i="5" s="1"/>
  <c r="H411" i="5"/>
  <c r="L411" i="5" s="1"/>
  <c r="H413" i="5"/>
  <c r="L413" i="5" s="1"/>
  <c r="H415" i="5"/>
  <c r="L415" i="5" s="1"/>
  <c r="H417" i="5"/>
  <c r="L417" i="5" s="1"/>
  <c r="H419" i="5"/>
  <c r="L419" i="5" s="1"/>
  <c r="H421" i="5"/>
  <c r="L421" i="5" s="1"/>
  <c r="H423" i="5"/>
  <c r="L423" i="5" s="1"/>
  <c r="H425" i="5"/>
  <c r="L425" i="5" s="1"/>
  <c r="H427" i="5"/>
  <c r="L427" i="5" s="1"/>
  <c r="H429" i="5"/>
  <c r="L429" i="5" s="1"/>
  <c r="H431" i="5"/>
  <c r="L431" i="5" s="1"/>
  <c r="H433" i="5"/>
  <c r="L433" i="5" s="1"/>
  <c r="H435" i="5"/>
  <c r="L435" i="5" s="1"/>
  <c r="H439" i="5"/>
  <c r="L439" i="5" s="1"/>
  <c r="H443" i="5"/>
  <c r="L443" i="5" s="1"/>
  <c r="H447" i="5"/>
  <c r="L447" i="5" s="1"/>
  <c r="H451" i="5"/>
  <c r="L451" i="5" s="1"/>
  <c r="H455" i="5"/>
  <c r="L455" i="5" s="1"/>
  <c r="H459" i="5"/>
  <c r="L459" i="5" s="1"/>
  <c r="H463" i="5"/>
  <c r="L463" i="5" s="1"/>
  <c r="H467" i="5"/>
  <c r="L467" i="5" s="1"/>
  <c r="H471" i="5"/>
  <c r="L471" i="5" s="1"/>
  <c r="H475" i="5"/>
  <c r="L475" i="5" s="1"/>
  <c r="H479" i="5"/>
  <c r="L479" i="5" s="1"/>
  <c r="H483" i="5"/>
  <c r="L483" i="5" s="1"/>
  <c r="H487" i="5"/>
  <c r="L487" i="5" s="1"/>
  <c r="H491" i="5"/>
  <c r="L491" i="5" s="1"/>
  <c r="H495" i="5"/>
  <c r="L495" i="5" s="1"/>
  <c r="H499" i="5"/>
  <c r="L499" i="5" s="1"/>
  <c r="H503" i="5"/>
  <c r="L503" i="5" s="1"/>
  <c r="H507" i="5"/>
  <c r="L507" i="5" s="1"/>
  <c r="H511" i="5"/>
  <c r="L511" i="5" s="1"/>
  <c r="H515" i="5"/>
  <c r="L515" i="5" s="1"/>
  <c r="H519" i="5"/>
  <c r="L519" i="5" s="1"/>
  <c r="G264" i="5"/>
  <c r="G269" i="5"/>
  <c r="K269" i="5" s="1"/>
  <c r="G271" i="5"/>
  <c r="K271" i="5" s="1"/>
  <c r="G273" i="5"/>
  <c r="K273" i="5" s="1"/>
  <c r="G275" i="5"/>
  <c r="K275" i="5" s="1"/>
  <c r="G277" i="5"/>
  <c r="K277" i="5" s="1"/>
  <c r="G279" i="5"/>
  <c r="K279" i="5" s="1"/>
  <c r="G281" i="5"/>
  <c r="K281" i="5" s="1"/>
  <c r="G283" i="5"/>
  <c r="K283" i="5" s="1"/>
  <c r="G285" i="5"/>
  <c r="K285" i="5" s="1"/>
  <c r="G287" i="5"/>
  <c r="K287" i="5" s="1"/>
  <c r="G289" i="5"/>
  <c r="K289" i="5" s="1"/>
  <c r="G291" i="5"/>
  <c r="K291" i="5" s="1"/>
  <c r="G293" i="5"/>
  <c r="K293" i="5" s="1"/>
  <c r="G295" i="5"/>
  <c r="K295" i="5" s="1"/>
  <c r="G297" i="5"/>
  <c r="K297" i="5" s="1"/>
  <c r="G299" i="5"/>
  <c r="K299" i="5" s="1"/>
  <c r="G301" i="5"/>
  <c r="K301" i="5" s="1"/>
  <c r="G303" i="5"/>
  <c r="K303" i="5" s="1"/>
  <c r="G305" i="5"/>
  <c r="K305" i="5" s="1"/>
  <c r="G307" i="5"/>
  <c r="K307" i="5" s="1"/>
  <c r="G309" i="5"/>
  <c r="K309" i="5" s="1"/>
  <c r="G311" i="5"/>
  <c r="K311" i="5" s="1"/>
  <c r="G313" i="5"/>
  <c r="K313" i="5" s="1"/>
  <c r="G315" i="5"/>
  <c r="K315" i="5" s="1"/>
  <c r="G317" i="5"/>
  <c r="K317" i="5" s="1"/>
  <c r="G319" i="5"/>
  <c r="K319" i="5" s="1"/>
  <c r="G321" i="5"/>
  <c r="K321" i="5" s="1"/>
  <c r="G323" i="5"/>
  <c r="K323" i="5" s="1"/>
  <c r="G325" i="5"/>
  <c r="K325" i="5" s="1"/>
  <c r="G327" i="5"/>
  <c r="K327" i="5" s="1"/>
  <c r="G329" i="5"/>
  <c r="K329" i="5" s="1"/>
  <c r="G331" i="5"/>
  <c r="K331" i="5" s="1"/>
  <c r="G333" i="5"/>
  <c r="K333" i="5" s="1"/>
  <c r="G335" i="5"/>
  <c r="K335" i="5" s="1"/>
  <c r="G337" i="5"/>
  <c r="K337" i="5" s="1"/>
  <c r="G339" i="5"/>
  <c r="K339" i="5" s="1"/>
  <c r="G341" i="5"/>
  <c r="K341" i="5" s="1"/>
  <c r="G343" i="5"/>
  <c r="K343" i="5" s="1"/>
  <c r="G345" i="5"/>
  <c r="K345" i="5" s="1"/>
  <c r="G347" i="5"/>
  <c r="K347" i="5" s="1"/>
  <c r="G349" i="5"/>
  <c r="K349" i="5" s="1"/>
  <c r="G351" i="5"/>
  <c r="K351" i="5" s="1"/>
  <c r="G353" i="5"/>
  <c r="K353" i="5" s="1"/>
  <c r="G355" i="5"/>
  <c r="K355" i="5" s="1"/>
  <c r="G357" i="5"/>
  <c r="K357" i="5" s="1"/>
  <c r="G359" i="5"/>
  <c r="K359" i="5" s="1"/>
  <c r="G361" i="5"/>
  <c r="K361" i="5" s="1"/>
  <c r="G363" i="5"/>
  <c r="K363" i="5" s="1"/>
  <c r="G365" i="5"/>
  <c r="K365" i="5" s="1"/>
  <c r="G367" i="5"/>
  <c r="K367" i="5" s="1"/>
  <c r="G369" i="5"/>
  <c r="K369" i="5" s="1"/>
  <c r="G371" i="5"/>
  <c r="K371" i="5" s="1"/>
  <c r="G373" i="5"/>
  <c r="K373" i="5" s="1"/>
  <c r="G375" i="5"/>
  <c r="K375" i="5" s="1"/>
  <c r="G377" i="5"/>
  <c r="K377" i="5" s="1"/>
  <c r="G379" i="5"/>
  <c r="K379" i="5" s="1"/>
  <c r="G381" i="5"/>
  <c r="K381" i="5" s="1"/>
  <c r="G383" i="5"/>
  <c r="K383" i="5" s="1"/>
  <c r="G385" i="5"/>
  <c r="K385" i="5" s="1"/>
  <c r="G387" i="5"/>
  <c r="K387" i="5" s="1"/>
  <c r="G389" i="5"/>
  <c r="K389" i="5" s="1"/>
  <c r="G391" i="5"/>
  <c r="K391" i="5" s="1"/>
  <c r="G393" i="5"/>
  <c r="K393" i="5" s="1"/>
  <c r="G395" i="5"/>
  <c r="K395" i="5" s="1"/>
  <c r="G397" i="5"/>
  <c r="K397" i="5" s="1"/>
  <c r="G399" i="5"/>
  <c r="K399" i="5" s="1"/>
  <c r="G401" i="5"/>
  <c r="K401" i="5" s="1"/>
  <c r="G403" i="5"/>
  <c r="K403" i="5" s="1"/>
  <c r="G405" i="5"/>
  <c r="K405" i="5" s="1"/>
  <c r="G407" i="5"/>
  <c r="K407" i="5" s="1"/>
  <c r="G409" i="5"/>
  <c r="K409" i="5" s="1"/>
  <c r="G411" i="5"/>
  <c r="K411" i="5" s="1"/>
  <c r="G413" i="5"/>
  <c r="K413" i="5" s="1"/>
  <c r="G415" i="5"/>
  <c r="K415" i="5" s="1"/>
  <c r="G417" i="5"/>
  <c r="K417" i="5" s="1"/>
  <c r="G419" i="5"/>
  <c r="K419" i="5" s="1"/>
  <c r="G421" i="5"/>
  <c r="K421" i="5" s="1"/>
  <c r="G423" i="5"/>
  <c r="K423" i="5" s="1"/>
  <c r="G425" i="5"/>
  <c r="K425" i="5" s="1"/>
  <c r="G427" i="5"/>
  <c r="K427" i="5" s="1"/>
  <c r="G429" i="5"/>
  <c r="K429" i="5" s="1"/>
  <c r="G431" i="5"/>
  <c r="K431" i="5" s="1"/>
  <c r="G433" i="5"/>
  <c r="K433" i="5" s="1"/>
  <c r="G435" i="5"/>
  <c r="K435" i="5" s="1"/>
  <c r="G437" i="5"/>
  <c r="K437" i="5" s="1"/>
  <c r="G439" i="5"/>
  <c r="K439" i="5" s="1"/>
  <c r="G441" i="5"/>
  <c r="K441" i="5" s="1"/>
  <c r="G443" i="5"/>
  <c r="K443" i="5" s="1"/>
  <c r="G445" i="5"/>
  <c r="K445" i="5" s="1"/>
  <c r="G447" i="5"/>
  <c r="K447" i="5" s="1"/>
  <c r="G449" i="5"/>
  <c r="K449" i="5" s="1"/>
  <c r="G451" i="5"/>
  <c r="K451" i="5" s="1"/>
  <c r="G453" i="5"/>
  <c r="K453" i="5" s="1"/>
  <c r="G455" i="5"/>
  <c r="K455" i="5" s="1"/>
  <c r="G457" i="5"/>
  <c r="K457" i="5" s="1"/>
  <c r="G459" i="5"/>
  <c r="K459" i="5" s="1"/>
  <c r="G461" i="5"/>
  <c r="K461" i="5" s="1"/>
  <c r="G463" i="5"/>
  <c r="K463" i="5" s="1"/>
  <c r="G465" i="5"/>
  <c r="K465" i="5" s="1"/>
  <c r="G467" i="5"/>
  <c r="K467" i="5" s="1"/>
  <c r="G469" i="5"/>
  <c r="K469" i="5" s="1"/>
  <c r="G471" i="5"/>
  <c r="K471" i="5" s="1"/>
  <c r="G473" i="5"/>
  <c r="K473" i="5" s="1"/>
  <c r="G475" i="5"/>
  <c r="K475" i="5" s="1"/>
  <c r="G477" i="5"/>
  <c r="K477" i="5" s="1"/>
  <c r="G479" i="5"/>
  <c r="K479" i="5" s="1"/>
  <c r="G481" i="5"/>
  <c r="K481" i="5" s="1"/>
  <c r="G483" i="5"/>
  <c r="K483" i="5" s="1"/>
  <c r="G485" i="5"/>
  <c r="K485" i="5" s="1"/>
  <c r="G487" i="5"/>
  <c r="K487" i="5" s="1"/>
  <c r="G489" i="5"/>
  <c r="K489" i="5" s="1"/>
  <c r="G491" i="5"/>
  <c r="K491" i="5" s="1"/>
  <c r="G493" i="5"/>
  <c r="K493" i="5" s="1"/>
  <c r="G495" i="5"/>
  <c r="K495" i="5" s="1"/>
  <c r="G497" i="5"/>
  <c r="K497" i="5" s="1"/>
  <c r="G499" i="5"/>
  <c r="K499" i="5" s="1"/>
  <c r="G501" i="5"/>
  <c r="K501" i="5" s="1"/>
  <c r="G503" i="5"/>
  <c r="K503" i="5" s="1"/>
  <c r="G505" i="5"/>
  <c r="K505" i="5" s="1"/>
  <c r="G507" i="5"/>
  <c r="K507" i="5" s="1"/>
  <c r="G509" i="5"/>
  <c r="K509" i="5" s="1"/>
  <c r="G511" i="5"/>
  <c r="K511" i="5" s="1"/>
  <c r="G513" i="5"/>
  <c r="K513" i="5" s="1"/>
  <c r="G515" i="5"/>
  <c r="K515" i="5" s="1"/>
  <c r="G517" i="5"/>
  <c r="K517" i="5" s="1"/>
  <c r="G519" i="5"/>
  <c r="K519" i="5" s="1"/>
  <c r="G472" i="5"/>
  <c r="K472" i="5" s="1"/>
  <c r="G456" i="5"/>
  <c r="K456" i="5" s="1"/>
  <c r="H438" i="5"/>
  <c r="L438" i="5" s="1"/>
  <c r="H437" i="5"/>
  <c r="L437" i="5" s="1"/>
  <c r="H442" i="5"/>
  <c r="L442" i="5" s="1"/>
  <c r="H441" i="5"/>
  <c r="L441" i="5" s="1"/>
  <c r="H446" i="5"/>
  <c r="L446" i="5" s="1"/>
  <c r="H445" i="5"/>
  <c r="L445" i="5" s="1"/>
  <c r="H450" i="5"/>
  <c r="L450" i="5" s="1"/>
  <c r="H449" i="5"/>
  <c r="L449" i="5" s="1"/>
  <c r="H454" i="5"/>
  <c r="L454" i="5" s="1"/>
  <c r="H453" i="5"/>
  <c r="L453" i="5" s="1"/>
  <c r="H458" i="5"/>
  <c r="L458" i="5" s="1"/>
  <c r="H457" i="5"/>
  <c r="L457" i="5" s="1"/>
  <c r="H462" i="5"/>
  <c r="L462" i="5" s="1"/>
  <c r="H461" i="5"/>
  <c r="L461" i="5" s="1"/>
  <c r="H466" i="5"/>
  <c r="L466" i="5" s="1"/>
  <c r="H465" i="5"/>
  <c r="L465" i="5" s="1"/>
  <c r="H470" i="5"/>
  <c r="L470" i="5" s="1"/>
  <c r="H469" i="5"/>
  <c r="L469" i="5" s="1"/>
  <c r="H474" i="5"/>
  <c r="L474" i="5" s="1"/>
  <c r="H473" i="5"/>
  <c r="L473" i="5" s="1"/>
  <c r="H478" i="5"/>
  <c r="L478" i="5" s="1"/>
  <c r="H477" i="5"/>
  <c r="L477" i="5" s="1"/>
  <c r="H482" i="5"/>
  <c r="L482" i="5" s="1"/>
  <c r="H481" i="5"/>
  <c r="L481" i="5" s="1"/>
  <c r="H486" i="5"/>
  <c r="L486" i="5" s="1"/>
  <c r="H485" i="5"/>
  <c r="L485" i="5" s="1"/>
  <c r="H490" i="5"/>
  <c r="L490" i="5" s="1"/>
  <c r="H489" i="5"/>
  <c r="L489" i="5" s="1"/>
  <c r="H494" i="5"/>
  <c r="L494" i="5" s="1"/>
  <c r="H493" i="5"/>
  <c r="L493" i="5" s="1"/>
  <c r="H498" i="5"/>
  <c r="L498" i="5" s="1"/>
  <c r="H497" i="5"/>
  <c r="L497" i="5" s="1"/>
  <c r="H502" i="5"/>
  <c r="L502" i="5" s="1"/>
  <c r="H501" i="5"/>
  <c r="L501" i="5" s="1"/>
  <c r="H506" i="5"/>
  <c r="L506" i="5" s="1"/>
  <c r="H505" i="5"/>
  <c r="L505" i="5" s="1"/>
  <c r="H510" i="5"/>
  <c r="L510" i="5" s="1"/>
  <c r="H509" i="5"/>
  <c r="L509" i="5" s="1"/>
  <c r="H514" i="5"/>
  <c r="L514" i="5" s="1"/>
  <c r="H513" i="5"/>
  <c r="L513" i="5" s="1"/>
  <c r="H518" i="5"/>
  <c r="L518" i="5" s="1"/>
  <c r="H517" i="5"/>
  <c r="L517" i="5" s="1"/>
  <c r="G516" i="5"/>
  <c r="K516" i="5" s="1"/>
  <c r="G500" i="5"/>
  <c r="K500" i="5" s="1"/>
  <c r="G484" i="5"/>
  <c r="K484" i="5" s="1"/>
  <c r="G468" i="5"/>
  <c r="K468" i="5" s="1"/>
  <c r="G452" i="5"/>
  <c r="K452" i="5" s="1"/>
  <c r="G504" i="5"/>
  <c r="K504" i="5" s="1"/>
  <c r="G488" i="5"/>
  <c r="K488" i="5" s="1"/>
  <c r="G440" i="5"/>
  <c r="K440" i="5" s="1"/>
  <c r="G512" i="5"/>
  <c r="K512" i="5" s="1"/>
  <c r="G496" i="5"/>
  <c r="K496" i="5" s="1"/>
  <c r="G480" i="5"/>
  <c r="K480" i="5" s="1"/>
  <c r="G464" i="5"/>
  <c r="K464" i="5" s="1"/>
  <c r="G448" i="5"/>
  <c r="K448" i="5" s="1"/>
  <c r="G268" i="5"/>
  <c r="K268" i="5" s="1"/>
  <c r="G270" i="5"/>
  <c r="K270" i="5" s="1"/>
  <c r="G272" i="5"/>
  <c r="K272" i="5" s="1"/>
  <c r="G274" i="5"/>
  <c r="K274" i="5" s="1"/>
  <c r="G276" i="5"/>
  <c r="K276" i="5" s="1"/>
  <c r="G278" i="5"/>
  <c r="K278" i="5" s="1"/>
  <c r="G280" i="5"/>
  <c r="K280" i="5" s="1"/>
  <c r="G282" i="5"/>
  <c r="K282" i="5" s="1"/>
  <c r="G284" i="5"/>
  <c r="K284" i="5" s="1"/>
  <c r="G286" i="5"/>
  <c r="K286" i="5" s="1"/>
  <c r="G288" i="5"/>
  <c r="K288" i="5" s="1"/>
  <c r="G290" i="5"/>
  <c r="K290" i="5" s="1"/>
  <c r="G292" i="5"/>
  <c r="K292" i="5" s="1"/>
  <c r="G294" i="5"/>
  <c r="K294" i="5" s="1"/>
  <c r="G296" i="5"/>
  <c r="K296" i="5" s="1"/>
  <c r="G298" i="5"/>
  <c r="K298" i="5" s="1"/>
  <c r="G300" i="5"/>
  <c r="K300" i="5" s="1"/>
  <c r="G302" i="5"/>
  <c r="K302" i="5" s="1"/>
  <c r="G304" i="5"/>
  <c r="K304" i="5" s="1"/>
  <c r="G306" i="5"/>
  <c r="K306" i="5" s="1"/>
  <c r="G308" i="5"/>
  <c r="K308" i="5" s="1"/>
  <c r="G310" i="5"/>
  <c r="K310" i="5" s="1"/>
  <c r="G312" i="5"/>
  <c r="K312" i="5" s="1"/>
  <c r="G314" i="5"/>
  <c r="K314" i="5" s="1"/>
  <c r="G316" i="5"/>
  <c r="K316" i="5" s="1"/>
  <c r="G318" i="5"/>
  <c r="K318" i="5" s="1"/>
  <c r="G320" i="5"/>
  <c r="K320" i="5" s="1"/>
  <c r="G322" i="5"/>
  <c r="K322" i="5" s="1"/>
  <c r="G324" i="5"/>
  <c r="K324" i="5" s="1"/>
  <c r="G326" i="5"/>
  <c r="K326" i="5" s="1"/>
  <c r="G328" i="5"/>
  <c r="K328" i="5" s="1"/>
  <c r="G330" i="5"/>
  <c r="K330" i="5" s="1"/>
  <c r="G332" i="5"/>
  <c r="K332" i="5" s="1"/>
  <c r="G334" i="5"/>
  <c r="K334" i="5" s="1"/>
  <c r="G336" i="5"/>
  <c r="K336" i="5" s="1"/>
  <c r="G338" i="5"/>
  <c r="K338" i="5" s="1"/>
  <c r="G340" i="5"/>
  <c r="K340" i="5" s="1"/>
  <c r="G342" i="5"/>
  <c r="K342" i="5" s="1"/>
  <c r="G344" i="5"/>
  <c r="K344" i="5" s="1"/>
  <c r="G346" i="5"/>
  <c r="K346" i="5" s="1"/>
  <c r="G348" i="5"/>
  <c r="K348" i="5" s="1"/>
  <c r="G350" i="5"/>
  <c r="K350" i="5" s="1"/>
  <c r="G352" i="5"/>
  <c r="K352" i="5" s="1"/>
  <c r="G354" i="5"/>
  <c r="K354" i="5" s="1"/>
  <c r="G356" i="5"/>
  <c r="K356" i="5" s="1"/>
  <c r="G358" i="5"/>
  <c r="K358" i="5" s="1"/>
  <c r="G360" i="5"/>
  <c r="K360" i="5" s="1"/>
  <c r="G362" i="5"/>
  <c r="K362" i="5" s="1"/>
  <c r="G364" i="5"/>
  <c r="K364" i="5" s="1"/>
  <c r="G366" i="5"/>
  <c r="K366" i="5" s="1"/>
  <c r="G368" i="5"/>
  <c r="K368" i="5" s="1"/>
  <c r="G370" i="5"/>
  <c r="K370" i="5" s="1"/>
  <c r="G372" i="5"/>
  <c r="K372" i="5" s="1"/>
  <c r="G374" i="5"/>
  <c r="K374" i="5" s="1"/>
  <c r="G376" i="5"/>
  <c r="K376" i="5" s="1"/>
  <c r="G378" i="5"/>
  <c r="K378" i="5" s="1"/>
  <c r="G380" i="5"/>
  <c r="K380" i="5" s="1"/>
  <c r="G382" i="5"/>
  <c r="K382" i="5" s="1"/>
  <c r="G384" i="5"/>
  <c r="K384" i="5" s="1"/>
  <c r="G386" i="5"/>
  <c r="K386" i="5" s="1"/>
  <c r="G388" i="5"/>
  <c r="K388" i="5" s="1"/>
  <c r="G390" i="5"/>
  <c r="K390" i="5" s="1"/>
  <c r="G392" i="5"/>
  <c r="K392" i="5" s="1"/>
  <c r="G394" i="5"/>
  <c r="K394" i="5" s="1"/>
  <c r="G396" i="5"/>
  <c r="K396" i="5" s="1"/>
  <c r="G398" i="5"/>
  <c r="K398" i="5" s="1"/>
  <c r="G400" i="5"/>
  <c r="K400" i="5" s="1"/>
  <c r="G402" i="5"/>
  <c r="K402" i="5" s="1"/>
  <c r="G404" i="5"/>
  <c r="K404" i="5" s="1"/>
  <c r="G406" i="5"/>
  <c r="K406" i="5" s="1"/>
  <c r="G408" i="5"/>
  <c r="K408" i="5" s="1"/>
  <c r="G410" i="5"/>
  <c r="K410" i="5" s="1"/>
  <c r="G412" i="5"/>
  <c r="K412" i="5" s="1"/>
  <c r="G414" i="5"/>
  <c r="K414" i="5" s="1"/>
  <c r="G416" i="5"/>
  <c r="K416" i="5" s="1"/>
  <c r="G418" i="5"/>
  <c r="K418" i="5" s="1"/>
  <c r="G420" i="5"/>
  <c r="K420" i="5" s="1"/>
  <c r="G422" i="5"/>
  <c r="K422" i="5" s="1"/>
  <c r="G424" i="5"/>
  <c r="K424" i="5" s="1"/>
  <c r="G426" i="5"/>
  <c r="K426" i="5" s="1"/>
  <c r="G428" i="5"/>
  <c r="K428" i="5" s="1"/>
  <c r="G430" i="5"/>
  <c r="K430" i="5" s="1"/>
  <c r="G434" i="5"/>
  <c r="K434" i="5" s="1"/>
  <c r="G438" i="5"/>
  <c r="K438" i="5" s="1"/>
  <c r="G442" i="5"/>
  <c r="K442" i="5" s="1"/>
  <c r="G446" i="5"/>
  <c r="K446" i="5" s="1"/>
  <c r="G450" i="5"/>
  <c r="K450" i="5" s="1"/>
  <c r="G454" i="5"/>
  <c r="K454" i="5" s="1"/>
  <c r="G458" i="5"/>
  <c r="K458" i="5" s="1"/>
  <c r="G462" i="5"/>
  <c r="K462" i="5" s="1"/>
  <c r="G466" i="5"/>
  <c r="K466" i="5" s="1"/>
  <c r="G470" i="5"/>
  <c r="K470" i="5" s="1"/>
  <c r="G474" i="5"/>
  <c r="K474" i="5" s="1"/>
  <c r="G478" i="5"/>
  <c r="K478" i="5" s="1"/>
  <c r="G482" i="5"/>
  <c r="K482" i="5" s="1"/>
  <c r="G486" i="5"/>
  <c r="K486" i="5" s="1"/>
  <c r="G490" i="5"/>
  <c r="K490" i="5" s="1"/>
  <c r="G494" i="5"/>
  <c r="K494" i="5" s="1"/>
  <c r="G498" i="5"/>
  <c r="K498" i="5" s="1"/>
  <c r="G502" i="5"/>
  <c r="K502" i="5" s="1"/>
  <c r="G506" i="5"/>
  <c r="K506" i="5" s="1"/>
  <c r="G510" i="5"/>
  <c r="K510" i="5" s="1"/>
  <c r="G514" i="5"/>
  <c r="K514" i="5" s="1"/>
  <c r="G518" i="5"/>
  <c r="K518" i="5" s="1"/>
  <c r="H268" i="5"/>
  <c r="L268" i="5" s="1"/>
  <c r="H270" i="5"/>
  <c r="L270" i="5" s="1"/>
  <c r="H272" i="5"/>
  <c r="L272" i="5" s="1"/>
  <c r="H274" i="5"/>
  <c r="L274" i="5" s="1"/>
  <c r="H276" i="5"/>
  <c r="L276" i="5" s="1"/>
  <c r="H278" i="5"/>
  <c r="L278" i="5" s="1"/>
  <c r="H280" i="5"/>
  <c r="L280" i="5" s="1"/>
  <c r="H282" i="5"/>
  <c r="L282" i="5" s="1"/>
  <c r="H284" i="5"/>
  <c r="L284" i="5" s="1"/>
  <c r="H286" i="5"/>
  <c r="L286" i="5" s="1"/>
  <c r="H288" i="5"/>
  <c r="L288" i="5" s="1"/>
  <c r="H290" i="5"/>
  <c r="L290" i="5" s="1"/>
  <c r="H292" i="5"/>
  <c r="L292" i="5" s="1"/>
  <c r="H294" i="5"/>
  <c r="L294" i="5" s="1"/>
  <c r="H296" i="5"/>
  <c r="L296" i="5" s="1"/>
  <c r="H298" i="5"/>
  <c r="L298" i="5" s="1"/>
  <c r="H300" i="5"/>
  <c r="L300" i="5" s="1"/>
  <c r="H302" i="5"/>
  <c r="L302" i="5" s="1"/>
  <c r="H304" i="5"/>
  <c r="L304" i="5" s="1"/>
  <c r="H306" i="5"/>
  <c r="L306" i="5" s="1"/>
  <c r="H308" i="5"/>
  <c r="L308" i="5" s="1"/>
  <c r="H310" i="5"/>
  <c r="L310" i="5" s="1"/>
  <c r="H312" i="5"/>
  <c r="L312" i="5" s="1"/>
  <c r="H314" i="5"/>
  <c r="L314" i="5" s="1"/>
  <c r="H316" i="5"/>
  <c r="L316" i="5" s="1"/>
  <c r="H318" i="5"/>
  <c r="L318" i="5" s="1"/>
  <c r="H320" i="5"/>
  <c r="L320" i="5" s="1"/>
  <c r="H322" i="5"/>
  <c r="L322" i="5" s="1"/>
  <c r="H324" i="5"/>
  <c r="L324" i="5" s="1"/>
  <c r="H326" i="5"/>
  <c r="L326" i="5" s="1"/>
  <c r="H328" i="5"/>
  <c r="L328" i="5" s="1"/>
  <c r="H330" i="5"/>
  <c r="L330" i="5" s="1"/>
  <c r="H332" i="5"/>
  <c r="L332" i="5" s="1"/>
  <c r="H334" i="5"/>
  <c r="L334" i="5" s="1"/>
  <c r="H336" i="5"/>
  <c r="L336" i="5" s="1"/>
  <c r="H338" i="5"/>
  <c r="L338" i="5" s="1"/>
  <c r="H340" i="5"/>
  <c r="L340" i="5" s="1"/>
  <c r="H342" i="5"/>
  <c r="L342" i="5" s="1"/>
  <c r="H344" i="5"/>
  <c r="L344" i="5" s="1"/>
  <c r="H346" i="5"/>
  <c r="L346" i="5" s="1"/>
  <c r="H348" i="5"/>
  <c r="L348" i="5" s="1"/>
  <c r="H350" i="5"/>
  <c r="L350" i="5" s="1"/>
  <c r="H352" i="5"/>
  <c r="L352" i="5" s="1"/>
  <c r="H354" i="5"/>
  <c r="L354" i="5" s="1"/>
  <c r="H356" i="5"/>
  <c r="L356" i="5" s="1"/>
  <c r="H358" i="5"/>
  <c r="L358" i="5" s="1"/>
  <c r="H360" i="5"/>
  <c r="L360" i="5" s="1"/>
  <c r="H362" i="5"/>
  <c r="L362" i="5" s="1"/>
  <c r="H364" i="5"/>
  <c r="L364" i="5" s="1"/>
  <c r="H366" i="5"/>
  <c r="L366" i="5" s="1"/>
  <c r="H368" i="5"/>
  <c r="L368" i="5" s="1"/>
  <c r="H370" i="5"/>
  <c r="L370" i="5" s="1"/>
  <c r="H372" i="5"/>
  <c r="L372" i="5" s="1"/>
  <c r="H374" i="5"/>
  <c r="L374" i="5" s="1"/>
  <c r="H376" i="5"/>
  <c r="L376" i="5" s="1"/>
  <c r="H378" i="5"/>
  <c r="L378" i="5" s="1"/>
  <c r="H380" i="5"/>
  <c r="L380" i="5" s="1"/>
  <c r="H382" i="5"/>
  <c r="L382" i="5" s="1"/>
  <c r="H384" i="5"/>
  <c r="L384" i="5" s="1"/>
  <c r="H386" i="5"/>
  <c r="L386" i="5" s="1"/>
  <c r="H388" i="5"/>
  <c r="L388" i="5" s="1"/>
  <c r="H390" i="5"/>
  <c r="L390" i="5" s="1"/>
  <c r="H392" i="5"/>
  <c r="L392" i="5" s="1"/>
  <c r="H394" i="5"/>
  <c r="L394" i="5" s="1"/>
  <c r="H396" i="5"/>
  <c r="L396" i="5" s="1"/>
  <c r="H398" i="5"/>
  <c r="L398" i="5" s="1"/>
  <c r="H400" i="5"/>
  <c r="L400" i="5" s="1"/>
  <c r="H402" i="5"/>
  <c r="L402" i="5" s="1"/>
  <c r="H404" i="5"/>
  <c r="L404" i="5" s="1"/>
  <c r="H406" i="5"/>
  <c r="L406" i="5" s="1"/>
  <c r="H408" i="5"/>
  <c r="L408" i="5" s="1"/>
  <c r="H410" i="5"/>
  <c r="L410" i="5" s="1"/>
  <c r="H412" i="5"/>
  <c r="L412" i="5" s="1"/>
  <c r="H414" i="5"/>
  <c r="L414" i="5" s="1"/>
  <c r="H416" i="5"/>
  <c r="L416" i="5" s="1"/>
  <c r="H418" i="5"/>
  <c r="L418" i="5" s="1"/>
  <c r="H420" i="5"/>
  <c r="L420" i="5" s="1"/>
  <c r="H422" i="5"/>
  <c r="L422" i="5" s="1"/>
  <c r="H424" i="5"/>
  <c r="L424" i="5" s="1"/>
  <c r="H426" i="5"/>
  <c r="L426" i="5" s="1"/>
  <c r="H428" i="5"/>
  <c r="L428" i="5" s="1"/>
  <c r="H432" i="5"/>
  <c r="L432" i="5" s="1"/>
  <c r="H436" i="5"/>
  <c r="L436" i="5" s="1"/>
  <c r="H440" i="5"/>
  <c r="L440" i="5" s="1"/>
  <c r="H444" i="5"/>
  <c r="L444" i="5" s="1"/>
  <c r="H448" i="5"/>
  <c r="L448" i="5" s="1"/>
  <c r="H452" i="5"/>
  <c r="L452" i="5" s="1"/>
  <c r="H456" i="5"/>
  <c r="L456" i="5" s="1"/>
  <c r="H460" i="5"/>
  <c r="L460" i="5" s="1"/>
  <c r="H464" i="5"/>
  <c r="L464" i="5" s="1"/>
  <c r="H468" i="5"/>
  <c r="L468" i="5" s="1"/>
  <c r="H472" i="5"/>
  <c r="L472" i="5" s="1"/>
  <c r="H476" i="5"/>
  <c r="L476" i="5" s="1"/>
  <c r="H480" i="5"/>
  <c r="L480" i="5" s="1"/>
  <c r="H484" i="5"/>
  <c r="L484" i="5" s="1"/>
  <c r="H488" i="5"/>
  <c r="L488" i="5" s="1"/>
  <c r="H492" i="5"/>
  <c r="L492" i="5" s="1"/>
  <c r="H496" i="5"/>
  <c r="L496" i="5" s="1"/>
  <c r="H500" i="5"/>
  <c r="L500" i="5" s="1"/>
  <c r="H504" i="5"/>
  <c r="L504" i="5" s="1"/>
  <c r="H508" i="5"/>
  <c r="L508" i="5" s="1"/>
  <c r="H512" i="5"/>
  <c r="L512" i="5" s="1"/>
  <c r="H516" i="5"/>
  <c r="L516" i="5" s="1"/>
  <c r="G432" i="5"/>
  <c r="K432" i="5" s="1"/>
  <c r="G436" i="5"/>
  <c r="K436" i="5" s="1"/>
  <c r="H430" i="5"/>
  <c r="L430" i="5" s="1"/>
  <c r="H434" i="5"/>
  <c r="L434" i="5" s="1"/>
  <c r="G33" i="5"/>
  <c r="K33" i="5" s="1"/>
  <c r="G37" i="5"/>
  <c r="K37" i="5" s="1"/>
  <c r="G41" i="5"/>
  <c r="K41" i="5" s="1"/>
  <c r="G46" i="5"/>
  <c r="K46" i="5" s="1"/>
  <c r="G50" i="5"/>
  <c r="K50" i="5" s="1"/>
  <c r="G53" i="5"/>
  <c r="K53" i="5" s="1"/>
  <c r="G178" i="5"/>
  <c r="K178" i="5" s="1"/>
  <c r="G191" i="5"/>
  <c r="K191" i="5" s="1"/>
  <c r="G204" i="5"/>
  <c r="K204" i="5" s="1"/>
  <c r="G215" i="5"/>
  <c r="K215" i="5" s="1"/>
  <c r="G216" i="5"/>
  <c r="K216" i="5" s="1"/>
  <c r="G232" i="5"/>
  <c r="K232" i="5" s="1"/>
  <c r="H28" i="5"/>
  <c r="L28" i="5" s="1"/>
  <c r="H32" i="5"/>
  <c r="L32" i="5" s="1"/>
  <c r="H36" i="5"/>
  <c r="L36" i="5" s="1"/>
  <c r="H44" i="5"/>
  <c r="L44" i="5" s="1"/>
  <c r="H48" i="5"/>
  <c r="L48" i="5" s="1"/>
  <c r="G25" i="5"/>
  <c r="K25" i="5" s="1"/>
  <c r="G45" i="5"/>
  <c r="K45" i="5" s="1"/>
  <c r="G49" i="5"/>
  <c r="K49" i="5" s="1"/>
  <c r="H52" i="5"/>
  <c r="L52" i="5" s="1"/>
  <c r="G54" i="5"/>
  <c r="K54" i="5" s="1"/>
  <c r="G21" i="5"/>
  <c r="K21" i="5" s="1"/>
  <c r="G29" i="5"/>
  <c r="K29" i="5" s="1"/>
  <c r="G117" i="5"/>
  <c r="K117" i="5" s="1"/>
  <c r="G158" i="5"/>
  <c r="K158" i="5" s="1"/>
  <c r="G101" i="5"/>
  <c r="K101" i="5" s="1"/>
  <c r="G43" i="5"/>
  <c r="K43" i="5" s="1"/>
  <c r="G102" i="5"/>
  <c r="K102" i="5" s="1"/>
  <c r="G69" i="5"/>
  <c r="K69" i="5" s="1"/>
  <c r="G22" i="5"/>
  <c r="K22" i="5" s="1"/>
  <c r="G93" i="5"/>
  <c r="K93" i="5" s="1"/>
  <c r="G61" i="5"/>
  <c r="K61" i="5" s="1"/>
  <c r="G166" i="5"/>
  <c r="K166" i="5" s="1"/>
  <c r="G202" i="5"/>
  <c r="K202" i="5" s="1"/>
  <c r="H198" i="5"/>
  <c r="L198" i="5" s="1"/>
  <c r="H242" i="5"/>
  <c r="L242" i="5" s="1"/>
  <c r="H259" i="5"/>
  <c r="L259" i="5" s="1"/>
  <c r="G141" i="5"/>
  <c r="K141" i="5" s="1"/>
  <c r="G142" i="5"/>
  <c r="K142" i="5" s="1"/>
  <c r="G152" i="5"/>
  <c r="K152" i="5" s="1"/>
  <c r="G224" i="5"/>
  <c r="K224" i="5" s="1"/>
  <c r="H66" i="5"/>
  <c r="L66" i="5" s="1"/>
  <c r="H206" i="5"/>
  <c r="L206" i="5" s="1"/>
  <c r="H208" i="5"/>
  <c r="L208" i="5" s="1"/>
  <c r="H209" i="5"/>
  <c r="L209" i="5" s="1"/>
  <c r="G247" i="5"/>
  <c r="K247" i="5" s="1"/>
  <c r="G256" i="5"/>
  <c r="K256" i="5" s="1"/>
  <c r="H159" i="5"/>
  <c r="L159" i="5" s="1"/>
  <c r="G167" i="5"/>
  <c r="K167" i="5" s="1"/>
  <c r="G174" i="5"/>
  <c r="K174" i="5" s="1"/>
  <c r="G175" i="5"/>
  <c r="K175" i="5" s="1"/>
  <c r="G183" i="5"/>
  <c r="K183" i="5" s="1"/>
  <c r="H250" i="5"/>
  <c r="L250" i="5" s="1"/>
  <c r="H169" i="5"/>
  <c r="L169" i="5" s="1"/>
  <c r="H170" i="5"/>
  <c r="L170" i="5" s="1"/>
  <c r="H194" i="5"/>
  <c r="L194" i="5" s="1"/>
  <c r="G149" i="5"/>
  <c r="K149" i="5" s="1"/>
  <c r="H168" i="5"/>
  <c r="L168" i="5" s="1"/>
  <c r="H171" i="5"/>
  <c r="L171" i="5" s="1"/>
  <c r="G179" i="5"/>
  <c r="K179" i="5" s="1"/>
  <c r="G192" i="5"/>
  <c r="K192" i="5" s="1"/>
  <c r="H204" i="5"/>
  <c r="L204" i="5" s="1"/>
  <c r="H249" i="5"/>
  <c r="L249" i="5" s="1"/>
  <c r="H23" i="5"/>
  <c r="L23" i="5" s="1"/>
  <c r="G27" i="5"/>
  <c r="K27" i="5" s="1"/>
  <c r="H46" i="5"/>
  <c r="L46" i="5" s="1"/>
  <c r="G51" i="5"/>
  <c r="K51" i="5" s="1"/>
  <c r="H70" i="5"/>
  <c r="L70" i="5" s="1"/>
  <c r="H72" i="5"/>
  <c r="L72" i="5" s="1"/>
  <c r="H73" i="5"/>
  <c r="L73" i="5" s="1"/>
  <c r="G77" i="5"/>
  <c r="K77" i="5" s="1"/>
  <c r="G85" i="5"/>
  <c r="K85" i="5" s="1"/>
  <c r="H104" i="5"/>
  <c r="L104" i="5" s="1"/>
  <c r="H105" i="5"/>
  <c r="L105" i="5" s="1"/>
  <c r="G109" i="5"/>
  <c r="K109" i="5" s="1"/>
  <c r="G111" i="5"/>
  <c r="K111" i="5" s="1"/>
  <c r="G118" i="5"/>
  <c r="K118" i="5" s="1"/>
  <c r="H144" i="5"/>
  <c r="L144" i="5" s="1"/>
  <c r="H150" i="5"/>
  <c r="L150" i="5" s="1"/>
  <c r="G156" i="5"/>
  <c r="K156" i="5" s="1"/>
  <c r="H175" i="5"/>
  <c r="L175" i="5" s="1"/>
  <c r="H176" i="5"/>
  <c r="L176" i="5" s="1"/>
  <c r="H182" i="5"/>
  <c r="L182" i="5" s="1"/>
  <c r="H184" i="5"/>
  <c r="L184" i="5" s="1"/>
  <c r="H190" i="5"/>
  <c r="L190" i="5" s="1"/>
  <c r="H191" i="5"/>
  <c r="L191" i="5" s="1"/>
  <c r="H218" i="5"/>
  <c r="L218" i="5" s="1"/>
  <c r="H219" i="5"/>
  <c r="L219" i="5" s="1"/>
  <c r="H220" i="5"/>
  <c r="L220" i="5" s="1"/>
  <c r="G225" i="5"/>
  <c r="K225" i="5" s="1"/>
  <c r="G233" i="5"/>
  <c r="K233" i="5" s="1"/>
  <c r="G240" i="5"/>
  <c r="K240" i="5" s="1"/>
  <c r="H251" i="5"/>
  <c r="L251" i="5" s="1"/>
  <c r="H252" i="5"/>
  <c r="L252" i="5" s="1"/>
  <c r="G257" i="5"/>
  <c r="K257" i="5" s="1"/>
  <c r="H64" i="5"/>
  <c r="L64" i="5" s="1"/>
  <c r="H96" i="5"/>
  <c r="L96" i="5" s="1"/>
  <c r="G18" i="5"/>
  <c r="K18" i="5" s="1"/>
  <c r="H30" i="5"/>
  <c r="L30" i="5" s="1"/>
  <c r="H56" i="5"/>
  <c r="L56" i="5" s="1"/>
  <c r="H80" i="5"/>
  <c r="L80" i="5" s="1"/>
  <c r="H81" i="5"/>
  <c r="L81" i="5" s="1"/>
  <c r="H86" i="5"/>
  <c r="L86" i="5" s="1"/>
  <c r="H88" i="5"/>
  <c r="L88" i="5" s="1"/>
  <c r="H110" i="5"/>
  <c r="L110" i="5" s="1"/>
  <c r="H112" i="5"/>
  <c r="L112" i="5" s="1"/>
  <c r="H113" i="5"/>
  <c r="L113" i="5" s="1"/>
  <c r="H120" i="5"/>
  <c r="L120" i="5" s="1"/>
  <c r="H121" i="5"/>
  <c r="L121" i="5" s="1"/>
  <c r="G125" i="5"/>
  <c r="K125" i="5" s="1"/>
  <c r="G127" i="5"/>
  <c r="K127" i="5" s="1"/>
  <c r="G130" i="5"/>
  <c r="K130" i="5" s="1"/>
  <c r="G133" i="5"/>
  <c r="K133" i="5" s="1"/>
  <c r="H153" i="5"/>
  <c r="L153" i="5" s="1"/>
  <c r="H154" i="5"/>
  <c r="L154" i="5" s="1"/>
  <c r="H155" i="5"/>
  <c r="L155" i="5" s="1"/>
  <c r="G159" i="5"/>
  <c r="K159" i="5" s="1"/>
  <c r="G164" i="5"/>
  <c r="K164" i="5" s="1"/>
  <c r="H195" i="5"/>
  <c r="L195" i="5" s="1"/>
  <c r="G199" i="5"/>
  <c r="K199" i="5" s="1"/>
  <c r="H226" i="5"/>
  <c r="L226" i="5" s="1"/>
  <c r="H227" i="5"/>
  <c r="L227" i="5" s="1"/>
  <c r="H232" i="5"/>
  <c r="L232" i="5" s="1"/>
  <c r="H234" i="5"/>
  <c r="L234" i="5" s="1"/>
  <c r="H235" i="5"/>
  <c r="L235" i="5" s="1"/>
  <c r="H241" i="5"/>
  <c r="L241" i="5" s="1"/>
  <c r="H258" i="5"/>
  <c r="L258" i="5" s="1"/>
  <c r="G265" i="5"/>
  <c r="K265" i="5" s="1"/>
  <c r="H98" i="5"/>
  <c r="L98" i="5" s="1"/>
  <c r="H205" i="5"/>
  <c r="L205" i="5" s="1"/>
  <c r="G17" i="5"/>
  <c r="H17" i="5"/>
  <c r="G38" i="5"/>
  <c r="K38" i="5" s="1"/>
  <c r="G62" i="5"/>
  <c r="K62" i="5" s="1"/>
  <c r="G94" i="5"/>
  <c r="K94" i="5" s="1"/>
  <c r="H126" i="5"/>
  <c r="L126" i="5" s="1"/>
  <c r="H128" i="5"/>
  <c r="L128" i="5" s="1"/>
  <c r="H129" i="5"/>
  <c r="L129" i="5" s="1"/>
  <c r="H134" i="5"/>
  <c r="L134" i="5" s="1"/>
  <c r="H136" i="5"/>
  <c r="L136" i="5" s="1"/>
  <c r="H160" i="5"/>
  <c r="L160" i="5" s="1"/>
  <c r="H162" i="5"/>
  <c r="L162" i="5" s="1"/>
  <c r="H167" i="5"/>
  <c r="L167" i="5" s="1"/>
  <c r="G172" i="5"/>
  <c r="K172" i="5" s="1"/>
  <c r="H200" i="5"/>
  <c r="L200" i="5" s="1"/>
  <c r="H203" i="5"/>
  <c r="L203" i="5" s="1"/>
  <c r="G205" i="5"/>
  <c r="K205" i="5" s="1"/>
  <c r="H243" i="5"/>
  <c r="L243" i="5" s="1"/>
  <c r="H244" i="5"/>
  <c r="L244" i="5" s="1"/>
  <c r="G248" i="5"/>
  <c r="K248" i="5" s="1"/>
  <c r="H264" i="5"/>
  <c r="L264" i="5" s="1"/>
  <c r="H266" i="5"/>
  <c r="L266" i="5" s="1"/>
  <c r="H25" i="5"/>
  <c r="L25" i="5" s="1"/>
  <c r="H26" i="5"/>
  <c r="L26" i="5" s="1"/>
  <c r="H31" i="5"/>
  <c r="L31" i="5" s="1"/>
  <c r="H37" i="5"/>
  <c r="L37" i="5" s="1"/>
  <c r="G39" i="5"/>
  <c r="K39" i="5" s="1"/>
  <c r="G58" i="5"/>
  <c r="K58" i="5" s="1"/>
  <c r="H74" i="5"/>
  <c r="L74" i="5" s="1"/>
  <c r="H75" i="5"/>
  <c r="L75" i="5" s="1"/>
  <c r="H82" i="5"/>
  <c r="L82" i="5" s="1"/>
  <c r="H83" i="5"/>
  <c r="L83" i="5" s="1"/>
  <c r="H85" i="5"/>
  <c r="L85" i="5" s="1"/>
  <c r="G86" i="5"/>
  <c r="K86" i="5" s="1"/>
  <c r="G87" i="5"/>
  <c r="K87" i="5" s="1"/>
  <c r="H94" i="5"/>
  <c r="L94" i="5" s="1"/>
  <c r="G95" i="5"/>
  <c r="K95" i="5" s="1"/>
  <c r="H102" i="5"/>
  <c r="L102" i="5" s="1"/>
  <c r="G106" i="5"/>
  <c r="K106" i="5" s="1"/>
  <c r="G114" i="5"/>
  <c r="K114" i="5" s="1"/>
  <c r="H125" i="5"/>
  <c r="L125" i="5" s="1"/>
  <c r="G126" i="5"/>
  <c r="K126" i="5" s="1"/>
  <c r="H130" i="5"/>
  <c r="L130" i="5" s="1"/>
  <c r="H131" i="5"/>
  <c r="L131" i="5" s="1"/>
  <c r="H133" i="5"/>
  <c r="L133" i="5" s="1"/>
  <c r="G134" i="5"/>
  <c r="K134" i="5" s="1"/>
  <c r="G135" i="5"/>
  <c r="K135" i="5" s="1"/>
  <c r="H142" i="5"/>
  <c r="L142" i="5" s="1"/>
  <c r="G143" i="5"/>
  <c r="K143" i="5" s="1"/>
  <c r="G155" i="5"/>
  <c r="K155" i="5" s="1"/>
  <c r="H161" i="5"/>
  <c r="L161" i="5" s="1"/>
  <c r="G165" i="5"/>
  <c r="K165" i="5" s="1"/>
  <c r="G171" i="5"/>
  <c r="K171" i="5" s="1"/>
  <c r="G177" i="5"/>
  <c r="K177" i="5" s="1"/>
  <c r="H179" i="5"/>
  <c r="L179" i="5" s="1"/>
  <c r="G180" i="5"/>
  <c r="K180" i="5" s="1"/>
  <c r="G181" i="5"/>
  <c r="K181" i="5" s="1"/>
  <c r="G182" i="5"/>
  <c r="K182" i="5" s="1"/>
  <c r="H187" i="5"/>
  <c r="L187" i="5" s="1"/>
  <c r="H188" i="5"/>
  <c r="L188" i="5" s="1"/>
  <c r="H189" i="5"/>
  <c r="L189" i="5" s="1"/>
  <c r="H199" i="5"/>
  <c r="L199" i="5" s="1"/>
  <c r="G200" i="5"/>
  <c r="K200" i="5" s="1"/>
  <c r="G203" i="5"/>
  <c r="K203" i="5" s="1"/>
  <c r="G206" i="5"/>
  <c r="K206" i="5" s="1"/>
  <c r="H207" i="5"/>
  <c r="L207" i="5" s="1"/>
  <c r="H211" i="5"/>
  <c r="L211" i="5" s="1"/>
  <c r="G213" i="5"/>
  <c r="K213" i="5" s="1"/>
  <c r="G217" i="5"/>
  <c r="K217" i="5" s="1"/>
  <c r="G218" i="5"/>
  <c r="K218" i="5" s="1"/>
  <c r="H225" i="5"/>
  <c r="L225" i="5" s="1"/>
  <c r="G231" i="5"/>
  <c r="K231" i="5" s="1"/>
  <c r="H233" i="5"/>
  <c r="L233" i="5" s="1"/>
  <c r="G245" i="5"/>
  <c r="K245" i="5" s="1"/>
  <c r="G246" i="5"/>
  <c r="K246" i="5" s="1"/>
  <c r="G253" i="5"/>
  <c r="K253" i="5" s="1"/>
  <c r="G254" i="5"/>
  <c r="K254" i="5" s="1"/>
  <c r="H260" i="5"/>
  <c r="L260" i="5" s="1"/>
  <c r="H261" i="5"/>
  <c r="L261" i="5" s="1"/>
  <c r="H18" i="5"/>
  <c r="L18" i="5" s="1"/>
  <c r="G19" i="5"/>
  <c r="K19" i="5" s="1"/>
  <c r="H29" i="5"/>
  <c r="L29" i="5" s="1"/>
  <c r="G30" i="5"/>
  <c r="K30" i="5" s="1"/>
  <c r="G31" i="5"/>
  <c r="K31" i="5" s="1"/>
  <c r="H38" i="5"/>
  <c r="L38" i="5" s="1"/>
  <c r="H40" i="5"/>
  <c r="L40" i="5" s="1"/>
  <c r="G42" i="5"/>
  <c r="K42" i="5" s="1"/>
  <c r="H49" i="5"/>
  <c r="L49" i="5" s="1"/>
  <c r="H57" i="5"/>
  <c r="L57" i="5" s="1"/>
  <c r="H58" i="5"/>
  <c r="L58" i="5" s="1"/>
  <c r="H59" i="5"/>
  <c r="L59" i="5" s="1"/>
  <c r="H65" i="5"/>
  <c r="L65" i="5" s="1"/>
  <c r="G66" i="5"/>
  <c r="K66" i="5" s="1"/>
  <c r="H77" i="5"/>
  <c r="L77" i="5" s="1"/>
  <c r="G78" i="5"/>
  <c r="K78" i="5" s="1"/>
  <c r="G90" i="5"/>
  <c r="K90" i="5" s="1"/>
  <c r="H106" i="5"/>
  <c r="L106" i="5" s="1"/>
  <c r="H107" i="5"/>
  <c r="L107" i="5" s="1"/>
  <c r="H114" i="5"/>
  <c r="L114" i="5" s="1"/>
  <c r="H115" i="5"/>
  <c r="L115" i="5" s="1"/>
  <c r="H117" i="5"/>
  <c r="L117" i="5" s="1"/>
  <c r="G119" i="5"/>
  <c r="K119" i="5" s="1"/>
  <c r="G138" i="5"/>
  <c r="K138" i="5" s="1"/>
  <c r="G146" i="5"/>
  <c r="K146" i="5" s="1"/>
  <c r="H163" i="5"/>
  <c r="L163" i="5" s="1"/>
  <c r="H166" i="5"/>
  <c r="L166" i="5" s="1"/>
  <c r="G168" i="5"/>
  <c r="K168" i="5" s="1"/>
  <c r="G193" i="5"/>
  <c r="K193" i="5" s="1"/>
  <c r="H212" i="5"/>
  <c r="L212" i="5" s="1"/>
  <c r="H213" i="5"/>
  <c r="L213" i="5" s="1"/>
  <c r="H216" i="5"/>
  <c r="L216" i="5" s="1"/>
  <c r="H217" i="5"/>
  <c r="L217" i="5" s="1"/>
  <c r="G229" i="5"/>
  <c r="K229" i="5" s="1"/>
  <c r="G230" i="5"/>
  <c r="K230" i="5" s="1"/>
  <c r="G237" i="5"/>
  <c r="K237" i="5" s="1"/>
  <c r="G238" i="5"/>
  <c r="K238" i="5" s="1"/>
  <c r="H245" i="5"/>
  <c r="L245" i="5" s="1"/>
  <c r="H253" i="5"/>
  <c r="L253" i="5" s="1"/>
  <c r="H256" i="5"/>
  <c r="L256" i="5" s="1"/>
  <c r="G258" i="5"/>
  <c r="K258" i="5" s="1"/>
  <c r="G266" i="5"/>
  <c r="K266" i="5" s="1"/>
  <c r="G267" i="5"/>
  <c r="K267" i="5" s="1"/>
  <c r="H21" i="5"/>
  <c r="L21" i="5" s="1"/>
  <c r="G23" i="5"/>
  <c r="K23" i="5" s="1"/>
  <c r="G34" i="5"/>
  <c r="K34" i="5" s="1"/>
  <c r="H41" i="5"/>
  <c r="L41" i="5" s="1"/>
  <c r="H42" i="5"/>
  <c r="L42" i="5" s="1"/>
  <c r="H47" i="5"/>
  <c r="L47" i="5" s="1"/>
  <c r="H50" i="5"/>
  <c r="L50" i="5" s="1"/>
  <c r="H61" i="5"/>
  <c r="L61" i="5" s="1"/>
  <c r="H67" i="5"/>
  <c r="L67" i="5" s="1"/>
  <c r="H69" i="5"/>
  <c r="L69" i="5" s="1"/>
  <c r="G70" i="5"/>
  <c r="K70" i="5" s="1"/>
  <c r="G71" i="5"/>
  <c r="K71" i="5" s="1"/>
  <c r="H78" i="5"/>
  <c r="L78" i="5" s="1"/>
  <c r="G79" i="5"/>
  <c r="K79" i="5" s="1"/>
  <c r="H89" i="5"/>
  <c r="L89" i="5" s="1"/>
  <c r="H90" i="5"/>
  <c r="L90" i="5" s="1"/>
  <c r="H91" i="5"/>
  <c r="L91" i="5" s="1"/>
  <c r="H97" i="5"/>
  <c r="L97" i="5" s="1"/>
  <c r="G98" i="5"/>
  <c r="K98" i="5" s="1"/>
  <c r="H109" i="5"/>
  <c r="L109" i="5" s="1"/>
  <c r="G110" i="5"/>
  <c r="K110" i="5" s="1"/>
  <c r="H118" i="5"/>
  <c r="L118" i="5" s="1"/>
  <c r="G122" i="5"/>
  <c r="K122" i="5" s="1"/>
  <c r="H137" i="5"/>
  <c r="L137" i="5" s="1"/>
  <c r="H138" i="5"/>
  <c r="L138" i="5" s="1"/>
  <c r="H139" i="5"/>
  <c r="L139" i="5" s="1"/>
  <c r="H145" i="5"/>
  <c r="L145" i="5" s="1"/>
  <c r="H146" i="5"/>
  <c r="L146" i="5" s="1"/>
  <c r="H147" i="5"/>
  <c r="L147" i="5" s="1"/>
  <c r="H149" i="5"/>
  <c r="L149" i="5" s="1"/>
  <c r="G150" i="5"/>
  <c r="K150" i="5" s="1"/>
  <c r="G151" i="5"/>
  <c r="K151" i="5" s="1"/>
  <c r="G157" i="5"/>
  <c r="K157" i="5" s="1"/>
  <c r="G163" i="5"/>
  <c r="K163" i="5" s="1"/>
  <c r="G173" i="5"/>
  <c r="K173" i="5" s="1"/>
  <c r="H183" i="5"/>
  <c r="L183" i="5" s="1"/>
  <c r="G184" i="5"/>
  <c r="K184" i="5" s="1"/>
  <c r="G185" i="5"/>
  <c r="K185" i="5" s="1"/>
  <c r="H192" i="5"/>
  <c r="L192" i="5" s="1"/>
  <c r="G196" i="5"/>
  <c r="K196" i="5" s="1"/>
  <c r="G197" i="5"/>
  <c r="K197" i="5" s="1"/>
  <c r="G198" i="5"/>
  <c r="K198" i="5" s="1"/>
  <c r="G209" i="5"/>
  <c r="K209" i="5" s="1"/>
  <c r="H210" i="5"/>
  <c r="L210" i="5" s="1"/>
  <c r="G221" i="5"/>
  <c r="K221" i="5" s="1"/>
  <c r="G222" i="5"/>
  <c r="K222" i="5" s="1"/>
  <c r="H228" i="5"/>
  <c r="L228" i="5" s="1"/>
  <c r="H229" i="5"/>
  <c r="L229" i="5" s="1"/>
  <c r="H236" i="5"/>
  <c r="L236" i="5" s="1"/>
  <c r="H237" i="5"/>
  <c r="L237" i="5" s="1"/>
  <c r="H240" i="5"/>
  <c r="L240" i="5" s="1"/>
  <c r="G241" i="5"/>
  <c r="K241" i="5" s="1"/>
  <c r="G242" i="5"/>
  <c r="K242" i="5" s="1"/>
  <c r="H248" i="5"/>
  <c r="L248" i="5" s="1"/>
  <c r="G249" i="5"/>
  <c r="K249" i="5" s="1"/>
  <c r="G250" i="5"/>
  <c r="K250" i="5" s="1"/>
  <c r="H257" i="5"/>
  <c r="L257" i="5" s="1"/>
  <c r="G263" i="5"/>
  <c r="K263" i="5" s="1"/>
  <c r="H265" i="5"/>
  <c r="L265" i="5" s="1"/>
  <c r="H267" i="5"/>
  <c r="L267" i="5" s="1"/>
  <c r="H22" i="5"/>
  <c r="L22" i="5" s="1"/>
  <c r="H24" i="5"/>
  <c r="L24" i="5" s="1"/>
  <c r="G26" i="5"/>
  <c r="K26" i="5" s="1"/>
  <c r="H33" i="5"/>
  <c r="L33" i="5" s="1"/>
  <c r="H34" i="5"/>
  <c r="L34" i="5" s="1"/>
  <c r="G35" i="5"/>
  <c r="K35" i="5" s="1"/>
  <c r="H39" i="5"/>
  <c r="L39" i="5" s="1"/>
  <c r="G47" i="5"/>
  <c r="K47" i="5" s="1"/>
  <c r="G55" i="5"/>
  <c r="K55" i="5" s="1"/>
  <c r="H62" i="5"/>
  <c r="L62" i="5" s="1"/>
  <c r="G63" i="5"/>
  <c r="K63" i="5" s="1"/>
  <c r="G74" i="5"/>
  <c r="K74" i="5" s="1"/>
  <c r="G82" i="5"/>
  <c r="K82" i="5" s="1"/>
  <c r="H93" i="5"/>
  <c r="L93" i="5" s="1"/>
  <c r="H99" i="5"/>
  <c r="L99" i="5" s="1"/>
  <c r="H101" i="5"/>
  <c r="L101" i="5" s="1"/>
  <c r="G103" i="5"/>
  <c r="K103" i="5" s="1"/>
  <c r="H122" i="5"/>
  <c r="L122" i="5" s="1"/>
  <c r="H123" i="5"/>
  <c r="L123" i="5" s="1"/>
  <c r="H141" i="5"/>
  <c r="L141" i="5" s="1"/>
  <c r="H158" i="5"/>
  <c r="L158" i="5" s="1"/>
  <c r="G160" i="5"/>
  <c r="K160" i="5" s="1"/>
  <c r="H174" i="5"/>
  <c r="L174" i="5" s="1"/>
  <c r="G176" i="5"/>
  <c r="K176" i="5" s="1"/>
  <c r="G188" i="5"/>
  <c r="K188" i="5" s="1"/>
  <c r="G189" i="5"/>
  <c r="K189" i="5" s="1"/>
  <c r="H196" i="5"/>
  <c r="L196" i="5" s="1"/>
  <c r="H197" i="5"/>
  <c r="L197" i="5" s="1"/>
  <c r="H221" i="5"/>
  <c r="L221" i="5" s="1"/>
  <c r="H224" i="5"/>
  <c r="L224" i="5" s="1"/>
  <c r="G226" i="5"/>
  <c r="K226" i="5" s="1"/>
  <c r="G234" i="5"/>
  <c r="K234" i="5" s="1"/>
  <c r="G261" i="5"/>
  <c r="K261" i="5" s="1"/>
  <c r="G262" i="5"/>
  <c r="K262" i="5" s="1"/>
  <c r="G20" i="5"/>
  <c r="K20" i="5" s="1"/>
  <c r="G36" i="5"/>
  <c r="K36" i="5" s="1"/>
  <c r="G52" i="5"/>
  <c r="K52" i="5" s="1"/>
  <c r="G67" i="5"/>
  <c r="K67" i="5" s="1"/>
  <c r="G68" i="5"/>
  <c r="K68" i="5" s="1"/>
  <c r="G80" i="5"/>
  <c r="K80" i="5" s="1"/>
  <c r="G81" i="5"/>
  <c r="K81" i="5" s="1"/>
  <c r="G99" i="5"/>
  <c r="K99" i="5" s="1"/>
  <c r="G100" i="5"/>
  <c r="K100" i="5" s="1"/>
  <c r="G112" i="5"/>
  <c r="K112" i="5" s="1"/>
  <c r="G113" i="5"/>
  <c r="K113" i="5" s="1"/>
  <c r="G131" i="5"/>
  <c r="K131" i="5" s="1"/>
  <c r="G132" i="5"/>
  <c r="K132" i="5" s="1"/>
  <c r="G144" i="5"/>
  <c r="K144" i="5" s="1"/>
  <c r="G145" i="5"/>
  <c r="K145" i="5" s="1"/>
  <c r="J21" i="5"/>
  <c r="G24" i="5"/>
  <c r="K24" i="5" s="1"/>
  <c r="H27" i="5"/>
  <c r="L27" i="5" s="1"/>
  <c r="J28" i="5"/>
  <c r="J30" i="5"/>
  <c r="J37" i="5"/>
  <c r="G40" i="5"/>
  <c r="K40" i="5" s="1"/>
  <c r="H43" i="5"/>
  <c r="L43" i="5" s="1"/>
  <c r="J46" i="5"/>
  <c r="J53" i="5"/>
  <c r="H54" i="5"/>
  <c r="L54" i="5" s="1"/>
  <c r="H55" i="5"/>
  <c r="L55" i="5" s="1"/>
  <c r="G56" i="5"/>
  <c r="K56" i="5" s="1"/>
  <c r="G57" i="5"/>
  <c r="K57" i="5" s="1"/>
  <c r="J58" i="5"/>
  <c r="G75" i="5"/>
  <c r="K75" i="5" s="1"/>
  <c r="G76" i="5"/>
  <c r="K76" i="5" s="1"/>
  <c r="J78" i="5"/>
  <c r="J83" i="5"/>
  <c r="J84" i="5"/>
  <c r="G88" i="5"/>
  <c r="K88" i="5" s="1"/>
  <c r="G89" i="5"/>
  <c r="K89" i="5" s="1"/>
  <c r="J90" i="5"/>
  <c r="G107" i="5"/>
  <c r="K107" i="5" s="1"/>
  <c r="G108" i="5"/>
  <c r="K108" i="5" s="1"/>
  <c r="J110" i="5"/>
  <c r="J115" i="5"/>
  <c r="J116" i="5"/>
  <c r="G120" i="5"/>
  <c r="K120" i="5" s="1"/>
  <c r="G121" i="5"/>
  <c r="K121" i="5" s="1"/>
  <c r="J122" i="5"/>
  <c r="G139" i="5"/>
  <c r="K139" i="5" s="1"/>
  <c r="G140" i="5"/>
  <c r="K140" i="5" s="1"/>
  <c r="J147" i="5"/>
  <c r="J148" i="5"/>
  <c r="G28" i="5"/>
  <c r="K28" i="5" s="1"/>
  <c r="G44" i="5"/>
  <c r="K44" i="5" s="1"/>
  <c r="G64" i="5"/>
  <c r="K64" i="5" s="1"/>
  <c r="G65" i="5"/>
  <c r="K65" i="5" s="1"/>
  <c r="G83" i="5"/>
  <c r="K83" i="5" s="1"/>
  <c r="G84" i="5"/>
  <c r="K84" i="5" s="1"/>
  <c r="G96" i="5"/>
  <c r="K96" i="5" s="1"/>
  <c r="G97" i="5"/>
  <c r="K97" i="5" s="1"/>
  <c r="G115" i="5"/>
  <c r="K115" i="5" s="1"/>
  <c r="G116" i="5"/>
  <c r="K116" i="5" s="1"/>
  <c r="G128" i="5"/>
  <c r="K128" i="5" s="1"/>
  <c r="G129" i="5"/>
  <c r="K129" i="5" s="1"/>
  <c r="G147" i="5"/>
  <c r="K147" i="5" s="1"/>
  <c r="G148" i="5"/>
  <c r="K148" i="5" s="1"/>
  <c r="H5" i="5"/>
  <c r="J267" i="5"/>
  <c r="J265" i="5"/>
  <c r="J202" i="5"/>
  <c r="J266" i="5"/>
  <c r="J258" i="5"/>
  <c r="J250" i="5"/>
  <c r="J242" i="5"/>
  <c r="J234" i="5"/>
  <c r="J226" i="5"/>
  <c r="J218" i="5"/>
  <c r="J206" i="5"/>
  <c r="J262" i="5"/>
  <c r="J246" i="5"/>
  <c r="J230" i="5"/>
  <c r="J213" i="5"/>
  <c r="J181" i="5"/>
  <c r="K264" i="5"/>
  <c r="J261" i="5"/>
  <c r="J245" i="5"/>
  <c r="J229" i="5"/>
  <c r="J210" i="5"/>
  <c r="J208" i="5"/>
  <c r="J193" i="5"/>
  <c r="J185" i="5"/>
  <c r="J254" i="5"/>
  <c r="J238" i="5"/>
  <c r="J222" i="5"/>
  <c r="J214" i="5"/>
  <c r="J212" i="5"/>
  <c r="J170" i="5"/>
  <c r="J162" i="5"/>
  <c r="J154" i="5"/>
  <c r="J237" i="5"/>
  <c r="J197" i="5"/>
  <c r="J176" i="5"/>
  <c r="J168" i="5"/>
  <c r="J160" i="5"/>
  <c r="J189" i="5"/>
  <c r="J150" i="5"/>
  <c r="J142" i="5"/>
  <c r="J134" i="5"/>
  <c r="J209" i="5"/>
  <c r="J177" i="5"/>
  <c r="J172" i="5"/>
  <c r="J164" i="5"/>
  <c r="J156" i="5"/>
  <c r="J151" i="5"/>
  <c r="J143" i="5"/>
  <c r="J135" i="5"/>
  <c r="J127" i="5"/>
  <c r="J119" i="5"/>
  <c r="J111" i="5"/>
  <c r="J103" i="5"/>
  <c r="J95" i="5"/>
  <c r="J87" i="5"/>
  <c r="J79" i="5"/>
  <c r="J71" i="5"/>
  <c r="J63" i="5"/>
  <c r="J55" i="5"/>
  <c r="J52" i="5"/>
  <c r="J48" i="5"/>
  <c r="J44" i="5"/>
  <c r="J19" i="5"/>
  <c r="J221" i="5"/>
  <c r="J253" i="5"/>
  <c r="J174" i="5"/>
  <c r="J166" i="5"/>
  <c r="J158" i="5"/>
  <c r="J51" i="5"/>
  <c r="J47" i="5"/>
  <c r="J43" i="5"/>
  <c r="J39" i="5"/>
  <c r="J35" i="5"/>
  <c r="J31" i="5"/>
  <c r="J27" i="5"/>
  <c r="J23" i="5"/>
  <c r="J17" i="5"/>
  <c r="H19" i="5"/>
  <c r="L19" i="5" s="1"/>
  <c r="J20" i="5"/>
  <c r="J22" i="5"/>
  <c r="J29" i="5"/>
  <c r="G32" i="5"/>
  <c r="K32" i="5" s="1"/>
  <c r="H35" i="5"/>
  <c r="L35" i="5" s="1"/>
  <c r="J36" i="5"/>
  <c r="J38" i="5"/>
  <c r="J45" i="5"/>
  <c r="G48" i="5"/>
  <c r="K48" i="5" s="1"/>
  <c r="H51" i="5"/>
  <c r="L51" i="5" s="1"/>
  <c r="G59" i="5"/>
  <c r="K59" i="5" s="1"/>
  <c r="G60" i="5"/>
  <c r="K60" i="5" s="1"/>
  <c r="J62" i="5"/>
  <c r="J67" i="5"/>
  <c r="J68" i="5"/>
  <c r="G72" i="5"/>
  <c r="K72" i="5" s="1"/>
  <c r="G73" i="5"/>
  <c r="K73" i="5" s="1"/>
  <c r="J74" i="5"/>
  <c r="G91" i="5"/>
  <c r="K91" i="5" s="1"/>
  <c r="G92" i="5"/>
  <c r="K92" i="5" s="1"/>
  <c r="J94" i="5"/>
  <c r="J99" i="5"/>
  <c r="J100" i="5"/>
  <c r="G104" i="5"/>
  <c r="K104" i="5" s="1"/>
  <c r="G105" i="5"/>
  <c r="K105" i="5" s="1"/>
  <c r="J106" i="5"/>
  <c r="G123" i="5"/>
  <c r="K123" i="5" s="1"/>
  <c r="G124" i="5"/>
  <c r="K124" i="5" s="1"/>
  <c r="J126" i="5"/>
  <c r="J131" i="5"/>
  <c r="J132" i="5"/>
  <c r="G136" i="5"/>
  <c r="K136" i="5" s="1"/>
  <c r="G137" i="5"/>
  <c r="K137" i="5" s="1"/>
  <c r="J138" i="5"/>
  <c r="J57" i="5"/>
  <c r="H63" i="5"/>
  <c r="L63" i="5" s="1"/>
  <c r="J65" i="5"/>
  <c r="H71" i="5"/>
  <c r="L71" i="5" s="1"/>
  <c r="J73" i="5"/>
  <c r="H79" i="5"/>
  <c r="L79" i="5" s="1"/>
  <c r="J81" i="5"/>
  <c r="H87" i="5"/>
  <c r="L87" i="5" s="1"/>
  <c r="J89" i="5"/>
  <c r="H95" i="5"/>
  <c r="L95" i="5" s="1"/>
  <c r="J97" i="5"/>
  <c r="H103" i="5"/>
  <c r="L103" i="5" s="1"/>
  <c r="J105" i="5"/>
  <c r="H111" i="5"/>
  <c r="L111" i="5" s="1"/>
  <c r="J113" i="5"/>
  <c r="H119" i="5"/>
  <c r="L119" i="5" s="1"/>
  <c r="J121" i="5"/>
  <c r="H127" i="5"/>
  <c r="L127" i="5" s="1"/>
  <c r="J129" i="5"/>
  <c r="H135" i="5"/>
  <c r="L135" i="5" s="1"/>
  <c r="J137" i="5"/>
  <c r="H143" i="5"/>
  <c r="L143" i="5" s="1"/>
  <c r="J145" i="5"/>
  <c r="H151" i="5"/>
  <c r="L151" i="5" s="1"/>
  <c r="J180" i="5"/>
  <c r="G207" i="5"/>
  <c r="K207" i="5" s="1"/>
  <c r="G208" i="5"/>
  <c r="K208" i="5" s="1"/>
  <c r="G212" i="5"/>
  <c r="K212" i="5" s="1"/>
  <c r="G211" i="5"/>
  <c r="K211" i="5" s="1"/>
  <c r="J216" i="5"/>
  <c r="G259" i="5"/>
  <c r="K259" i="5" s="1"/>
  <c r="G260" i="5"/>
  <c r="K260" i="5" s="1"/>
  <c r="J260" i="5"/>
  <c r="J184" i="5"/>
  <c r="J56" i="5"/>
  <c r="H60" i="5"/>
  <c r="L60" i="5" s="1"/>
  <c r="J64" i="5"/>
  <c r="H68" i="5"/>
  <c r="L68" i="5" s="1"/>
  <c r="J72" i="5"/>
  <c r="H76" i="5"/>
  <c r="L76" i="5" s="1"/>
  <c r="J80" i="5"/>
  <c r="H84" i="5"/>
  <c r="L84" i="5" s="1"/>
  <c r="J88" i="5"/>
  <c r="H92" i="5"/>
  <c r="L92" i="5" s="1"/>
  <c r="J96" i="5"/>
  <c r="H100" i="5"/>
  <c r="L100" i="5" s="1"/>
  <c r="J104" i="5"/>
  <c r="H108" i="5"/>
  <c r="L108" i="5" s="1"/>
  <c r="J112" i="5"/>
  <c r="H116" i="5"/>
  <c r="L116" i="5" s="1"/>
  <c r="J120" i="5"/>
  <c r="H124" i="5"/>
  <c r="L124" i="5" s="1"/>
  <c r="J128" i="5"/>
  <c r="H132" i="5"/>
  <c r="L132" i="5" s="1"/>
  <c r="J136" i="5"/>
  <c r="H140" i="5"/>
  <c r="L140" i="5" s="1"/>
  <c r="J144" i="5"/>
  <c r="H148" i="5"/>
  <c r="L148" i="5" s="1"/>
  <c r="G153" i="5"/>
  <c r="K153" i="5" s="1"/>
  <c r="G154" i="5"/>
  <c r="K154" i="5" s="1"/>
  <c r="G161" i="5"/>
  <c r="K161" i="5" s="1"/>
  <c r="G162" i="5"/>
  <c r="K162" i="5" s="1"/>
  <c r="G169" i="5"/>
  <c r="K169" i="5" s="1"/>
  <c r="G170" i="5"/>
  <c r="K170" i="5" s="1"/>
  <c r="J201" i="5"/>
  <c r="J241" i="5"/>
  <c r="G227" i="5"/>
  <c r="K227" i="5" s="1"/>
  <c r="G228" i="5"/>
  <c r="K228" i="5" s="1"/>
  <c r="J228" i="5"/>
  <c r="J61" i="5"/>
  <c r="J69" i="5"/>
  <c r="J77" i="5"/>
  <c r="J85" i="5"/>
  <c r="J93" i="5"/>
  <c r="J101" i="5"/>
  <c r="J109" i="5"/>
  <c r="J117" i="5"/>
  <c r="J125" i="5"/>
  <c r="J133" i="5"/>
  <c r="J141" i="5"/>
  <c r="J149" i="5"/>
  <c r="J155" i="5"/>
  <c r="H156" i="5"/>
  <c r="L156" i="5" s="1"/>
  <c r="H157" i="5"/>
  <c r="L157" i="5" s="1"/>
  <c r="J157" i="5"/>
  <c r="J163" i="5"/>
  <c r="H164" i="5"/>
  <c r="L164" i="5" s="1"/>
  <c r="H165" i="5"/>
  <c r="L165" i="5" s="1"/>
  <c r="J165" i="5"/>
  <c r="J171" i="5"/>
  <c r="H172" i="5"/>
  <c r="L172" i="5" s="1"/>
  <c r="H173" i="5"/>
  <c r="L173" i="5" s="1"/>
  <c r="J173" i="5"/>
  <c r="H178" i="5"/>
  <c r="L178" i="5" s="1"/>
  <c r="H177" i="5"/>
  <c r="L177" i="5" s="1"/>
  <c r="J190" i="5"/>
  <c r="G194" i="5"/>
  <c r="K194" i="5" s="1"/>
  <c r="G195" i="5"/>
  <c r="K195" i="5" s="1"/>
  <c r="J196" i="5"/>
  <c r="H152" i="5"/>
  <c r="L152" i="5" s="1"/>
  <c r="J159" i="5"/>
  <c r="J167" i="5"/>
  <c r="J175" i="5"/>
  <c r="J179" i="5"/>
  <c r="J182" i="5"/>
  <c r="G190" i="5"/>
  <c r="K190" i="5" s="1"/>
  <c r="J192" i="5"/>
  <c r="J198" i="5"/>
  <c r="J225" i="5"/>
  <c r="J257" i="5"/>
  <c r="J153" i="5"/>
  <c r="J161" i="5"/>
  <c r="J169" i="5"/>
  <c r="H181" i="5"/>
  <c r="L181" i="5" s="1"/>
  <c r="H180" i="5"/>
  <c r="L180" i="5" s="1"/>
  <c r="G186" i="5"/>
  <c r="K186" i="5" s="1"/>
  <c r="G187" i="5"/>
  <c r="K187" i="5" s="1"/>
  <c r="J188" i="5"/>
  <c r="G243" i="5"/>
  <c r="K243" i="5" s="1"/>
  <c r="G244" i="5"/>
  <c r="K244" i="5" s="1"/>
  <c r="J244" i="5"/>
  <c r="J178" i="5"/>
  <c r="H185" i="5"/>
  <c r="L185" i="5" s="1"/>
  <c r="J187" i="5"/>
  <c r="H193" i="5"/>
  <c r="L193" i="5" s="1"/>
  <c r="J195" i="5"/>
  <c r="J204" i="5"/>
  <c r="J223" i="5"/>
  <c r="H230" i="5"/>
  <c r="L230" i="5" s="1"/>
  <c r="H231" i="5"/>
  <c r="L231" i="5" s="1"/>
  <c r="J239" i="5"/>
  <c r="H246" i="5"/>
  <c r="L246" i="5" s="1"/>
  <c r="H247" i="5"/>
  <c r="L247" i="5" s="1"/>
  <c r="J255" i="5"/>
  <c r="H262" i="5"/>
  <c r="L262" i="5" s="1"/>
  <c r="H263" i="5"/>
  <c r="L263" i="5" s="1"/>
  <c r="J186" i="5"/>
  <c r="J194" i="5"/>
  <c r="J200" i="5"/>
  <c r="G210" i="5"/>
  <c r="K210" i="5" s="1"/>
  <c r="J215" i="5"/>
  <c r="J217" i="5"/>
  <c r="G219" i="5"/>
  <c r="K219" i="5" s="1"/>
  <c r="G220" i="5"/>
  <c r="K220" i="5" s="1"/>
  <c r="J220" i="5"/>
  <c r="G223" i="5"/>
  <c r="K223" i="5" s="1"/>
  <c r="J233" i="5"/>
  <c r="G235" i="5"/>
  <c r="K235" i="5" s="1"/>
  <c r="G236" i="5"/>
  <c r="K236" i="5" s="1"/>
  <c r="J236" i="5"/>
  <c r="G239" i="5"/>
  <c r="K239" i="5" s="1"/>
  <c r="J249" i="5"/>
  <c r="G251" i="5"/>
  <c r="K251" i="5" s="1"/>
  <c r="G252" i="5"/>
  <c r="K252" i="5" s="1"/>
  <c r="J252" i="5"/>
  <c r="G255" i="5"/>
  <c r="K255" i="5" s="1"/>
  <c r="J183" i="5"/>
  <c r="J191" i="5"/>
  <c r="J199" i="5"/>
  <c r="H201" i="5"/>
  <c r="L201" i="5" s="1"/>
  <c r="J203" i="5"/>
  <c r="J205" i="5"/>
  <c r="H215" i="5"/>
  <c r="L215" i="5" s="1"/>
  <c r="H214" i="5"/>
  <c r="L214" i="5" s="1"/>
  <c r="H222" i="5"/>
  <c r="L222" i="5" s="1"/>
  <c r="H223" i="5"/>
  <c r="L223" i="5" s="1"/>
  <c r="J231" i="5"/>
  <c r="H238" i="5"/>
  <c r="L238" i="5" s="1"/>
  <c r="H239" i="5"/>
  <c r="L239" i="5" s="1"/>
  <c r="J247" i="5"/>
  <c r="H254" i="5"/>
  <c r="L254" i="5" s="1"/>
  <c r="H255" i="5"/>
  <c r="L255" i="5" s="1"/>
  <c r="J263" i="5"/>
  <c r="H202" i="5"/>
  <c r="L202" i="5" s="1"/>
  <c r="J211" i="5"/>
  <c r="G214" i="5"/>
  <c r="K214" i="5" s="1"/>
  <c r="J219" i="5"/>
  <c r="J227" i="5"/>
  <c r="J235" i="5"/>
  <c r="J243" i="5"/>
  <c r="J251" i="5"/>
  <c r="J259" i="5"/>
  <c r="G201" i="5"/>
  <c r="K201" i="5" s="1"/>
  <c r="J207" i="5"/>
  <c r="J224" i="5"/>
  <c r="J232" i="5"/>
  <c r="J240" i="5"/>
  <c r="J248" i="5"/>
  <c r="J256" i="5"/>
  <c r="J264" i="5"/>
  <c r="H266" i="2"/>
  <c r="L266" i="2" s="1"/>
  <c r="F176" i="2"/>
  <c r="J176" i="2" s="1"/>
  <c r="F172" i="2"/>
  <c r="J172" i="2" s="1"/>
  <c r="F168" i="2"/>
  <c r="J168" i="2" s="1"/>
  <c r="F164" i="2"/>
  <c r="J164" i="2" s="1"/>
  <c r="F160" i="2"/>
  <c r="J160" i="2" s="1"/>
  <c r="F107" i="2"/>
  <c r="J107" i="2" s="1"/>
  <c r="F156" i="2"/>
  <c r="J156" i="2" s="1"/>
  <c r="F152" i="2"/>
  <c r="J152" i="2" s="1"/>
  <c r="F148" i="2"/>
  <c r="J148" i="2" s="1"/>
  <c r="F144" i="2"/>
  <c r="J144" i="2" s="1"/>
  <c r="F104" i="2"/>
  <c r="J104" i="2" s="1"/>
  <c r="F106" i="2"/>
  <c r="J106" i="2" s="1"/>
  <c r="F102" i="2"/>
  <c r="J102" i="2" s="1"/>
  <c r="F110" i="2"/>
  <c r="J110" i="2" s="1"/>
  <c r="F105" i="2"/>
  <c r="J105" i="2" s="1"/>
  <c r="F264" i="2"/>
  <c r="J264" i="2" s="1"/>
  <c r="F260" i="2"/>
  <c r="J260" i="2" s="1"/>
  <c r="F256" i="2"/>
  <c r="J256" i="2" s="1"/>
  <c r="F252" i="2"/>
  <c r="J252" i="2" s="1"/>
  <c r="F248" i="2"/>
  <c r="J248" i="2" s="1"/>
  <c r="F244" i="2"/>
  <c r="J244" i="2" s="1"/>
  <c r="F240" i="2"/>
  <c r="J240" i="2" s="1"/>
  <c r="F236" i="2"/>
  <c r="J236" i="2" s="1"/>
  <c r="F232" i="2"/>
  <c r="J232" i="2" s="1"/>
  <c r="F228" i="2"/>
  <c r="J228" i="2" s="1"/>
  <c r="F224" i="2"/>
  <c r="J224" i="2" s="1"/>
  <c r="F220" i="2"/>
  <c r="J220" i="2" s="1"/>
  <c r="F216" i="2"/>
  <c r="J216" i="2" s="1"/>
  <c r="F212" i="2"/>
  <c r="J212" i="2" s="1"/>
  <c r="F208" i="2"/>
  <c r="J208" i="2" s="1"/>
  <c r="F204" i="2"/>
  <c r="J204" i="2" s="1"/>
  <c r="F200" i="2"/>
  <c r="J200" i="2" s="1"/>
  <c r="F196" i="2"/>
  <c r="J196" i="2" s="1"/>
  <c r="F192" i="2"/>
  <c r="J192" i="2" s="1"/>
  <c r="F188" i="2"/>
  <c r="J188" i="2" s="1"/>
  <c r="F184" i="2"/>
  <c r="J184" i="2" s="1"/>
  <c r="F180" i="2"/>
  <c r="F140" i="2"/>
  <c r="J140" i="2" s="1"/>
  <c r="F136" i="2"/>
  <c r="J136" i="2" s="1"/>
  <c r="F132" i="2"/>
  <c r="J132" i="2" s="1"/>
  <c r="F128" i="2"/>
  <c r="J128" i="2" s="1"/>
  <c r="F124" i="2"/>
  <c r="J124" i="2" s="1"/>
  <c r="F120" i="2"/>
  <c r="J120" i="2" s="1"/>
  <c r="F112" i="2"/>
  <c r="J112" i="2" s="1"/>
  <c r="F108" i="2"/>
  <c r="J108" i="2" s="1"/>
  <c r="F103" i="2"/>
  <c r="J103" i="2" s="1"/>
  <c r="F157" i="2"/>
  <c r="J157" i="2" s="1"/>
  <c r="F153" i="2"/>
  <c r="J153" i="2" s="1"/>
  <c r="F149" i="2"/>
  <c r="J149" i="2" s="1"/>
  <c r="F145" i="2"/>
  <c r="J145" i="2" s="1"/>
  <c r="F141" i="2"/>
  <c r="J141" i="2" s="1"/>
  <c r="F137" i="2"/>
  <c r="J137" i="2" s="1"/>
  <c r="F133" i="2"/>
  <c r="J133" i="2" s="1"/>
  <c r="F129" i="2"/>
  <c r="J129" i="2" s="1"/>
  <c r="F125" i="2"/>
  <c r="J125" i="2" s="1"/>
  <c r="F121" i="2"/>
  <c r="J121" i="2" s="1"/>
  <c r="F117" i="2"/>
  <c r="J117" i="2" s="1"/>
  <c r="F113" i="2"/>
  <c r="J113" i="2" s="1"/>
  <c r="F109" i="2"/>
  <c r="J109" i="2" s="1"/>
  <c r="F127" i="2"/>
  <c r="J127" i="2" s="1"/>
  <c r="F123" i="2"/>
  <c r="J123" i="2" s="1"/>
  <c r="F119" i="2"/>
  <c r="J119" i="2" s="1"/>
  <c r="F115" i="2"/>
  <c r="J115" i="2" s="1"/>
  <c r="F111" i="2"/>
  <c r="J111" i="2" s="1"/>
  <c r="F35" i="2"/>
  <c r="J35" i="2" s="1"/>
  <c r="F23" i="2"/>
  <c r="J23" i="2" s="1"/>
  <c r="F19" i="2"/>
  <c r="J19" i="2" s="1"/>
  <c r="F116" i="2"/>
  <c r="J116" i="2" s="1"/>
  <c r="F130" i="2"/>
  <c r="J130" i="2" s="1"/>
  <c r="F126" i="2"/>
  <c r="J126" i="2" s="1"/>
  <c r="F122" i="2"/>
  <c r="J122" i="2" s="1"/>
  <c r="F118" i="2"/>
  <c r="J118" i="2" s="1"/>
  <c r="F114" i="2"/>
  <c r="J114" i="2" s="1"/>
  <c r="F96" i="2"/>
  <c r="J96" i="2" s="1"/>
  <c r="F92" i="2"/>
  <c r="J92" i="2" s="1"/>
  <c r="F88" i="2"/>
  <c r="J88" i="2" s="1"/>
  <c r="F84" i="2"/>
  <c r="J84" i="2" s="1"/>
  <c r="F80" i="2"/>
  <c r="J80" i="2" s="1"/>
  <c r="F76" i="2"/>
  <c r="J76" i="2" s="1"/>
  <c r="F72" i="2"/>
  <c r="J72" i="2" s="1"/>
  <c r="F68" i="2"/>
  <c r="J68" i="2" s="1"/>
  <c r="F64" i="2"/>
  <c r="J64" i="2" s="1"/>
  <c r="F60" i="2"/>
  <c r="J60" i="2" s="1"/>
  <c r="F56" i="2"/>
  <c r="J56" i="2" s="1"/>
  <c r="F52" i="2"/>
  <c r="J52" i="2" s="1"/>
  <c r="F48" i="2"/>
  <c r="J48" i="2" s="1"/>
  <c r="F44" i="2"/>
  <c r="J44" i="2" s="1"/>
  <c r="F40" i="2"/>
  <c r="J40" i="2" s="1"/>
  <c r="F36" i="2"/>
  <c r="J36" i="2" s="1"/>
  <c r="F32" i="2"/>
  <c r="J32" i="2" s="1"/>
  <c r="F28" i="2"/>
  <c r="J28" i="2" s="1"/>
  <c r="F24" i="2"/>
  <c r="J24" i="2" s="1"/>
  <c r="F20" i="2"/>
  <c r="J20" i="2" s="1"/>
  <c r="F16" i="2"/>
  <c r="F265" i="2"/>
  <c r="J265" i="2" s="1"/>
  <c r="F261" i="2"/>
  <c r="J261" i="2" s="1"/>
  <c r="F257" i="2"/>
  <c r="J257" i="2" s="1"/>
  <c r="F253" i="2"/>
  <c r="J253" i="2" s="1"/>
  <c r="F249" i="2"/>
  <c r="J249" i="2" s="1"/>
  <c r="F245" i="2"/>
  <c r="J245" i="2" s="1"/>
  <c r="F241" i="2"/>
  <c r="J241" i="2" s="1"/>
  <c r="F237" i="2"/>
  <c r="J237" i="2" s="1"/>
  <c r="F233" i="2"/>
  <c r="J233" i="2" s="1"/>
  <c r="F229" i="2"/>
  <c r="J229" i="2" s="1"/>
  <c r="F225" i="2"/>
  <c r="J225" i="2" s="1"/>
  <c r="F221" i="2"/>
  <c r="J221" i="2" s="1"/>
  <c r="F217" i="2"/>
  <c r="J217" i="2" s="1"/>
  <c r="F266" i="2"/>
  <c r="J266" i="2" s="1"/>
  <c r="F262" i="2"/>
  <c r="J262" i="2" s="1"/>
  <c r="F258" i="2"/>
  <c r="J258" i="2" s="1"/>
  <c r="F254" i="2"/>
  <c r="J254" i="2" s="1"/>
  <c r="F250" i="2"/>
  <c r="J250" i="2" s="1"/>
  <c r="F246" i="2"/>
  <c r="J246" i="2" s="1"/>
  <c r="F242" i="2"/>
  <c r="J242" i="2" s="1"/>
  <c r="F238" i="2"/>
  <c r="J238" i="2" s="1"/>
  <c r="F234" i="2"/>
  <c r="J234" i="2" s="1"/>
  <c r="F230" i="2"/>
  <c r="J230" i="2" s="1"/>
  <c r="F226" i="2"/>
  <c r="J226" i="2" s="1"/>
  <c r="F222" i="2"/>
  <c r="J222" i="2" s="1"/>
  <c r="F218" i="2"/>
  <c r="J218" i="2" s="1"/>
  <c r="F214" i="2"/>
  <c r="J214" i="2" s="1"/>
  <c r="F158" i="2"/>
  <c r="J158" i="2" s="1"/>
  <c r="F154" i="2"/>
  <c r="J154" i="2" s="1"/>
  <c r="F150" i="2"/>
  <c r="J150" i="2" s="1"/>
  <c r="F146" i="2"/>
  <c r="J146" i="2" s="1"/>
  <c r="F142" i="2"/>
  <c r="J142" i="2" s="1"/>
  <c r="F138" i="2"/>
  <c r="J138" i="2" s="1"/>
  <c r="F134" i="2"/>
  <c r="J134" i="2" s="1"/>
  <c r="F98" i="2"/>
  <c r="J98" i="2" s="1"/>
  <c r="F94" i="2"/>
  <c r="J94" i="2" s="1"/>
  <c r="F90" i="2"/>
  <c r="J90" i="2" s="1"/>
  <c r="F86" i="2"/>
  <c r="J86" i="2" s="1"/>
  <c r="F82" i="2"/>
  <c r="J82" i="2" s="1"/>
  <c r="F78" i="2"/>
  <c r="J78" i="2" s="1"/>
  <c r="F74" i="2"/>
  <c r="J74" i="2" s="1"/>
  <c r="F70" i="2"/>
  <c r="J70" i="2" s="1"/>
  <c r="F66" i="2"/>
  <c r="J66" i="2" s="1"/>
  <c r="F62" i="2"/>
  <c r="J62" i="2" s="1"/>
  <c r="F58" i="2"/>
  <c r="J58" i="2" s="1"/>
  <c r="F54" i="2"/>
  <c r="J54" i="2" s="1"/>
  <c r="F50" i="2"/>
  <c r="J50" i="2" s="1"/>
  <c r="F46" i="2"/>
  <c r="J46" i="2" s="1"/>
  <c r="F42" i="2"/>
  <c r="J42" i="2" s="1"/>
  <c r="F38" i="2"/>
  <c r="J38" i="2" s="1"/>
  <c r="F34" i="2"/>
  <c r="J34" i="2" s="1"/>
  <c r="F30" i="2"/>
  <c r="J30" i="2" s="1"/>
  <c r="F26" i="2"/>
  <c r="J26" i="2" s="1"/>
  <c r="F22" i="2"/>
  <c r="J22" i="2" s="1"/>
  <c r="F18" i="2"/>
  <c r="J18" i="2" s="1"/>
  <c r="F263" i="2"/>
  <c r="J263" i="2" s="1"/>
  <c r="F259" i="2"/>
  <c r="J259" i="2" s="1"/>
  <c r="F255" i="2"/>
  <c r="J255" i="2" s="1"/>
  <c r="F251" i="2"/>
  <c r="J251" i="2" s="1"/>
  <c r="F247" i="2"/>
  <c r="J247" i="2" s="1"/>
  <c r="F243" i="2"/>
  <c r="J243" i="2" s="1"/>
  <c r="F239" i="2"/>
  <c r="J239" i="2" s="1"/>
  <c r="F235" i="2"/>
  <c r="J235" i="2" s="1"/>
  <c r="F231" i="2"/>
  <c r="J231" i="2" s="1"/>
  <c r="F227" i="2"/>
  <c r="J227" i="2" s="1"/>
  <c r="F223" i="2"/>
  <c r="J223" i="2" s="1"/>
  <c r="F219" i="2"/>
  <c r="J219" i="2" s="1"/>
  <c r="F215" i="2"/>
  <c r="J215" i="2" s="1"/>
  <c r="F155" i="2"/>
  <c r="J155" i="2" s="1"/>
  <c r="F151" i="2"/>
  <c r="J151" i="2" s="1"/>
  <c r="F147" i="2"/>
  <c r="J147" i="2" s="1"/>
  <c r="F143" i="2"/>
  <c r="J143" i="2" s="1"/>
  <c r="F139" i="2"/>
  <c r="J139" i="2" s="1"/>
  <c r="F135" i="2"/>
  <c r="J135" i="2" s="1"/>
  <c r="F131" i="2"/>
  <c r="J131" i="2" s="1"/>
  <c r="F213" i="2"/>
  <c r="J213" i="2" s="1"/>
  <c r="F209" i="2"/>
  <c r="J209" i="2" s="1"/>
  <c r="F205" i="2"/>
  <c r="J205" i="2" s="1"/>
  <c r="F201" i="2"/>
  <c r="J201" i="2" s="1"/>
  <c r="F197" i="2"/>
  <c r="J197" i="2" s="1"/>
  <c r="F193" i="2"/>
  <c r="J193" i="2" s="1"/>
  <c r="F189" i="2"/>
  <c r="J189" i="2" s="1"/>
  <c r="F185" i="2"/>
  <c r="J185" i="2" s="1"/>
  <c r="F181" i="2"/>
  <c r="J181" i="2" s="1"/>
  <c r="F177" i="2"/>
  <c r="J177" i="2" s="1"/>
  <c r="F173" i="2"/>
  <c r="J173" i="2" s="1"/>
  <c r="F169" i="2"/>
  <c r="J169" i="2" s="1"/>
  <c r="F165" i="2"/>
  <c r="J165" i="2" s="1"/>
  <c r="F161" i="2"/>
  <c r="J161" i="2" s="1"/>
  <c r="F210" i="2"/>
  <c r="J210" i="2" s="1"/>
  <c r="F206" i="2"/>
  <c r="J206" i="2" s="1"/>
  <c r="F202" i="2"/>
  <c r="J202" i="2" s="1"/>
  <c r="F198" i="2"/>
  <c r="J198" i="2" s="1"/>
  <c r="F194" i="2"/>
  <c r="J194" i="2" s="1"/>
  <c r="F190" i="2"/>
  <c r="J190" i="2" s="1"/>
  <c r="F186" i="2"/>
  <c r="J186" i="2" s="1"/>
  <c r="F182" i="2"/>
  <c r="J182" i="2" s="1"/>
  <c r="F178" i="2"/>
  <c r="J178" i="2" s="1"/>
  <c r="F174" i="2"/>
  <c r="J174" i="2" s="1"/>
  <c r="F170" i="2"/>
  <c r="J170" i="2" s="1"/>
  <c r="F166" i="2"/>
  <c r="J166" i="2" s="1"/>
  <c r="F162" i="2"/>
  <c r="J162" i="2" s="1"/>
  <c r="F100" i="2"/>
  <c r="J100" i="2" s="1"/>
  <c r="F101" i="2"/>
  <c r="J101" i="2" s="1"/>
  <c r="F211" i="2"/>
  <c r="J211" i="2" s="1"/>
  <c r="F207" i="2"/>
  <c r="J207" i="2" s="1"/>
  <c r="F203" i="2"/>
  <c r="J203" i="2" s="1"/>
  <c r="F199" i="2"/>
  <c r="J199" i="2" s="1"/>
  <c r="F195" i="2"/>
  <c r="J195" i="2" s="1"/>
  <c r="F191" i="2"/>
  <c r="J191" i="2" s="1"/>
  <c r="F187" i="2"/>
  <c r="J187" i="2" s="1"/>
  <c r="F183" i="2"/>
  <c r="J183" i="2" s="1"/>
  <c r="F179" i="2"/>
  <c r="J179" i="2" s="1"/>
  <c r="F175" i="2"/>
  <c r="J175" i="2" s="1"/>
  <c r="F171" i="2"/>
  <c r="J171" i="2" s="1"/>
  <c r="F167" i="2"/>
  <c r="J167" i="2" s="1"/>
  <c r="F163" i="2"/>
  <c r="J163" i="2" s="1"/>
  <c r="F159" i="2"/>
  <c r="J159" i="2" s="1"/>
  <c r="F97" i="2"/>
  <c r="J97" i="2" s="1"/>
  <c r="F93" i="2"/>
  <c r="J93" i="2" s="1"/>
  <c r="F89" i="2"/>
  <c r="J89" i="2" s="1"/>
  <c r="F85" i="2"/>
  <c r="J85" i="2" s="1"/>
  <c r="F81" i="2"/>
  <c r="J81" i="2" s="1"/>
  <c r="F77" i="2"/>
  <c r="J77" i="2" s="1"/>
  <c r="F73" i="2"/>
  <c r="J73" i="2" s="1"/>
  <c r="F69" i="2"/>
  <c r="J69" i="2" s="1"/>
  <c r="F65" i="2"/>
  <c r="J65" i="2" s="1"/>
  <c r="F61" i="2"/>
  <c r="J61" i="2" s="1"/>
  <c r="F57" i="2"/>
  <c r="J57" i="2" s="1"/>
  <c r="F53" i="2"/>
  <c r="J53" i="2" s="1"/>
  <c r="F49" i="2"/>
  <c r="J49" i="2" s="1"/>
  <c r="F45" i="2"/>
  <c r="J45" i="2" s="1"/>
  <c r="F41" i="2"/>
  <c r="J41" i="2" s="1"/>
  <c r="F37" i="2"/>
  <c r="J37" i="2" s="1"/>
  <c r="F33" i="2"/>
  <c r="J33" i="2" s="1"/>
  <c r="F29" i="2"/>
  <c r="J29" i="2" s="1"/>
  <c r="F25" i="2"/>
  <c r="J25" i="2" s="1"/>
  <c r="F21" i="2"/>
  <c r="J21" i="2" s="1"/>
  <c r="F17" i="2"/>
  <c r="J17" i="2" s="1"/>
  <c r="F99" i="2"/>
  <c r="J99" i="2" s="1"/>
  <c r="F95" i="2"/>
  <c r="J95" i="2" s="1"/>
  <c r="F91" i="2"/>
  <c r="J91" i="2" s="1"/>
  <c r="F87" i="2"/>
  <c r="J87" i="2" s="1"/>
  <c r="F83" i="2"/>
  <c r="J83" i="2" s="1"/>
  <c r="F79" i="2"/>
  <c r="J79" i="2" s="1"/>
  <c r="F75" i="2"/>
  <c r="J75" i="2" s="1"/>
  <c r="F71" i="2"/>
  <c r="J71" i="2" s="1"/>
  <c r="F67" i="2"/>
  <c r="J67" i="2" s="1"/>
  <c r="F63" i="2"/>
  <c r="J63" i="2" s="1"/>
  <c r="F59" i="2"/>
  <c r="J59" i="2" s="1"/>
  <c r="F55" i="2"/>
  <c r="J55" i="2" s="1"/>
  <c r="F51" i="2"/>
  <c r="J51" i="2" s="1"/>
  <c r="F47" i="2"/>
  <c r="J47" i="2" s="1"/>
  <c r="F43" i="2"/>
  <c r="J43" i="2" s="1"/>
  <c r="F39" i="2"/>
  <c r="J39" i="2" s="1"/>
  <c r="F31" i="2"/>
  <c r="J31" i="2" s="1"/>
  <c r="F27" i="2"/>
  <c r="J27" i="2" s="1"/>
  <c r="H17" i="2"/>
  <c r="L17" i="2" s="1"/>
  <c r="H19" i="2"/>
  <c r="L19" i="2" s="1"/>
  <c r="H21" i="2"/>
  <c r="L21" i="2" s="1"/>
  <c r="H23" i="2"/>
  <c r="L23" i="2" s="1"/>
  <c r="H25" i="2"/>
  <c r="L25" i="2" s="1"/>
  <c r="H27" i="2"/>
  <c r="L27" i="2" s="1"/>
  <c r="H29" i="2"/>
  <c r="L29" i="2" s="1"/>
  <c r="H31" i="2"/>
  <c r="L31" i="2" s="1"/>
  <c r="H33" i="2"/>
  <c r="L33" i="2" s="1"/>
  <c r="H35" i="2"/>
  <c r="L35" i="2" s="1"/>
  <c r="H37" i="2"/>
  <c r="L37" i="2" s="1"/>
  <c r="H39" i="2"/>
  <c r="L39" i="2" s="1"/>
  <c r="H41" i="2"/>
  <c r="L41" i="2" s="1"/>
  <c r="H43" i="2"/>
  <c r="L43" i="2" s="1"/>
  <c r="H45" i="2"/>
  <c r="L45" i="2" s="1"/>
  <c r="H47" i="2"/>
  <c r="L47" i="2" s="1"/>
  <c r="H49" i="2"/>
  <c r="L49" i="2" s="1"/>
  <c r="H51" i="2"/>
  <c r="L51" i="2" s="1"/>
  <c r="H53" i="2"/>
  <c r="L53" i="2" s="1"/>
  <c r="H55" i="2"/>
  <c r="L55" i="2" s="1"/>
  <c r="H57" i="2"/>
  <c r="L57" i="2" s="1"/>
  <c r="H59" i="2"/>
  <c r="L59" i="2" s="1"/>
  <c r="H61" i="2"/>
  <c r="L61" i="2" s="1"/>
  <c r="H63" i="2"/>
  <c r="L63" i="2" s="1"/>
  <c r="H65" i="2"/>
  <c r="L65" i="2" s="1"/>
  <c r="H67" i="2"/>
  <c r="L67" i="2" s="1"/>
  <c r="H69" i="2"/>
  <c r="L69" i="2" s="1"/>
  <c r="H71" i="2"/>
  <c r="L71" i="2" s="1"/>
  <c r="H73" i="2"/>
  <c r="L73" i="2" s="1"/>
  <c r="H75" i="2"/>
  <c r="L75" i="2" s="1"/>
  <c r="H77" i="2"/>
  <c r="L77" i="2" s="1"/>
  <c r="H79" i="2"/>
  <c r="L79" i="2" s="1"/>
  <c r="H81" i="2"/>
  <c r="L81" i="2" s="1"/>
  <c r="H83" i="2"/>
  <c r="L83" i="2" s="1"/>
  <c r="H85" i="2"/>
  <c r="L85" i="2" s="1"/>
  <c r="H87" i="2"/>
  <c r="L87" i="2" s="1"/>
  <c r="H89" i="2"/>
  <c r="L89" i="2" s="1"/>
  <c r="H91" i="2"/>
  <c r="L91" i="2" s="1"/>
  <c r="H93" i="2"/>
  <c r="L93" i="2" s="1"/>
  <c r="H95" i="2"/>
  <c r="L95" i="2" s="1"/>
  <c r="H97" i="2"/>
  <c r="L97" i="2" s="1"/>
  <c r="H99" i="2"/>
  <c r="L99" i="2" s="1"/>
  <c r="H101" i="2"/>
  <c r="L101" i="2" s="1"/>
  <c r="H103" i="2"/>
  <c r="L103" i="2" s="1"/>
  <c r="H105" i="2"/>
  <c r="L105" i="2" s="1"/>
  <c r="H107" i="2"/>
  <c r="L107" i="2" s="1"/>
  <c r="H109" i="2"/>
  <c r="L109" i="2" s="1"/>
  <c r="H111" i="2"/>
  <c r="L111" i="2" s="1"/>
  <c r="H113" i="2"/>
  <c r="L113" i="2" s="1"/>
  <c r="H115" i="2"/>
  <c r="L115" i="2" s="1"/>
  <c r="H117" i="2"/>
  <c r="L117" i="2" s="1"/>
  <c r="H119" i="2"/>
  <c r="L119" i="2" s="1"/>
  <c r="H121" i="2"/>
  <c r="L121" i="2" s="1"/>
  <c r="H123" i="2"/>
  <c r="L123" i="2" s="1"/>
  <c r="H125" i="2"/>
  <c r="L125" i="2" s="1"/>
  <c r="H127" i="2"/>
  <c r="L127" i="2" s="1"/>
  <c r="H129" i="2"/>
  <c r="L129" i="2" s="1"/>
  <c r="H131" i="2"/>
  <c r="L131" i="2" s="1"/>
  <c r="H133" i="2"/>
  <c r="L133" i="2" s="1"/>
  <c r="H135" i="2"/>
  <c r="L135" i="2" s="1"/>
  <c r="H137" i="2"/>
  <c r="L137" i="2" s="1"/>
  <c r="H139" i="2"/>
  <c r="L139" i="2" s="1"/>
  <c r="H141" i="2"/>
  <c r="L141" i="2" s="1"/>
  <c r="H143" i="2"/>
  <c r="L143" i="2" s="1"/>
  <c r="H145" i="2"/>
  <c r="L145" i="2" s="1"/>
  <c r="H147" i="2"/>
  <c r="L147" i="2" s="1"/>
  <c r="H149" i="2"/>
  <c r="L149" i="2" s="1"/>
  <c r="H151" i="2"/>
  <c r="L151" i="2" s="1"/>
  <c r="H153" i="2"/>
  <c r="L153" i="2" s="1"/>
  <c r="H155" i="2"/>
  <c r="L155" i="2" s="1"/>
  <c r="H157" i="2"/>
  <c r="L157" i="2" s="1"/>
  <c r="H159" i="2"/>
  <c r="L159" i="2" s="1"/>
  <c r="H161" i="2"/>
  <c r="L161" i="2" s="1"/>
  <c r="H163" i="2"/>
  <c r="L163" i="2" s="1"/>
  <c r="H165" i="2"/>
  <c r="L165" i="2" s="1"/>
  <c r="H167" i="2"/>
  <c r="L167" i="2" s="1"/>
  <c r="H169" i="2"/>
  <c r="L169" i="2" s="1"/>
  <c r="H171" i="2"/>
  <c r="L171" i="2" s="1"/>
  <c r="H173" i="2"/>
  <c r="L173" i="2" s="1"/>
  <c r="H175" i="2"/>
  <c r="L175" i="2" s="1"/>
  <c r="H177" i="2"/>
  <c r="L177" i="2" s="1"/>
  <c r="H179" i="2"/>
  <c r="L179" i="2" s="1"/>
  <c r="H181" i="2"/>
  <c r="L181" i="2" s="1"/>
  <c r="H183" i="2"/>
  <c r="L183" i="2" s="1"/>
  <c r="H185" i="2"/>
  <c r="L185" i="2" s="1"/>
  <c r="H187" i="2"/>
  <c r="L187" i="2" s="1"/>
  <c r="H189" i="2"/>
  <c r="L189" i="2" s="1"/>
  <c r="H191" i="2"/>
  <c r="L191" i="2" s="1"/>
  <c r="H193" i="2"/>
  <c r="L193" i="2" s="1"/>
  <c r="H195" i="2"/>
  <c r="L195" i="2" s="1"/>
  <c r="H197" i="2"/>
  <c r="L197" i="2" s="1"/>
  <c r="H199" i="2"/>
  <c r="L199" i="2" s="1"/>
  <c r="H201" i="2"/>
  <c r="L201" i="2" s="1"/>
  <c r="H203" i="2"/>
  <c r="L203" i="2" s="1"/>
  <c r="H205" i="2"/>
  <c r="L205" i="2" s="1"/>
  <c r="H207" i="2"/>
  <c r="L207" i="2" s="1"/>
  <c r="H209" i="2"/>
  <c r="L209" i="2" s="1"/>
  <c r="H211" i="2"/>
  <c r="L211" i="2" s="1"/>
  <c r="H213" i="2"/>
  <c r="L213" i="2" s="1"/>
  <c r="H215" i="2"/>
  <c r="L215" i="2" s="1"/>
  <c r="H217" i="2"/>
  <c r="L217" i="2" s="1"/>
  <c r="H219" i="2"/>
  <c r="L219" i="2" s="1"/>
  <c r="H221" i="2"/>
  <c r="L221" i="2" s="1"/>
  <c r="H223" i="2"/>
  <c r="L223" i="2" s="1"/>
  <c r="H225" i="2"/>
  <c r="L225" i="2" s="1"/>
  <c r="H227" i="2"/>
  <c r="L227" i="2" s="1"/>
  <c r="H229" i="2"/>
  <c r="L229" i="2" s="1"/>
  <c r="H231" i="2"/>
  <c r="L231" i="2" s="1"/>
  <c r="H233" i="2"/>
  <c r="L233" i="2" s="1"/>
  <c r="H235" i="2"/>
  <c r="L235" i="2" s="1"/>
  <c r="H237" i="2"/>
  <c r="L237" i="2" s="1"/>
  <c r="H239" i="2"/>
  <c r="L239" i="2" s="1"/>
  <c r="H241" i="2"/>
  <c r="L241" i="2" s="1"/>
  <c r="H243" i="2"/>
  <c r="L243" i="2" s="1"/>
  <c r="H245" i="2"/>
  <c r="L245" i="2" s="1"/>
  <c r="H247" i="2"/>
  <c r="L247" i="2" s="1"/>
  <c r="H249" i="2"/>
  <c r="L249" i="2" s="1"/>
  <c r="H251" i="2"/>
  <c r="L251" i="2" s="1"/>
  <c r="H253" i="2"/>
  <c r="L253" i="2" s="1"/>
  <c r="H255" i="2"/>
  <c r="L255" i="2" s="1"/>
  <c r="H257" i="2"/>
  <c r="L257" i="2" s="1"/>
  <c r="H259" i="2"/>
  <c r="L259" i="2" s="1"/>
  <c r="H261" i="2"/>
  <c r="L261" i="2" s="1"/>
  <c r="H263" i="2"/>
  <c r="L263" i="2" s="1"/>
  <c r="H265" i="2"/>
  <c r="L265" i="2" s="1"/>
  <c r="H172" i="2"/>
  <c r="L172" i="2" s="1"/>
  <c r="H188" i="2"/>
  <c r="L188" i="2" s="1"/>
  <c r="H204" i="2"/>
  <c r="L204" i="2" s="1"/>
  <c r="H220" i="2"/>
  <c r="L220" i="2" s="1"/>
  <c r="H236" i="2"/>
  <c r="L236" i="2" s="1"/>
  <c r="H252" i="2"/>
  <c r="L252" i="2" s="1"/>
  <c r="H18" i="2"/>
  <c r="L18" i="2" s="1"/>
  <c r="H20" i="2"/>
  <c r="L20" i="2" s="1"/>
  <c r="H22" i="2"/>
  <c r="L22" i="2" s="1"/>
  <c r="H24" i="2"/>
  <c r="L24" i="2" s="1"/>
  <c r="H26" i="2"/>
  <c r="L26" i="2" s="1"/>
  <c r="H28" i="2"/>
  <c r="L28" i="2" s="1"/>
  <c r="H30" i="2"/>
  <c r="L30" i="2" s="1"/>
  <c r="H32" i="2"/>
  <c r="L32" i="2" s="1"/>
  <c r="H34" i="2"/>
  <c r="L34" i="2" s="1"/>
  <c r="H36" i="2"/>
  <c r="L36" i="2" s="1"/>
  <c r="H38" i="2"/>
  <c r="L38" i="2" s="1"/>
  <c r="H40" i="2"/>
  <c r="L40" i="2" s="1"/>
  <c r="H42" i="2"/>
  <c r="L42" i="2" s="1"/>
  <c r="H44" i="2"/>
  <c r="L44" i="2" s="1"/>
  <c r="H46" i="2"/>
  <c r="L46" i="2" s="1"/>
  <c r="H48" i="2"/>
  <c r="L48" i="2" s="1"/>
  <c r="H50" i="2"/>
  <c r="L50" i="2" s="1"/>
  <c r="H52" i="2"/>
  <c r="L52" i="2" s="1"/>
  <c r="H54" i="2"/>
  <c r="L54" i="2" s="1"/>
  <c r="H56" i="2"/>
  <c r="L56" i="2" s="1"/>
  <c r="H58" i="2"/>
  <c r="L58" i="2" s="1"/>
  <c r="H60" i="2"/>
  <c r="L60" i="2" s="1"/>
  <c r="H62" i="2"/>
  <c r="L62" i="2" s="1"/>
  <c r="H64" i="2"/>
  <c r="L64" i="2" s="1"/>
  <c r="H66" i="2"/>
  <c r="L66" i="2" s="1"/>
  <c r="H68" i="2"/>
  <c r="L68" i="2" s="1"/>
  <c r="H70" i="2"/>
  <c r="L70" i="2" s="1"/>
  <c r="H72" i="2"/>
  <c r="L72" i="2" s="1"/>
  <c r="H74" i="2"/>
  <c r="L74" i="2" s="1"/>
  <c r="H76" i="2"/>
  <c r="L76" i="2" s="1"/>
  <c r="H78" i="2"/>
  <c r="L78" i="2" s="1"/>
  <c r="H80" i="2"/>
  <c r="L80" i="2" s="1"/>
  <c r="H82" i="2"/>
  <c r="L82" i="2" s="1"/>
  <c r="H84" i="2"/>
  <c r="L84" i="2" s="1"/>
  <c r="H86" i="2"/>
  <c r="L86" i="2" s="1"/>
  <c r="H88" i="2"/>
  <c r="L88" i="2" s="1"/>
  <c r="H90" i="2"/>
  <c r="L90" i="2" s="1"/>
  <c r="H92" i="2"/>
  <c r="L92" i="2" s="1"/>
  <c r="H94" i="2"/>
  <c r="L94" i="2" s="1"/>
  <c r="H96" i="2"/>
  <c r="L96" i="2" s="1"/>
  <c r="H98" i="2"/>
  <c r="L98" i="2" s="1"/>
  <c r="H100" i="2"/>
  <c r="L100" i="2" s="1"/>
  <c r="H102" i="2"/>
  <c r="L102" i="2" s="1"/>
  <c r="H104" i="2"/>
  <c r="L104" i="2" s="1"/>
  <c r="H106" i="2"/>
  <c r="L106" i="2" s="1"/>
  <c r="H108" i="2"/>
  <c r="L108" i="2" s="1"/>
  <c r="H110" i="2"/>
  <c r="L110" i="2" s="1"/>
  <c r="H112" i="2"/>
  <c r="L112" i="2" s="1"/>
  <c r="H114" i="2"/>
  <c r="L114" i="2" s="1"/>
  <c r="H116" i="2"/>
  <c r="L116" i="2" s="1"/>
  <c r="H118" i="2"/>
  <c r="L118" i="2" s="1"/>
  <c r="H120" i="2"/>
  <c r="L120" i="2" s="1"/>
  <c r="H122" i="2"/>
  <c r="L122" i="2" s="1"/>
  <c r="H124" i="2"/>
  <c r="L124" i="2" s="1"/>
  <c r="H126" i="2"/>
  <c r="L126" i="2" s="1"/>
  <c r="H128" i="2"/>
  <c r="L128" i="2" s="1"/>
  <c r="H130" i="2"/>
  <c r="L130" i="2" s="1"/>
  <c r="H132" i="2"/>
  <c r="L132" i="2" s="1"/>
  <c r="H134" i="2"/>
  <c r="L134" i="2" s="1"/>
  <c r="H136" i="2"/>
  <c r="L136" i="2" s="1"/>
  <c r="H138" i="2"/>
  <c r="L138" i="2" s="1"/>
  <c r="H140" i="2"/>
  <c r="L140" i="2" s="1"/>
  <c r="H142" i="2"/>
  <c r="L142" i="2" s="1"/>
  <c r="H144" i="2"/>
  <c r="L144" i="2" s="1"/>
  <c r="H146" i="2"/>
  <c r="L146" i="2" s="1"/>
  <c r="H148" i="2"/>
  <c r="L148" i="2" s="1"/>
  <c r="H150" i="2"/>
  <c r="L150" i="2" s="1"/>
  <c r="H152" i="2"/>
  <c r="L152" i="2" s="1"/>
  <c r="H154" i="2"/>
  <c r="L154" i="2" s="1"/>
  <c r="H156" i="2"/>
  <c r="L156" i="2" s="1"/>
  <c r="H158" i="2"/>
  <c r="L158" i="2" s="1"/>
  <c r="H160" i="2"/>
  <c r="L160" i="2" s="1"/>
  <c r="H162" i="2"/>
  <c r="L162" i="2" s="1"/>
  <c r="H164" i="2"/>
  <c r="L164" i="2" s="1"/>
  <c r="H166" i="2"/>
  <c r="L166" i="2" s="1"/>
  <c r="H168" i="2"/>
  <c r="L168" i="2" s="1"/>
  <c r="H170" i="2"/>
  <c r="L170" i="2" s="1"/>
  <c r="H174" i="2"/>
  <c r="L174" i="2" s="1"/>
  <c r="H176" i="2"/>
  <c r="L176" i="2" s="1"/>
  <c r="H178" i="2"/>
  <c r="L178" i="2" s="1"/>
  <c r="H180" i="2"/>
  <c r="L180" i="2" s="1"/>
  <c r="H182" i="2"/>
  <c r="L182" i="2" s="1"/>
  <c r="H184" i="2"/>
  <c r="L184" i="2" s="1"/>
  <c r="H186" i="2"/>
  <c r="L186" i="2" s="1"/>
  <c r="H190" i="2"/>
  <c r="L190" i="2" s="1"/>
  <c r="H192" i="2"/>
  <c r="L192" i="2" s="1"/>
  <c r="H194" i="2"/>
  <c r="L194" i="2" s="1"/>
  <c r="H196" i="2"/>
  <c r="L196" i="2" s="1"/>
  <c r="H198" i="2"/>
  <c r="L198" i="2" s="1"/>
  <c r="H200" i="2"/>
  <c r="L200" i="2" s="1"/>
  <c r="H202" i="2"/>
  <c r="L202" i="2" s="1"/>
  <c r="H206" i="2"/>
  <c r="L206" i="2" s="1"/>
  <c r="H208" i="2"/>
  <c r="L208" i="2" s="1"/>
  <c r="H210" i="2"/>
  <c r="L210" i="2" s="1"/>
  <c r="H212" i="2"/>
  <c r="L212" i="2" s="1"/>
  <c r="H214" i="2"/>
  <c r="L214" i="2" s="1"/>
  <c r="H216" i="2"/>
  <c r="L216" i="2" s="1"/>
  <c r="H218" i="2"/>
  <c r="L218" i="2" s="1"/>
  <c r="H222" i="2"/>
  <c r="L222" i="2" s="1"/>
  <c r="H224" i="2"/>
  <c r="L224" i="2" s="1"/>
  <c r="H226" i="2"/>
  <c r="L226" i="2" s="1"/>
  <c r="H228" i="2"/>
  <c r="L228" i="2" s="1"/>
  <c r="H230" i="2"/>
  <c r="L230" i="2" s="1"/>
  <c r="H232" i="2"/>
  <c r="L232" i="2" s="1"/>
  <c r="H234" i="2"/>
  <c r="L234" i="2" s="1"/>
  <c r="H238" i="2"/>
  <c r="L238" i="2" s="1"/>
  <c r="H240" i="2"/>
  <c r="L240" i="2" s="1"/>
  <c r="H242" i="2"/>
  <c r="L242" i="2" s="1"/>
  <c r="H244" i="2"/>
  <c r="L244" i="2" s="1"/>
  <c r="H246" i="2"/>
  <c r="L246" i="2" s="1"/>
  <c r="H248" i="2"/>
  <c r="L248" i="2" s="1"/>
  <c r="H250" i="2"/>
  <c r="L250" i="2" s="1"/>
  <c r="H254" i="2"/>
  <c r="L254" i="2" s="1"/>
  <c r="H256" i="2"/>
  <c r="L256" i="2" s="1"/>
  <c r="H258" i="2"/>
  <c r="L258" i="2" s="1"/>
  <c r="H260" i="2"/>
  <c r="L260" i="2" s="1"/>
  <c r="H262" i="2"/>
  <c r="L262" i="2" s="1"/>
  <c r="H264" i="2"/>
  <c r="L264" i="2" s="1"/>
  <c r="H16" i="2"/>
  <c r="L16" i="2" s="1"/>
  <c r="G5" i="7" l="1"/>
  <c r="C4" i="10" s="1"/>
  <c r="I8" i="10" s="1"/>
  <c r="C5" i="10"/>
  <c r="H4" i="2"/>
  <c r="H3" i="2"/>
  <c r="J16" i="2"/>
  <c r="B9" i="10"/>
  <c r="C16" i="10" s="1"/>
  <c r="J5" i="10"/>
  <c r="I7" i="10" s="1" a="1"/>
  <c r="I7" i="10" s="1"/>
  <c r="I14" i="10" s="1"/>
  <c r="I15" i="10" s="1"/>
  <c r="K16" i="5"/>
  <c r="B1" i="5"/>
  <c r="E1" i="5" s="1"/>
  <c r="J4" i="5"/>
  <c r="J5" i="5" s="1"/>
  <c r="I4" i="5"/>
  <c r="J3" i="5"/>
  <c r="I3" i="5"/>
  <c r="E6" i="5" s="1"/>
  <c r="B2" i="5"/>
  <c r="E2" i="5" s="1"/>
  <c r="L17" i="5"/>
  <c r="H7" i="5" s="1"/>
  <c r="B4" i="7" s="1"/>
  <c r="K17" i="5"/>
  <c r="H7" i="2"/>
  <c r="B5" i="13" s="1"/>
  <c r="H6" i="2"/>
  <c r="J4" i="2"/>
  <c r="J5" i="2" s="1"/>
  <c r="J3" i="2"/>
  <c r="B10" i="10" l="1"/>
  <c r="B11" i="10" s="1"/>
  <c r="B16" i="10" s="1"/>
  <c r="B4" i="13"/>
  <c r="J11" i="13" s="1"/>
  <c r="M11" i="13" s="1"/>
  <c r="B7" i="2"/>
  <c r="H5" i="2"/>
  <c r="I9" i="10"/>
  <c r="I5" i="5"/>
  <c r="E7" i="5"/>
  <c r="I7" i="5"/>
  <c r="C4" i="7" s="1"/>
  <c r="I6" i="5"/>
  <c r="C3" i="7" s="1"/>
  <c r="H6" i="5"/>
  <c r="B3" i="7" s="1"/>
  <c r="B6" i="5"/>
  <c r="H8" i="2"/>
  <c r="K13" i="7" l="1"/>
  <c r="N13" i="7" s="1"/>
  <c r="K17" i="7"/>
  <c r="N17" i="7" s="1"/>
  <c r="K21" i="7"/>
  <c r="N21" i="7" s="1"/>
  <c r="K25" i="7"/>
  <c r="N25" i="7" s="1"/>
  <c r="K29" i="7"/>
  <c r="N29" i="7" s="1"/>
  <c r="K33" i="7"/>
  <c r="N33" i="7" s="1"/>
  <c r="K37" i="7"/>
  <c r="N37" i="7" s="1"/>
  <c r="K41" i="7"/>
  <c r="N41" i="7" s="1"/>
  <c r="K45" i="7"/>
  <c r="N45" i="7" s="1"/>
  <c r="K49" i="7"/>
  <c r="N49" i="7" s="1"/>
  <c r="K53" i="7"/>
  <c r="N53" i="7" s="1"/>
  <c r="K57" i="7"/>
  <c r="N57" i="7" s="1"/>
  <c r="K61" i="7"/>
  <c r="N61" i="7" s="1"/>
  <c r="K65" i="7"/>
  <c r="N65" i="7" s="1"/>
  <c r="K69" i="7"/>
  <c r="N69" i="7" s="1"/>
  <c r="K14" i="7"/>
  <c r="N14" i="7" s="1"/>
  <c r="K18" i="7"/>
  <c r="N18" i="7" s="1"/>
  <c r="K22" i="7"/>
  <c r="N22" i="7" s="1"/>
  <c r="K26" i="7"/>
  <c r="N26" i="7" s="1"/>
  <c r="K30" i="7"/>
  <c r="N30" i="7" s="1"/>
  <c r="K34" i="7"/>
  <c r="N34" i="7" s="1"/>
  <c r="K38" i="7"/>
  <c r="N38" i="7" s="1"/>
  <c r="K42" i="7"/>
  <c r="N42" i="7" s="1"/>
  <c r="K46" i="7"/>
  <c r="N46" i="7" s="1"/>
  <c r="K50" i="7"/>
  <c r="N50" i="7" s="1"/>
  <c r="K54" i="7"/>
  <c r="N54" i="7" s="1"/>
  <c r="K58" i="7"/>
  <c r="N58" i="7" s="1"/>
  <c r="K62" i="7"/>
  <c r="N62" i="7" s="1"/>
  <c r="K66" i="7"/>
  <c r="N66" i="7" s="1"/>
  <c r="K70" i="7"/>
  <c r="N70" i="7" s="1"/>
  <c r="K15" i="7"/>
  <c r="N15" i="7" s="1"/>
  <c r="K19" i="7"/>
  <c r="N19" i="7" s="1"/>
  <c r="K23" i="7"/>
  <c r="N23" i="7" s="1"/>
  <c r="K27" i="7"/>
  <c r="N27" i="7" s="1"/>
  <c r="K31" i="7"/>
  <c r="N31" i="7" s="1"/>
  <c r="K35" i="7"/>
  <c r="N35" i="7" s="1"/>
  <c r="K39" i="7"/>
  <c r="N39" i="7" s="1"/>
  <c r="K43" i="7"/>
  <c r="N43" i="7" s="1"/>
  <c r="K47" i="7"/>
  <c r="N47" i="7" s="1"/>
  <c r="K51" i="7"/>
  <c r="N51" i="7" s="1"/>
  <c r="K55" i="7"/>
  <c r="N55" i="7" s="1"/>
  <c r="K59" i="7"/>
  <c r="N59" i="7" s="1"/>
  <c r="K63" i="7"/>
  <c r="N63" i="7" s="1"/>
  <c r="K67" i="7"/>
  <c r="N67" i="7" s="1"/>
  <c r="K71" i="7"/>
  <c r="N71" i="7" s="1"/>
  <c r="K16" i="7"/>
  <c r="N16" i="7" s="1"/>
  <c r="K20" i="7"/>
  <c r="N20" i="7" s="1"/>
  <c r="K24" i="7"/>
  <c r="N24" i="7" s="1"/>
  <c r="K28" i="7"/>
  <c r="N28" i="7" s="1"/>
  <c r="K32" i="7"/>
  <c r="N32" i="7" s="1"/>
  <c r="K36" i="7"/>
  <c r="N36" i="7" s="1"/>
  <c r="K40" i="7"/>
  <c r="N40" i="7" s="1"/>
  <c r="K44" i="7"/>
  <c r="N44" i="7" s="1"/>
  <c r="K48" i="7"/>
  <c r="N48" i="7" s="1"/>
  <c r="K52" i="7"/>
  <c r="N52" i="7" s="1"/>
  <c r="K56" i="7"/>
  <c r="N56" i="7" s="1"/>
  <c r="K60" i="7"/>
  <c r="N60" i="7" s="1"/>
  <c r="K64" i="7"/>
  <c r="N64" i="7" s="1"/>
  <c r="K68" i="7"/>
  <c r="N68" i="7" s="1"/>
  <c r="K72" i="7"/>
  <c r="N72" i="7" s="1"/>
  <c r="K12" i="7"/>
  <c r="N12" i="7" s="1"/>
  <c r="J12" i="7"/>
  <c r="M12" i="7" s="1"/>
  <c r="J13" i="7"/>
  <c r="M13" i="7" s="1"/>
  <c r="J17" i="7"/>
  <c r="M17" i="7" s="1"/>
  <c r="J21" i="7"/>
  <c r="M21" i="7" s="1"/>
  <c r="J25" i="7"/>
  <c r="M25" i="7" s="1"/>
  <c r="J29" i="7"/>
  <c r="M29" i="7" s="1"/>
  <c r="J33" i="7"/>
  <c r="M33" i="7" s="1"/>
  <c r="J37" i="7"/>
  <c r="M37" i="7" s="1"/>
  <c r="J41" i="7"/>
  <c r="M41" i="7" s="1"/>
  <c r="J45" i="7"/>
  <c r="M45" i="7" s="1"/>
  <c r="J49" i="7"/>
  <c r="M49" i="7" s="1"/>
  <c r="J53" i="7"/>
  <c r="M53" i="7" s="1"/>
  <c r="J57" i="7"/>
  <c r="M57" i="7" s="1"/>
  <c r="J61" i="7"/>
  <c r="M61" i="7" s="1"/>
  <c r="J65" i="7"/>
  <c r="M65" i="7" s="1"/>
  <c r="J69" i="7"/>
  <c r="M69" i="7" s="1"/>
  <c r="J36" i="7"/>
  <c r="M36" i="7" s="1"/>
  <c r="J14" i="7"/>
  <c r="M14" i="7" s="1"/>
  <c r="J18" i="7"/>
  <c r="M18" i="7" s="1"/>
  <c r="J22" i="7"/>
  <c r="M22" i="7" s="1"/>
  <c r="J26" i="7"/>
  <c r="M26" i="7" s="1"/>
  <c r="J30" i="7"/>
  <c r="M30" i="7" s="1"/>
  <c r="J34" i="7"/>
  <c r="M34" i="7" s="1"/>
  <c r="J38" i="7"/>
  <c r="M38" i="7" s="1"/>
  <c r="J42" i="7"/>
  <c r="M42" i="7" s="1"/>
  <c r="J46" i="7"/>
  <c r="M46" i="7" s="1"/>
  <c r="J50" i="7"/>
  <c r="M50" i="7" s="1"/>
  <c r="J54" i="7"/>
  <c r="M54" i="7" s="1"/>
  <c r="J58" i="7"/>
  <c r="M58" i="7" s="1"/>
  <c r="J62" i="7"/>
  <c r="M62" i="7" s="1"/>
  <c r="J66" i="7"/>
  <c r="M66" i="7" s="1"/>
  <c r="J70" i="7"/>
  <c r="M70" i="7" s="1"/>
  <c r="J44" i="7"/>
  <c r="M44" i="7" s="1"/>
  <c r="J15" i="7"/>
  <c r="M15" i="7" s="1"/>
  <c r="J19" i="7"/>
  <c r="M19" i="7" s="1"/>
  <c r="J23" i="7"/>
  <c r="M23" i="7" s="1"/>
  <c r="J27" i="7"/>
  <c r="M27" i="7" s="1"/>
  <c r="J31" i="7"/>
  <c r="M31" i="7" s="1"/>
  <c r="J35" i="7"/>
  <c r="M35" i="7" s="1"/>
  <c r="J39" i="7"/>
  <c r="M39" i="7" s="1"/>
  <c r="J43" i="7"/>
  <c r="M43" i="7" s="1"/>
  <c r="J47" i="7"/>
  <c r="M47" i="7" s="1"/>
  <c r="J51" i="7"/>
  <c r="M51" i="7" s="1"/>
  <c r="J55" i="7"/>
  <c r="M55" i="7" s="1"/>
  <c r="J59" i="7"/>
  <c r="M59" i="7" s="1"/>
  <c r="J63" i="7"/>
  <c r="M63" i="7" s="1"/>
  <c r="J67" i="7"/>
  <c r="M67" i="7" s="1"/>
  <c r="J71" i="7"/>
  <c r="M71" i="7" s="1"/>
  <c r="J16" i="7"/>
  <c r="M16" i="7" s="1"/>
  <c r="J20" i="7"/>
  <c r="J24" i="7"/>
  <c r="M24" i="7" s="1"/>
  <c r="J28" i="7"/>
  <c r="M28" i="7" s="1"/>
  <c r="J32" i="7"/>
  <c r="M32" i="7" s="1"/>
  <c r="J40" i="7"/>
  <c r="M40" i="7" s="1"/>
  <c r="J48" i="7"/>
  <c r="M48" i="7" s="1"/>
  <c r="J52" i="7"/>
  <c r="M52" i="7" s="1"/>
  <c r="J56" i="7"/>
  <c r="M56" i="7" s="1"/>
  <c r="J60" i="7"/>
  <c r="M60" i="7" s="1"/>
  <c r="J64" i="7"/>
  <c r="M64" i="7" s="1"/>
  <c r="J68" i="7"/>
  <c r="M68" i="7" s="1"/>
  <c r="J72" i="7"/>
  <c r="M72" i="7" s="1"/>
  <c r="J40" i="13"/>
  <c r="M40" i="13" s="1"/>
  <c r="I8" i="5"/>
  <c r="H8" i="5"/>
  <c r="J70" i="13"/>
  <c r="M70" i="13" s="1"/>
  <c r="J69" i="13"/>
  <c r="M69" i="13" s="1"/>
  <c r="J26" i="13"/>
  <c r="M26" i="13" s="1"/>
  <c r="J13" i="13"/>
  <c r="M13" i="13" s="1"/>
  <c r="J67" i="13"/>
  <c r="M67" i="13" s="1"/>
  <c r="J58" i="13"/>
  <c r="M58" i="13" s="1"/>
  <c r="J56" i="13"/>
  <c r="M56" i="13" s="1"/>
  <c r="J38" i="13"/>
  <c r="M38" i="13" s="1"/>
  <c r="J51" i="13"/>
  <c r="M51" i="13" s="1"/>
  <c r="J35" i="13"/>
  <c r="M35" i="13" s="1"/>
  <c r="J49" i="13"/>
  <c r="M49" i="13" s="1"/>
  <c r="J24" i="13"/>
  <c r="M24" i="13" s="1"/>
  <c r="J37" i="13"/>
  <c r="M37" i="13" s="1"/>
  <c r="J66" i="13"/>
  <c r="M66" i="13" s="1"/>
  <c r="J57" i="13"/>
  <c r="M57" i="13" s="1"/>
  <c r="J60" i="13"/>
  <c r="M60" i="13" s="1"/>
  <c r="J28" i="13"/>
  <c r="M28" i="13" s="1"/>
  <c r="J46" i="13"/>
  <c r="M46" i="13" s="1"/>
  <c r="J45" i="13"/>
  <c r="M45" i="13" s="1"/>
  <c r="J55" i="13"/>
  <c r="M55" i="13" s="1"/>
  <c r="J23" i="13"/>
  <c r="M23" i="13" s="1"/>
  <c r="J19" i="13"/>
  <c r="M19" i="13" s="1"/>
  <c r="J34" i="13"/>
  <c r="M34" i="13" s="1"/>
  <c r="J25" i="13"/>
  <c r="M25" i="13" s="1"/>
  <c r="J44" i="13"/>
  <c r="M44" i="13" s="1"/>
  <c r="J12" i="13"/>
  <c r="M12" i="13" s="1"/>
  <c r="J14" i="13"/>
  <c r="M14" i="13" s="1"/>
  <c r="J17" i="13"/>
  <c r="M17" i="13" s="1"/>
  <c r="J39" i="13"/>
  <c r="M39" i="13" s="1"/>
  <c r="J50" i="13"/>
  <c r="M50" i="13" s="1"/>
  <c r="J18" i="13"/>
  <c r="M18" i="13" s="1"/>
  <c r="J41" i="13"/>
  <c r="M41" i="13" s="1"/>
  <c r="J68" i="13"/>
  <c r="M68" i="13" s="1"/>
  <c r="J52" i="13"/>
  <c r="M52" i="13" s="1"/>
  <c r="J36" i="13"/>
  <c r="M36" i="13" s="1"/>
  <c r="J20" i="13"/>
  <c r="M20" i="13" s="1"/>
  <c r="J62" i="13"/>
  <c r="M62" i="13" s="1"/>
  <c r="J30" i="13"/>
  <c r="M30" i="13" s="1"/>
  <c r="J61" i="13"/>
  <c r="M61" i="13" s="1"/>
  <c r="J29" i="13"/>
  <c r="M29" i="13" s="1"/>
  <c r="J63" i="13"/>
  <c r="M63" i="13" s="1"/>
  <c r="J47" i="13"/>
  <c r="M47" i="13" s="1"/>
  <c r="J31" i="13"/>
  <c r="M31" i="13" s="1"/>
  <c r="J15" i="13"/>
  <c r="M15" i="13" s="1"/>
  <c r="J10" i="13"/>
  <c r="M10" i="13" s="1"/>
  <c r="J42" i="13"/>
  <c r="M42" i="13" s="1"/>
  <c r="J65" i="13"/>
  <c r="M65" i="13" s="1"/>
  <c r="J33" i="13"/>
  <c r="M33" i="13" s="1"/>
  <c r="J64" i="13"/>
  <c r="M64" i="13" s="1"/>
  <c r="J48" i="13"/>
  <c r="M48" i="13" s="1"/>
  <c r="J32" i="13"/>
  <c r="M32" i="13" s="1"/>
  <c r="J16" i="13"/>
  <c r="M16" i="13" s="1"/>
  <c r="J54" i="13"/>
  <c r="M54" i="13" s="1"/>
  <c r="J22" i="13"/>
  <c r="M22" i="13" s="1"/>
  <c r="J53" i="13"/>
  <c r="M53" i="13" s="1"/>
  <c r="J21" i="13"/>
  <c r="M21" i="13" s="1"/>
  <c r="J59" i="13"/>
  <c r="M59" i="13" s="1"/>
  <c r="J43" i="13"/>
  <c r="M43" i="13" s="1"/>
  <c r="J27" i="13"/>
  <c r="M27" i="13" s="1"/>
  <c r="G266" i="2"/>
  <c r="K266" i="2" s="1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C822" i="1"/>
  <c r="C821" i="1"/>
  <c r="D821" i="1"/>
  <c r="C820" i="1"/>
  <c r="D820" i="1"/>
  <c r="C819" i="1"/>
  <c r="D819" i="1"/>
  <c r="C818" i="1"/>
  <c r="D818" i="1"/>
  <c r="C817" i="1"/>
  <c r="D817" i="1"/>
  <c r="C816" i="1"/>
  <c r="D816" i="1"/>
  <c r="C815" i="1"/>
  <c r="D815" i="1"/>
  <c r="C814" i="1"/>
  <c r="D814" i="1"/>
  <c r="C813" i="1"/>
  <c r="D813" i="1"/>
  <c r="C812" i="1"/>
  <c r="D812" i="1"/>
  <c r="C811" i="1"/>
  <c r="D811" i="1"/>
  <c r="C810" i="1"/>
  <c r="D810" i="1"/>
  <c r="C809" i="1"/>
  <c r="D809" i="1"/>
  <c r="C808" i="1"/>
  <c r="D808" i="1"/>
  <c r="C807" i="1"/>
  <c r="D807" i="1"/>
  <c r="C806" i="1"/>
  <c r="D806" i="1"/>
  <c r="C805" i="1"/>
  <c r="D805" i="1"/>
  <c r="C804" i="1"/>
  <c r="D804" i="1"/>
  <c r="C803" i="1"/>
  <c r="D803" i="1"/>
  <c r="C802" i="1"/>
  <c r="D802" i="1"/>
  <c r="C801" i="1"/>
  <c r="D801" i="1"/>
  <c r="C800" i="1"/>
  <c r="D800" i="1"/>
  <c r="C799" i="1"/>
  <c r="D799" i="1"/>
  <c r="C798" i="1"/>
  <c r="D798" i="1"/>
  <c r="C797" i="1"/>
  <c r="D797" i="1"/>
  <c r="C796" i="1"/>
  <c r="D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M20" i="7" l="1"/>
  <c r="P11" i="7" s="1"/>
  <c r="Q11" i="7"/>
  <c r="P9" i="13"/>
  <c r="G17" i="2"/>
  <c r="K17" i="2" s="1"/>
  <c r="G18" i="2"/>
  <c r="K18" i="2" s="1"/>
  <c r="G19" i="2"/>
  <c r="K19" i="2" s="1"/>
  <c r="G20" i="2"/>
  <c r="K20" i="2" s="1"/>
  <c r="G21" i="2"/>
  <c r="K21" i="2" s="1"/>
  <c r="G22" i="2"/>
  <c r="K22" i="2" s="1"/>
  <c r="G23" i="2"/>
  <c r="K23" i="2" s="1"/>
  <c r="G24" i="2"/>
  <c r="K24" i="2" s="1"/>
  <c r="G25" i="2"/>
  <c r="K25" i="2" s="1"/>
  <c r="G26" i="2"/>
  <c r="K26" i="2" s="1"/>
  <c r="G27" i="2"/>
  <c r="K27" i="2" s="1"/>
  <c r="G28" i="2"/>
  <c r="K28" i="2" s="1"/>
  <c r="G29" i="2"/>
  <c r="K29" i="2" s="1"/>
  <c r="G30" i="2"/>
  <c r="K30" i="2" s="1"/>
  <c r="G31" i="2"/>
  <c r="K31" i="2" s="1"/>
  <c r="G32" i="2"/>
  <c r="K32" i="2" s="1"/>
  <c r="G33" i="2"/>
  <c r="K33" i="2" s="1"/>
  <c r="G34" i="2"/>
  <c r="K34" i="2" s="1"/>
  <c r="G35" i="2"/>
  <c r="K35" i="2" s="1"/>
  <c r="G36" i="2"/>
  <c r="K36" i="2" s="1"/>
  <c r="G37" i="2"/>
  <c r="K37" i="2" s="1"/>
  <c r="G38" i="2"/>
  <c r="K38" i="2" s="1"/>
  <c r="G39" i="2"/>
  <c r="K39" i="2" s="1"/>
  <c r="G40" i="2"/>
  <c r="K40" i="2" s="1"/>
  <c r="G41" i="2"/>
  <c r="K41" i="2" s="1"/>
  <c r="G42" i="2"/>
  <c r="K42" i="2" s="1"/>
  <c r="G43" i="2"/>
  <c r="K43" i="2" s="1"/>
  <c r="G44" i="2"/>
  <c r="K44" i="2" s="1"/>
  <c r="G45" i="2"/>
  <c r="K45" i="2" s="1"/>
  <c r="G46" i="2"/>
  <c r="K46" i="2" s="1"/>
  <c r="G47" i="2"/>
  <c r="K47" i="2" s="1"/>
  <c r="G48" i="2"/>
  <c r="K48" i="2" s="1"/>
  <c r="G49" i="2"/>
  <c r="K49" i="2" s="1"/>
  <c r="G50" i="2"/>
  <c r="K50" i="2" s="1"/>
  <c r="G51" i="2"/>
  <c r="K51" i="2" s="1"/>
  <c r="G52" i="2"/>
  <c r="K52" i="2" s="1"/>
  <c r="G53" i="2"/>
  <c r="K53" i="2" s="1"/>
  <c r="G54" i="2"/>
  <c r="K54" i="2" s="1"/>
  <c r="G55" i="2"/>
  <c r="K55" i="2" s="1"/>
  <c r="G56" i="2"/>
  <c r="K56" i="2" s="1"/>
  <c r="G57" i="2"/>
  <c r="K57" i="2" s="1"/>
  <c r="G58" i="2"/>
  <c r="K58" i="2" s="1"/>
  <c r="G59" i="2"/>
  <c r="K59" i="2" s="1"/>
  <c r="G60" i="2"/>
  <c r="K60" i="2" s="1"/>
  <c r="G61" i="2"/>
  <c r="K61" i="2" s="1"/>
  <c r="G62" i="2"/>
  <c r="K62" i="2" s="1"/>
  <c r="G63" i="2"/>
  <c r="K63" i="2" s="1"/>
  <c r="G64" i="2"/>
  <c r="K64" i="2" s="1"/>
  <c r="G65" i="2"/>
  <c r="K65" i="2" s="1"/>
  <c r="G66" i="2"/>
  <c r="K66" i="2" s="1"/>
  <c r="G67" i="2"/>
  <c r="K67" i="2" s="1"/>
  <c r="G68" i="2"/>
  <c r="K68" i="2" s="1"/>
  <c r="G69" i="2"/>
  <c r="K69" i="2" s="1"/>
  <c r="G70" i="2"/>
  <c r="K70" i="2" s="1"/>
  <c r="G71" i="2"/>
  <c r="K71" i="2" s="1"/>
  <c r="G72" i="2"/>
  <c r="K72" i="2" s="1"/>
  <c r="G73" i="2"/>
  <c r="K73" i="2" s="1"/>
  <c r="G74" i="2"/>
  <c r="K74" i="2" s="1"/>
  <c r="G75" i="2"/>
  <c r="K75" i="2" s="1"/>
  <c r="G76" i="2"/>
  <c r="K76" i="2" s="1"/>
  <c r="G77" i="2"/>
  <c r="K77" i="2" s="1"/>
  <c r="G78" i="2"/>
  <c r="K78" i="2" s="1"/>
  <c r="G79" i="2"/>
  <c r="K79" i="2" s="1"/>
  <c r="G80" i="2"/>
  <c r="K80" i="2" s="1"/>
  <c r="G81" i="2"/>
  <c r="K81" i="2" s="1"/>
  <c r="G82" i="2"/>
  <c r="K82" i="2" s="1"/>
  <c r="G83" i="2"/>
  <c r="K83" i="2" s="1"/>
  <c r="G84" i="2"/>
  <c r="K84" i="2" s="1"/>
  <c r="G85" i="2"/>
  <c r="K85" i="2" s="1"/>
  <c r="G86" i="2"/>
  <c r="K86" i="2" s="1"/>
  <c r="G87" i="2"/>
  <c r="K87" i="2" s="1"/>
  <c r="G88" i="2"/>
  <c r="K88" i="2" s="1"/>
  <c r="G89" i="2"/>
  <c r="K89" i="2" s="1"/>
  <c r="G90" i="2"/>
  <c r="K90" i="2" s="1"/>
  <c r="G91" i="2"/>
  <c r="K91" i="2" s="1"/>
  <c r="G92" i="2"/>
  <c r="K92" i="2" s="1"/>
  <c r="G93" i="2"/>
  <c r="K93" i="2" s="1"/>
  <c r="G94" i="2"/>
  <c r="K94" i="2" s="1"/>
  <c r="G95" i="2"/>
  <c r="K95" i="2" s="1"/>
  <c r="G96" i="2"/>
  <c r="K96" i="2" s="1"/>
  <c r="G97" i="2"/>
  <c r="K97" i="2" s="1"/>
  <c r="G98" i="2"/>
  <c r="K98" i="2" s="1"/>
  <c r="G99" i="2"/>
  <c r="K99" i="2" s="1"/>
  <c r="G100" i="2"/>
  <c r="K100" i="2" s="1"/>
  <c r="G101" i="2"/>
  <c r="K101" i="2" s="1"/>
  <c r="G102" i="2"/>
  <c r="K102" i="2" s="1"/>
  <c r="G103" i="2"/>
  <c r="K103" i="2" s="1"/>
  <c r="G104" i="2"/>
  <c r="K104" i="2" s="1"/>
  <c r="G105" i="2"/>
  <c r="K105" i="2" s="1"/>
  <c r="G106" i="2"/>
  <c r="K106" i="2" s="1"/>
  <c r="G107" i="2"/>
  <c r="K107" i="2" s="1"/>
  <c r="G108" i="2"/>
  <c r="K108" i="2" s="1"/>
  <c r="G109" i="2"/>
  <c r="K109" i="2" s="1"/>
  <c r="G110" i="2"/>
  <c r="K110" i="2" s="1"/>
  <c r="G111" i="2"/>
  <c r="K111" i="2" s="1"/>
  <c r="G112" i="2"/>
  <c r="K112" i="2" s="1"/>
  <c r="G113" i="2"/>
  <c r="K113" i="2" s="1"/>
  <c r="G114" i="2"/>
  <c r="K114" i="2" s="1"/>
  <c r="G115" i="2"/>
  <c r="K115" i="2" s="1"/>
  <c r="G116" i="2"/>
  <c r="K116" i="2" s="1"/>
  <c r="G117" i="2"/>
  <c r="K117" i="2" s="1"/>
  <c r="G118" i="2"/>
  <c r="K118" i="2" s="1"/>
  <c r="G119" i="2"/>
  <c r="K119" i="2" s="1"/>
  <c r="G120" i="2"/>
  <c r="K120" i="2" s="1"/>
  <c r="G121" i="2"/>
  <c r="K121" i="2" s="1"/>
  <c r="G122" i="2"/>
  <c r="K122" i="2" s="1"/>
  <c r="G123" i="2"/>
  <c r="K123" i="2" s="1"/>
  <c r="G124" i="2"/>
  <c r="K124" i="2" s="1"/>
  <c r="G125" i="2"/>
  <c r="K125" i="2" s="1"/>
  <c r="G126" i="2"/>
  <c r="K126" i="2" s="1"/>
  <c r="G127" i="2"/>
  <c r="K127" i="2" s="1"/>
  <c r="G128" i="2"/>
  <c r="K128" i="2" s="1"/>
  <c r="G129" i="2"/>
  <c r="K129" i="2" s="1"/>
  <c r="G130" i="2"/>
  <c r="K130" i="2" s="1"/>
  <c r="G131" i="2"/>
  <c r="K131" i="2" s="1"/>
  <c r="G132" i="2"/>
  <c r="K132" i="2" s="1"/>
  <c r="G133" i="2"/>
  <c r="K133" i="2" s="1"/>
  <c r="G134" i="2"/>
  <c r="K134" i="2" s="1"/>
  <c r="G135" i="2"/>
  <c r="K135" i="2" s="1"/>
  <c r="G136" i="2"/>
  <c r="K136" i="2" s="1"/>
  <c r="G137" i="2"/>
  <c r="K137" i="2" s="1"/>
  <c r="G138" i="2"/>
  <c r="K138" i="2" s="1"/>
  <c r="G139" i="2"/>
  <c r="K139" i="2" s="1"/>
  <c r="G140" i="2"/>
  <c r="K140" i="2" s="1"/>
  <c r="G141" i="2"/>
  <c r="K141" i="2" s="1"/>
  <c r="G142" i="2"/>
  <c r="K142" i="2" s="1"/>
  <c r="G143" i="2"/>
  <c r="K143" i="2" s="1"/>
  <c r="G144" i="2"/>
  <c r="K144" i="2" s="1"/>
  <c r="G145" i="2"/>
  <c r="K145" i="2" s="1"/>
  <c r="G146" i="2"/>
  <c r="K146" i="2" s="1"/>
  <c r="G147" i="2"/>
  <c r="K147" i="2" s="1"/>
  <c r="G148" i="2"/>
  <c r="K148" i="2" s="1"/>
  <c r="G149" i="2"/>
  <c r="K149" i="2" s="1"/>
  <c r="G150" i="2"/>
  <c r="K150" i="2" s="1"/>
  <c r="G151" i="2"/>
  <c r="K151" i="2" s="1"/>
  <c r="G152" i="2"/>
  <c r="K152" i="2" s="1"/>
  <c r="G153" i="2"/>
  <c r="K153" i="2" s="1"/>
  <c r="G154" i="2"/>
  <c r="K154" i="2" s="1"/>
  <c r="G155" i="2"/>
  <c r="K155" i="2" s="1"/>
  <c r="G156" i="2"/>
  <c r="K156" i="2" s="1"/>
  <c r="G157" i="2"/>
  <c r="K157" i="2" s="1"/>
  <c r="G158" i="2"/>
  <c r="K158" i="2" s="1"/>
  <c r="G159" i="2"/>
  <c r="K159" i="2" s="1"/>
  <c r="G160" i="2"/>
  <c r="K160" i="2" s="1"/>
  <c r="G161" i="2"/>
  <c r="K161" i="2" s="1"/>
  <c r="G162" i="2"/>
  <c r="K162" i="2" s="1"/>
  <c r="G163" i="2"/>
  <c r="K163" i="2" s="1"/>
  <c r="G164" i="2"/>
  <c r="K164" i="2" s="1"/>
  <c r="G165" i="2"/>
  <c r="K165" i="2" s="1"/>
  <c r="G166" i="2"/>
  <c r="K166" i="2" s="1"/>
  <c r="G167" i="2"/>
  <c r="K167" i="2" s="1"/>
  <c r="G168" i="2"/>
  <c r="K168" i="2" s="1"/>
  <c r="G169" i="2"/>
  <c r="K169" i="2" s="1"/>
  <c r="G170" i="2"/>
  <c r="K170" i="2" s="1"/>
  <c r="G171" i="2"/>
  <c r="K171" i="2" s="1"/>
  <c r="G172" i="2"/>
  <c r="K172" i="2" s="1"/>
  <c r="G173" i="2"/>
  <c r="K173" i="2" s="1"/>
  <c r="G174" i="2"/>
  <c r="K174" i="2" s="1"/>
  <c r="G175" i="2"/>
  <c r="K175" i="2" s="1"/>
  <c r="G176" i="2"/>
  <c r="K176" i="2" s="1"/>
  <c r="G177" i="2"/>
  <c r="K177" i="2" s="1"/>
  <c r="G178" i="2"/>
  <c r="K178" i="2" s="1"/>
  <c r="G179" i="2"/>
  <c r="K179" i="2" s="1"/>
  <c r="G180" i="2"/>
  <c r="K180" i="2" s="1"/>
  <c r="G181" i="2"/>
  <c r="K181" i="2" s="1"/>
  <c r="G182" i="2"/>
  <c r="K182" i="2" s="1"/>
  <c r="G183" i="2"/>
  <c r="K183" i="2" s="1"/>
  <c r="G184" i="2"/>
  <c r="K184" i="2" s="1"/>
  <c r="G185" i="2"/>
  <c r="K185" i="2" s="1"/>
  <c r="G186" i="2"/>
  <c r="K186" i="2" s="1"/>
  <c r="G187" i="2"/>
  <c r="K187" i="2" s="1"/>
  <c r="G188" i="2"/>
  <c r="K188" i="2" s="1"/>
  <c r="G189" i="2"/>
  <c r="K189" i="2" s="1"/>
  <c r="G190" i="2"/>
  <c r="K190" i="2" s="1"/>
  <c r="G191" i="2"/>
  <c r="K191" i="2" s="1"/>
  <c r="G192" i="2"/>
  <c r="K192" i="2" s="1"/>
  <c r="G193" i="2"/>
  <c r="K193" i="2" s="1"/>
  <c r="G194" i="2"/>
  <c r="K194" i="2" s="1"/>
  <c r="G195" i="2"/>
  <c r="K195" i="2" s="1"/>
  <c r="G196" i="2"/>
  <c r="K196" i="2" s="1"/>
  <c r="G197" i="2"/>
  <c r="K197" i="2" s="1"/>
  <c r="G198" i="2"/>
  <c r="K198" i="2" s="1"/>
  <c r="G199" i="2"/>
  <c r="K199" i="2" s="1"/>
  <c r="G200" i="2"/>
  <c r="K200" i="2" s="1"/>
  <c r="G201" i="2"/>
  <c r="K201" i="2" s="1"/>
  <c r="G202" i="2"/>
  <c r="K202" i="2" s="1"/>
  <c r="G203" i="2"/>
  <c r="K203" i="2" s="1"/>
  <c r="G204" i="2"/>
  <c r="K204" i="2" s="1"/>
  <c r="G205" i="2"/>
  <c r="K205" i="2" s="1"/>
  <c r="G206" i="2"/>
  <c r="K206" i="2" s="1"/>
  <c r="G207" i="2"/>
  <c r="K207" i="2" s="1"/>
  <c r="G208" i="2"/>
  <c r="K208" i="2" s="1"/>
  <c r="G209" i="2"/>
  <c r="K209" i="2" s="1"/>
  <c r="G210" i="2"/>
  <c r="K210" i="2" s="1"/>
  <c r="G211" i="2"/>
  <c r="K211" i="2" s="1"/>
  <c r="G212" i="2"/>
  <c r="K212" i="2" s="1"/>
  <c r="G213" i="2"/>
  <c r="K213" i="2" s="1"/>
  <c r="G214" i="2"/>
  <c r="K214" i="2" s="1"/>
  <c r="G215" i="2"/>
  <c r="K215" i="2" s="1"/>
  <c r="G216" i="2"/>
  <c r="K216" i="2" s="1"/>
  <c r="G217" i="2"/>
  <c r="K217" i="2" s="1"/>
  <c r="G218" i="2"/>
  <c r="K218" i="2" s="1"/>
  <c r="G219" i="2"/>
  <c r="K219" i="2" s="1"/>
  <c r="G220" i="2"/>
  <c r="K220" i="2" s="1"/>
  <c r="G221" i="2"/>
  <c r="K221" i="2" s="1"/>
  <c r="G222" i="2"/>
  <c r="K222" i="2" s="1"/>
  <c r="G223" i="2"/>
  <c r="K223" i="2" s="1"/>
  <c r="G224" i="2"/>
  <c r="K224" i="2" s="1"/>
  <c r="G225" i="2"/>
  <c r="K225" i="2" s="1"/>
  <c r="G226" i="2"/>
  <c r="K226" i="2" s="1"/>
  <c r="G227" i="2"/>
  <c r="K227" i="2" s="1"/>
  <c r="G228" i="2"/>
  <c r="K228" i="2" s="1"/>
  <c r="G229" i="2"/>
  <c r="K229" i="2" s="1"/>
  <c r="G230" i="2"/>
  <c r="K230" i="2" s="1"/>
  <c r="G231" i="2"/>
  <c r="K231" i="2" s="1"/>
  <c r="G232" i="2"/>
  <c r="K232" i="2" s="1"/>
  <c r="G233" i="2"/>
  <c r="K233" i="2" s="1"/>
  <c r="G234" i="2"/>
  <c r="K234" i="2" s="1"/>
  <c r="G235" i="2"/>
  <c r="K235" i="2" s="1"/>
  <c r="G236" i="2"/>
  <c r="K236" i="2" s="1"/>
  <c r="G237" i="2"/>
  <c r="K237" i="2" s="1"/>
  <c r="G238" i="2"/>
  <c r="K238" i="2" s="1"/>
  <c r="G239" i="2"/>
  <c r="K239" i="2" s="1"/>
  <c r="G240" i="2"/>
  <c r="K240" i="2" s="1"/>
  <c r="G241" i="2"/>
  <c r="K241" i="2" s="1"/>
  <c r="G242" i="2"/>
  <c r="K242" i="2" s="1"/>
  <c r="G243" i="2"/>
  <c r="K243" i="2" s="1"/>
  <c r="G244" i="2"/>
  <c r="K244" i="2" s="1"/>
  <c r="G245" i="2"/>
  <c r="K245" i="2" s="1"/>
  <c r="G246" i="2"/>
  <c r="K246" i="2" s="1"/>
  <c r="G247" i="2"/>
  <c r="K247" i="2" s="1"/>
  <c r="G248" i="2"/>
  <c r="K248" i="2" s="1"/>
  <c r="G249" i="2"/>
  <c r="K249" i="2" s="1"/>
  <c r="G250" i="2"/>
  <c r="K250" i="2" s="1"/>
  <c r="G251" i="2"/>
  <c r="K251" i="2" s="1"/>
  <c r="G252" i="2"/>
  <c r="K252" i="2" s="1"/>
  <c r="G253" i="2"/>
  <c r="K253" i="2" s="1"/>
  <c r="G254" i="2"/>
  <c r="K254" i="2" s="1"/>
  <c r="G255" i="2"/>
  <c r="K255" i="2" s="1"/>
  <c r="G256" i="2"/>
  <c r="K256" i="2" s="1"/>
  <c r="G257" i="2"/>
  <c r="K257" i="2" s="1"/>
  <c r="G258" i="2"/>
  <c r="K258" i="2" s="1"/>
  <c r="G259" i="2"/>
  <c r="K259" i="2" s="1"/>
  <c r="G260" i="2"/>
  <c r="K260" i="2" s="1"/>
  <c r="G261" i="2"/>
  <c r="K261" i="2" s="1"/>
  <c r="G262" i="2"/>
  <c r="K262" i="2" s="1"/>
  <c r="G263" i="2"/>
  <c r="K263" i="2" s="1"/>
  <c r="G264" i="2"/>
  <c r="K264" i="2" s="1"/>
  <c r="G265" i="2"/>
  <c r="K265" i="2" s="1"/>
  <c r="G16" i="2"/>
  <c r="K16" i="2" l="1"/>
  <c r="I7" i="2" s="1"/>
  <c r="C5" i="13" s="1"/>
  <c r="B1" i="2"/>
  <c r="E1" i="2" s="1"/>
  <c r="I4" i="2"/>
  <c r="I3" i="2"/>
  <c r="E6" i="2" s="1"/>
  <c r="B2" i="2"/>
  <c r="E2" i="2" s="1"/>
  <c r="I5" i="2" l="1"/>
  <c r="E7" i="2"/>
  <c r="I6" i="2"/>
  <c r="B6" i="2"/>
  <c r="I8" i="2" l="1"/>
  <c r="C4" i="13"/>
  <c r="K10" i="13" l="1"/>
  <c r="N10" i="13" s="1"/>
  <c r="K11" i="13"/>
  <c r="N11" i="13" s="1"/>
  <c r="K15" i="13"/>
  <c r="N15" i="13" s="1"/>
  <c r="K19" i="13"/>
  <c r="N19" i="13" s="1"/>
  <c r="K23" i="13"/>
  <c r="N23" i="13" s="1"/>
  <c r="K27" i="13"/>
  <c r="N27" i="13" s="1"/>
  <c r="K31" i="13"/>
  <c r="N31" i="13" s="1"/>
  <c r="K35" i="13"/>
  <c r="N35" i="13" s="1"/>
  <c r="K39" i="13"/>
  <c r="N39" i="13" s="1"/>
  <c r="K43" i="13"/>
  <c r="N43" i="13" s="1"/>
  <c r="K47" i="13"/>
  <c r="N47" i="13" s="1"/>
  <c r="K51" i="13"/>
  <c r="N51" i="13" s="1"/>
  <c r="K55" i="13"/>
  <c r="N55" i="13" s="1"/>
  <c r="K59" i="13"/>
  <c r="N59" i="13" s="1"/>
  <c r="K63" i="13"/>
  <c r="N63" i="13" s="1"/>
  <c r="K67" i="13"/>
  <c r="N67" i="13" s="1"/>
  <c r="K18" i="13"/>
  <c r="N18" i="13" s="1"/>
  <c r="K26" i="13"/>
  <c r="N26" i="13" s="1"/>
  <c r="K34" i="13"/>
  <c r="N34" i="13" s="1"/>
  <c r="K42" i="13"/>
  <c r="N42" i="13" s="1"/>
  <c r="K54" i="13"/>
  <c r="N54" i="13" s="1"/>
  <c r="K62" i="13"/>
  <c r="N62" i="13" s="1"/>
  <c r="K12" i="13"/>
  <c r="N12" i="13" s="1"/>
  <c r="K16" i="13"/>
  <c r="N16" i="13" s="1"/>
  <c r="K20" i="13"/>
  <c r="N20" i="13" s="1"/>
  <c r="K24" i="13"/>
  <c r="N24" i="13" s="1"/>
  <c r="K28" i="13"/>
  <c r="N28" i="13" s="1"/>
  <c r="K32" i="13"/>
  <c r="N32" i="13" s="1"/>
  <c r="K36" i="13"/>
  <c r="N36" i="13" s="1"/>
  <c r="K40" i="13"/>
  <c r="N40" i="13" s="1"/>
  <c r="K44" i="13"/>
  <c r="N44" i="13" s="1"/>
  <c r="K48" i="13"/>
  <c r="N48" i="13" s="1"/>
  <c r="K52" i="13"/>
  <c r="N52" i="13" s="1"/>
  <c r="K56" i="13"/>
  <c r="N56" i="13" s="1"/>
  <c r="K60" i="13"/>
  <c r="N60" i="13" s="1"/>
  <c r="K64" i="13"/>
  <c r="N64" i="13" s="1"/>
  <c r="K68" i="13"/>
  <c r="N68" i="13" s="1"/>
  <c r="K14" i="13"/>
  <c r="N14" i="13" s="1"/>
  <c r="K30" i="13"/>
  <c r="N30" i="13" s="1"/>
  <c r="K38" i="13"/>
  <c r="N38" i="13" s="1"/>
  <c r="K46" i="13"/>
  <c r="N46" i="13" s="1"/>
  <c r="K50" i="13"/>
  <c r="N50" i="13" s="1"/>
  <c r="K58" i="13"/>
  <c r="N58" i="13" s="1"/>
  <c r="K70" i="13"/>
  <c r="N70" i="13" s="1"/>
  <c r="K13" i="13"/>
  <c r="N13" i="13" s="1"/>
  <c r="K17" i="13"/>
  <c r="N17" i="13" s="1"/>
  <c r="K21" i="13"/>
  <c r="N21" i="13" s="1"/>
  <c r="K25" i="13"/>
  <c r="N25" i="13" s="1"/>
  <c r="K29" i="13"/>
  <c r="N29" i="13" s="1"/>
  <c r="K33" i="13"/>
  <c r="N33" i="13" s="1"/>
  <c r="K37" i="13"/>
  <c r="N37" i="13" s="1"/>
  <c r="K41" i="13"/>
  <c r="N41" i="13" s="1"/>
  <c r="K45" i="13"/>
  <c r="N45" i="13" s="1"/>
  <c r="K49" i="13"/>
  <c r="N49" i="13" s="1"/>
  <c r="K53" i="13"/>
  <c r="N53" i="13" s="1"/>
  <c r="K57" i="13"/>
  <c r="N57" i="13" s="1"/>
  <c r="K61" i="13"/>
  <c r="N61" i="13" s="1"/>
  <c r="K65" i="13"/>
  <c r="N65" i="13" s="1"/>
  <c r="K69" i="13"/>
  <c r="N69" i="13" s="1"/>
  <c r="K22" i="13"/>
  <c r="N22" i="13" s="1"/>
  <c r="K66" i="13"/>
  <c r="N66" i="13" s="1"/>
  <c r="Q9" i="1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Diem My</author>
  </authors>
  <commentList>
    <comment ref="A7" authorId="0" shapeId="0" xr:uid="{C7E35C6A-A8FB-4548-982A-A4441246D50E}">
      <text>
        <r>
          <rPr>
            <b/>
            <sz val="9"/>
            <color indexed="81"/>
            <rFont val="Tahoma"/>
            <family val="2"/>
          </rPr>
          <t>Diem My:</t>
        </r>
        <r>
          <rPr>
            <sz val="9"/>
            <color indexed="81"/>
            <rFont val="Tahoma"/>
            <family val="2"/>
          </rPr>
          <t xml:space="preserve">
https://financetrainingcourse.com/education/2011/04/market-risk-metrics-portfolio-volatility/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<sst xmlns="http://schemas.openxmlformats.org/spreadsheetml/2006/main" count="222" uniqueCount="86">
  <si>
    <t>NYSE: BAC</t>
  </si>
  <si>
    <t>VIE: CITI</t>
  </si>
  <si>
    <t>1/1/2019-12/31/2019</t>
  </si>
  <si>
    <t>BAC</t>
  </si>
  <si>
    <t>CITI</t>
  </si>
  <si>
    <t>SPY</t>
  </si>
  <si>
    <t>Date</t>
  </si>
  <si>
    <t>Return</t>
  </si>
  <si>
    <t>Average</t>
  </si>
  <si>
    <t>Std</t>
  </si>
  <si>
    <t>Var</t>
  </si>
  <si>
    <t>Covarriance</t>
  </si>
  <si>
    <t>Weight1- BAC</t>
  </si>
  <si>
    <t>Total Weight</t>
  </si>
  <si>
    <t>p_Return</t>
  </si>
  <si>
    <t>Rf</t>
  </si>
  <si>
    <t>Wight2-CITI</t>
  </si>
  <si>
    <t>SPY ( Rm)</t>
  </si>
  <si>
    <t>Beta</t>
  </si>
  <si>
    <t>Alpha</t>
  </si>
  <si>
    <t>Ri (CAPM)</t>
  </si>
  <si>
    <t>Rf_daily</t>
  </si>
  <si>
    <t>Return - Rf</t>
  </si>
  <si>
    <t>1/1/2020-03/31/2020</t>
  </si>
  <si>
    <t>1/1/2020-12/31/2021</t>
  </si>
  <si>
    <t>1/1/2022-03/31/2022</t>
  </si>
  <si>
    <t>p_Volatility</t>
  </si>
  <si>
    <t>Correlation</t>
  </si>
  <si>
    <t>Asset returns</t>
  </si>
  <si>
    <t>Mean return</t>
  </si>
  <si>
    <t>Variance</t>
  </si>
  <si>
    <t>Standard deviation</t>
  </si>
  <si>
    <t>Covariance</t>
  </si>
  <si>
    <t>Portfolio mean return</t>
  </si>
  <si>
    <t>Portfolio return variance</t>
  </si>
  <si>
    <t>Portfolio return standard deviation</t>
  </si>
  <si>
    <t>Portfolio standard deviation</t>
  </si>
  <si>
    <t>Data table, varying the proportion of BAC</t>
  </si>
  <si>
    <t>Proportion of BAC</t>
  </si>
  <si>
    <t>Optimal Portfolio</t>
  </si>
  <si>
    <t>Weights for optimal portfolio</t>
  </si>
  <si>
    <t>Mean returns</t>
  </si>
  <si>
    <t>Sum</t>
  </si>
  <si>
    <t>Portfolio mean</t>
  </si>
  <si>
    <t>Portfolio sigma</t>
  </si>
  <si>
    <t>MAX</t>
  </si>
  <si>
    <t>Build a portfolio using BAC and CITI stock, the portfolio mean return was negative, I didn't make any profit by investing on the portfolio</t>
  </si>
  <si>
    <t>Optimal Portfolio mean</t>
  </si>
  <si>
    <t>Daily</t>
  </si>
  <si>
    <t>Quarter</t>
  </si>
  <si>
    <t>Market Return</t>
  </si>
  <si>
    <t>My optimal portfolio had better performance than the market, however both market return and optimal portfolio return were negative. So investing on this portfolio is not a good choice.</t>
  </si>
  <si>
    <t>The portfolio had a performance better than the market, however, both returns were negative, so investing on this portfolio is not a good choice.</t>
  </si>
  <si>
    <t>https://fred.stlouisfed.org/series/DGS10#0</t>
  </si>
  <si>
    <t>CITI_Return</t>
  </si>
  <si>
    <t>BAC-Return</t>
  </si>
  <si>
    <r>
      <t xml:space="preserve">q </t>
    </r>
    <r>
      <rPr>
        <sz val="11"/>
        <rFont val="Arial"/>
        <family val="2"/>
      </rPr>
      <t>= Theta = 
(mean-constant)/sigma</t>
    </r>
  </si>
  <si>
    <t>Please use 2020 quarter 1 stock data to check whether you can make profit (and how much you can make in %) if you did the investment. </t>
  </si>
  <si>
    <t>Actual data</t>
  </si>
  <si>
    <t>Return Prediction</t>
  </si>
  <si>
    <t>Abnormal Return</t>
  </si>
  <si>
    <t>Cumulative Abnormal Return</t>
  </si>
  <si>
    <t>I used 2019 data to predict 2020 quarter 1 and compare with the actual 2020 q1 data</t>
  </si>
  <si>
    <t>Risk free rate = Average Rf 2019&amp;2020</t>
  </si>
  <si>
    <t>2022 Q1 data</t>
  </si>
  <si>
    <t>2019 Q1</t>
  </si>
  <si>
    <t>Mean</t>
  </si>
  <si>
    <t>Delta_t</t>
  </si>
  <si>
    <t>Intial Price</t>
  </si>
  <si>
    <t>SIMULATING 10 LOGNORMAL PRICE PATHS</t>
  </si>
  <si>
    <t>Initial price</t>
  </si>
  <si>
    <t>Mu</t>
  </si>
  <si>
    <t>Sigma</t>
  </si>
  <si>
    <t>10 price paths</t>
  </si>
  <si>
    <t>Day</t>
  </si>
  <si>
    <t>Path1</t>
  </si>
  <si>
    <t>Path2</t>
  </si>
  <si>
    <t>Path3</t>
  </si>
  <si>
    <t>Path4</t>
  </si>
  <si>
    <t>Path5</t>
  </si>
  <si>
    <t>Path6</t>
  </si>
  <si>
    <t>Path7</t>
  </si>
  <si>
    <t>Path8</t>
  </si>
  <si>
    <t>Path9</t>
  </si>
  <si>
    <t>Path10</t>
  </si>
  <si>
    <t>Prediction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</si>
</sst>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mm/dd/yy;@"/>
    <numFmt numFmtId="165" formatCode="0.000000000"/>
    <numFmt numFmtId="166" formatCode="0.0000"/>
    <numFmt numFmtId="167" formatCode="_(* #,##0.00000_);_(* \(#,##0.00000\);_(* &quot;-&quot;??_);_(@_)"/>
    <numFmt numFmtId="168" formatCode="_(* #,##0.000000_);_(* \(#,##0.000000\);_(* &quot;-&quot;??_);_(@_)"/>
    <numFmt numFmtId="169" formatCode="#,##0.00000"/>
    <numFmt numFmtId="170" formatCode="#,##0.000000"/>
    <numFmt numFmtId="171" formatCode="_(* #,##0.0000_);_(* \(#,##0.0000\);_(* &quot;-&quot;??_);_(@_)"/>
    <numFmt numFmtId="172" formatCode="0.0%"/>
    <numFmt numFmtId="173" formatCode="0.00000"/>
    <numFmt numFmtId="174" formatCode="_(* #,##0.000_);_(* \(#,##0.000\);_(* &quot;-&quot;??_);_(@_)"/>
    <numFmt numFmtId="175" formatCode="0.000"/>
    <numFmt numFmtId="176" formatCode="#,##0.000"/>
  </numFmts>
  <fonts count="27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000000"/>
      <name val="Inconsolata"/>
    </font>
    <font>
      <sz val="10"/>
      <color rgb="FF00000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0"/>
      <color theme="1"/>
      <name val="Arial"/>
      <family val="2"/>
    </font>
    <font>
      <sz val="10"/>
      <name val="Arial"/>
      <family val="2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  <scheme val="minor"/>
    </font>
    <font>
      <b/>
      <sz val="10"/>
      <color theme="9" tint="-0.249977111117893"/>
      <name val="Arial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0"/>
      <color theme="10"/>
      <name val="Arial"/>
      <family val="2"/>
      <scheme val="minor"/>
    </font>
    <font>
      <sz val="10"/>
      <name val="Arial"/>
      <family val="2"/>
    </font>
    <font>
      <u/>
      <sz val="10"/>
      <name val="Arial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1"/>
      <color rgb="FF000000"/>
      <name val="Arial"/>
      <family val="2"/>
      <scheme val="minor"/>
    </font>
    <font>
      <sz val="11"/>
      <name val="Arial"/>
      <family val="2"/>
    </font>
    <font>
      <sz val="10"/>
      <color rgb="FF111111"/>
      <name val="Arial"/>
      <family val="2"/>
    </font>
    <font>
      <b/>
      <sz val="10"/>
      <color theme="1"/>
      <name val="Arial"/>
      <family val="2"/>
      <scheme val="minor"/>
    </font>
    <font>
      <sz val="11"/>
      <name val="Arial"/>
      <family val="2"/>
      <scheme val="minor"/>
    </font>
    <font>
      <b/>
      <sz val="14"/>
      <color theme="1"/>
      <name val="Arial"/>
      <family val="2"/>
    </font>
    <font>
      <b/>
      <sz val="10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0" fontId="1" fillId="0" borderId="0"/>
    <xf numFmtId="0" fontId="5" fillId="0" borderId="0"/>
  </cellStyleXfs>
  <cellXfs count="170">
    <xf numFmtId="0" fontId="0" fillId="0" borderId="0" xfId="0" applyFont="1" applyAlignment="1"/>
    <xf numFmtId="0" fontId="4" fillId="2" borderId="0" xfId="0" applyFont="1" applyFill="1" applyAlignment="1"/>
    <xf numFmtId="0" fontId="3" fillId="0" borderId="0" xfId="0" applyFont="1"/>
    <xf numFmtId="0" fontId="5" fillId="0" borderId="0" xfId="0" applyFont="1" applyAlignment="1"/>
    <xf numFmtId="0" fontId="5" fillId="0" borderId="1" xfId="0" applyFont="1" applyBorder="1" applyAlignment="1">
      <alignment horizontal="right" wrapText="1"/>
    </xf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1" xfId="0" applyNumberFormat="1" applyFont="1" applyBorder="1" applyAlignment="1">
      <alignment wrapText="1"/>
    </xf>
    <xf numFmtId="164" fontId="8" fillId="3" borderId="1" xfId="0" applyNumberFormat="1" applyFont="1" applyFill="1" applyBorder="1" applyAlignment="1">
      <alignment horizontal="center" vertical="center" wrapText="1"/>
    </xf>
    <xf numFmtId="164" fontId="8" fillId="3" borderId="1" xfId="0" applyNumberFormat="1" applyFont="1" applyFill="1" applyBorder="1" applyAlignment="1">
      <alignment wrapText="1"/>
    </xf>
    <xf numFmtId="164" fontId="8" fillId="0" borderId="1" xfId="0" applyNumberFormat="1" applyFont="1" applyBorder="1" applyAlignment="1">
      <alignment horizontal="right" wrapText="1"/>
    </xf>
    <xf numFmtId="164" fontId="8" fillId="0" borderId="0" xfId="0" applyNumberFormat="1" applyFont="1" applyAlignment="1"/>
    <xf numFmtId="164" fontId="8" fillId="0" borderId="1" xfId="0" applyNumberFormat="1" applyFont="1" applyBorder="1" applyAlignment="1">
      <alignment horizontal="center" wrapText="1"/>
    </xf>
    <xf numFmtId="0" fontId="5" fillId="0" borderId="0" xfId="0" applyFont="1" applyAlignment="1">
      <alignment horizontal="center"/>
    </xf>
    <xf numFmtId="165" fontId="0" fillId="0" borderId="0" xfId="0" applyNumberFormat="1" applyFont="1" applyAlignment="1"/>
    <xf numFmtId="0" fontId="0" fillId="4" borderId="2" xfId="0" applyFill="1" applyBorder="1"/>
    <xf numFmtId="0" fontId="3" fillId="4" borderId="2" xfId="0" applyFont="1" applyFill="1" applyBorder="1"/>
    <xf numFmtId="0" fontId="3" fillId="4" borderId="2" xfId="0" applyFont="1" applyFill="1" applyBorder="1" applyAlignment="1">
      <alignment horizontal="center"/>
    </xf>
    <xf numFmtId="0" fontId="9" fillId="5" borderId="2" xfId="0" applyFont="1" applyFill="1" applyBorder="1" applyAlignment="1">
      <alignment wrapText="1"/>
    </xf>
    <xf numFmtId="0" fontId="7" fillId="4" borderId="2" xfId="0" applyFont="1" applyFill="1" applyBorder="1" applyAlignment="1">
      <alignment wrapText="1"/>
    </xf>
    <xf numFmtId="166" fontId="0" fillId="4" borderId="2" xfId="0" applyNumberFormat="1" applyFill="1" applyBorder="1" applyAlignment="1">
      <alignment horizontal="left"/>
    </xf>
    <xf numFmtId="0" fontId="3" fillId="4" borderId="3" xfId="0" applyFont="1" applyFill="1" applyBorder="1"/>
    <xf numFmtId="166" fontId="0" fillId="4" borderId="3" xfId="0" applyNumberFormat="1" applyFill="1" applyBorder="1" applyAlignment="1">
      <alignment horizontal="left"/>
    </xf>
    <xf numFmtId="0" fontId="0" fillId="6" borderId="4" xfId="0" applyFill="1" applyBorder="1"/>
    <xf numFmtId="166" fontId="0" fillId="6" borderId="5" xfId="0" applyNumberFormat="1" applyFill="1" applyBorder="1" applyAlignment="1">
      <alignment horizontal="left"/>
    </xf>
    <xf numFmtId="0" fontId="0" fillId="4" borderId="0" xfId="0" applyFill="1"/>
    <xf numFmtId="0" fontId="0" fillId="7" borderId="6" xfId="0" applyFill="1" applyBorder="1"/>
    <xf numFmtId="166" fontId="0" fillId="7" borderId="2" xfId="0" applyNumberFormat="1" applyFill="1" applyBorder="1" applyAlignment="1">
      <alignment horizontal="left"/>
    </xf>
    <xf numFmtId="166" fontId="0" fillId="7" borderId="7" xfId="0" applyNumberFormat="1" applyFill="1" applyBorder="1" applyAlignment="1">
      <alignment horizontal="left"/>
    </xf>
    <xf numFmtId="0" fontId="0" fillId="4" borderId="8" xfId="0" applyFill="1" applyBorder="1"/>
    <xf numFmtId="166" fontId="0" fillId="4" borderId="9" xfId="0" applyNumberFormat="1" applyFill="1" applyBorder="1" applyAlignment="1">
      <alignment horizontal="left"/>
    </xf>
    <xf numFmtId="164" fontId="8" fillId="4" borderId="1" xfId="0" applyNumberFormat="1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0" fontId="3" fillId="4" borderId="0" xfId="0" applyFont="1" applyFill="1"/>
    <xf numFmtId="0" fontId="0" fillId="4" borderId="0" xfId="0" applyFont="1" applyFill="1" applyAlignment="1"/>
    <xf numFmtId="165" fontId="0" fillId="4" borderId="0" xfId="0" applyNumberFormat="1" applyFont="1" applyFill="1" applyAlignment="1"/>
    <xf numFmtId="168" fontId="0" fillId="0" borderId="0" xfId="0" applyNumberFormat="1" applyFont="1" applyAlignment="1"/>
    <xf numFmtId="0" fontId="10" fillId="0" borderId="0" xfId="0" applyFont="1" applyAlignment="1"/>
    <xf numFmtId="0" fontId="11" fillId="4" borderId="0" xfId="0" applyFont="1" applyFill="1"/>
    <xf numFmtId="0" fontId="5" fillId="0" borderId="0" xfId="0" applyFont="1" applyAlignment="1">
      <alignment horizontal="center"/>
    </xf>
    <xf numFmtId="0" fontId="15" fillId="4" borderId="2" xfId="0" applyFont="1" applyFill="1" applyBorder="1" applyAlignment="1">
      <alignment wrapText="1"/>
    </xf>
    <xf numFmtId="0" fontId="16" fillId="4" borderId="0" xfId="3" applyFont="1" applyFill="1" applyAlignment="1"/>
    <xf numFmtId="0" fontId="8" fillId="4" borderId="0" xfId="0" applyFont="1" applyFill="1" applyAlignment="1"/>
    <xf numFmtId="0" fontId="8" fillId="0" borderId="0" xfId="0" applyFont="1" applyAlignment="1"/>
    <xf numFmtId="0" fontId="18" fillId="0" borderId="0" xfId="4" applyFont="1"/>
    <xf numFmtId="0" fontId="17" fillId="0" borderId="0" xfId="4"/>
    <xf numFmtId="10" fontId="18" fillId="0" borderId="0" xfId="4" applyNumberFormat="1" applyFont="1" applyAlignment="1">
      <alignment horizontal="center"/>
    </xf>
    <xf numFmtId="0" fontId="17" fillId="0" borderId="0" xfId="4" applyAlignment="1">
      <alignment horizontal="left" indent="1"/>
    </xf>
    <xf numFmtId="10" fontId="17" fillId="0" borderId="0" xfId="4" applyNumberFormat="1"/>
    <xf numFmtId="169" fontId="17" fillId="0" borderId="0" xfId="4" applyNumberFormat="1"/>
    <xf numFmtId="170" fontId="17" fillId="0" borderId="0" xfId="4" applyNumberFormat="1"/>
    <xf numFmtId="0" fontId="17" fillId="0" borderId="0" xfId="4" applyAlignment="1">
      <alignment horizontal="center" wrapText="1"/>
    </xf>
    <xf numFmtId="0" fontId="17" fillId="4" borderId="0" xfId="4" applyFill="1"/>
    <xf numFmtId="9" fontId="17" fillId="0" borderId="0" xfId="4" applyNumberFormat="1" applyAlignment="1">
      <alignment horizontal="center"/>
    </xf>
    <xf numFmtId="167" fontId="17" fillId="4" borderId="0" xfId="1" applyNumberFormat="1" applyFont="1" applyFill="1"/>
    <xf numFmtId="167" fontId="0" fillId="0" borderId="0" xfId="1" applyNumberFormat="1" applyFont="1"/>
    <xf numFmtId="171" fontId="17" fillId="0" borderId="0" xfId="1" applyNumberFormat="1" applyFont="1"/>
    <xf numFmtId="0" fontId="17" fillId="0" borderId="0" xfId="4" applyAlignment="1">
      <alignment horizontal="center"/>
    </xf>
    <xf numFmtId="0" fontId="9" fillId="0" borderId="0" xfId="4" applyFont="1" applyAlignment="1">
      <alignment horizontal="left"/>
    </xf>
    <xf numFmtId="164" fontId="8" fillId="0" borderId="1" xfId="0" applyNumberFormat="1" applyFont="1" applyBorder="1" applyAlignment="1">
      <alignment horizontal="left" vertical="top" wrapText="1"/>
    </xf>
    <xf numFmtId="173" fontId="0" fillId="4" borderId="2" xfId="1" applyNumberFormat="1" applyFont="1" applyFill="1" applyBorder="1"/>
    <xf numFmtId="173" fontId="0" fillId="4" borderId="2" xfId="0" applyNumberFormat="1" applyFill="1" applyBorder="1"/>
    <xf numFmtId="173" fontId="6" fillId="5" borderId="2" xfId="2" applyNumberFormat="1" applyFont="1" applyFill="1" applyBorder="1"/>
    <xf numFmtId="173" fontId="8" fillId="4" borderId="2" xfId="0" applyNumberFormat="1" applyFont="1" applyFill="1" applyBorder="1"/>
    <xf numFmtId="1" fontId="0" fillId="4" borderId="2" xfId="0" applyNumberFormat="1" applyFill="1" applyBorder="1"/>
    <xf numFmtId="0" fontId="2" fillId="4" borderId="2" xfId="0" applyFont="1" applyFill="1" applyBorder="1"/>
    <xf numFmtId="1" fontId="2" fillId="4" borderId="2" xfId="0" applyNumberFormat="1" applyFont="1" applyFill="1" applyBorder="1"/>
    <xf numFmtId="0" fontId="6" fillId="4" borderId="2" xfId="0" applyFont="1" applyFill="1" applyBorder="1"/>
    <xf numFmtId="164" fontId="8" fillId="0" borderId="2" xfId="0" applyNumberFormat="1" applyFont="1" applyBorder="1" applyAlignment="1"/>
    <xf numFmtId="173" fontId="0" fillId="0" borderId="2" xfId="0" applyNumberFormat="1" applyFont="1" applyBorder="1" applyAlignment="1"/>
    <xf numFmtId="0" fontId="19" fillId="5" borderId="2" xfId="0" applyFont="1" applyFill="1" applyBorder="1" applyAlignment="1">
      <alignment wrapText="1"/>
    </xf>
    <xf numFmtId="171" fontId="17" fillId="4" borderId="2" xfId="1" applyNumberFormat="1" applyFont="1" applyFill="1" applyBorder="1"/>
    <xf numFmtId="0" fontId="17" fillId="4" borderId="2" xfId="4" applyFont="1" applyFill="1" applyBorder="1" applyAlignment="1">
      <alignment horizontal="left"/>
    </xf>
    <xf numFmtId="9" fontId="17" fillId="4" borderId="2" xfId="4" applyNumberFormat="1" applyFont="1" applyFill="1" applyBorder="1"/>
    <xf numFmtId="0" fontId="17" fillId="4" borderId="2" xfId="4" applyFont="1" applyFill="1" applyBorder="1"/>
    <xf numFmtId="171" fontId="20" fillId="4" borderId="2" xfId="1" applyNumberFormat="1" applyFont="1" applyFill="1" applyBorder="1"/>
    <xf numFmtId="0" fontId="18" fillId="0" borderId="2" xfId="0" applyFont="1" applyBorder="1" applyAlignment="1">
      <alignment horizontal="center" wrapText="1"/>
    </xf>
    <xf numFmtId="0" fontId="18" fillId="0" borderId="2" xfId="0" applyFont="1" applyBorder="1" applyAlignment="1">
      <alignment horizontal="center" vertical="center"/>
    </xf>
    <xf numFmtId="10" fontId="18" fillId="0" borderId="2" xfId="0" applyNumberFormat="1" applyFont="1" applyBorder="1"/>
    <xf numFmtId="171" fontId="17" fillId="0" borderId="2" xfId="1" applyNumberFormat="1" applyFont="1" applyBorder="1"/>
    <xf numFmtId="0" fontId="20" fillId="0" borderId="2" xfId="0" applyFont="1" applyBorder="1"/>
    <xf numFmtId="172" fontId="20" fillId="0" borderId="2" xfId="0" applyNumberFormat="1" applyFont="1" applyBorder="1"/>
    <xf numFmtId="171" fontId="20" fillId="0" borderId="2" xfId="0" applyNumberFormat="1" applyFont="1" applyBorder="1"/>
    <xf numFmtId="0" fontId="20" fillId="0" borderId="2" xfId="0" applyFont="1" applyBorder="1" applyAlignment="1">
      <alignment horizontal="left" vertical="center"/>
    </xf>
    <xf numFmtId="0" fontId="17" fillId="0" borderId="2" xfId="4" applyFont="1" applyBorder="1"/>
    <xf numFmtId="171" fontId="21" fillId="0" borderId="2" xfId="1" applyNumberFormat="1" applyFont="1" applyBorder="1"/>
    <xf numFmtId="0" fontId="17" fillId="0" borderId="2" xfId="4" applyFont="1" applyBorder="1" applyAlignment="1">
      <alignment horizontal="right"/>
    </xf>
    <xf numFmtId="0" fontId="5" fillId="0" borderId="0" xfId="0" applyFont="1" applyAlignment="1">
      <alignment horizontal="center"/>
    </xf>
    <xf numFmtId="0" fontId="22" fillId="0" borderId="0" xfId="0" applyFont="1" applyAlignment="1">
      <alignment vertical="center"/>
    </xf>
    <xf numFmtId="174" fontId="5" fillId="5" borderId="2" xfId="1" applyNumberFormat="1" applyFont="1" applyFill="1" applyBorder="1"/>
    <xf numFmtId="174" fontId="5" fillId="5" borderId="2" xfId="1" applyNumberFormat="1" applyFont="1" applyFill="1" applyBorder="1" applyAlignment="1">
      <alignment wrapText="1"/>
    </xf>
    <xf numFmtId="173" fontId="5" fillId="5" borderId="2" xfId="1" applyNumberFormat="1" applyFont="1" applyFill="1" applyBorder="1" applyAlignment="1">
      <alignment wrapText="1"/>
    </xf>
    <xf numFmtId="174" fontId="5" fillId="5" borderId="2" xfId="1" applyNumberFormat="1" applyFont="1" applyFill="1" applyBorder="1" applyAlignment="1">
      <alignment horizontal="center"/>
    </xf>
    <xf numFmtId="168" fontId="5" fillId="0" borderId="0" xfId="0" applyNumberFormat="1" applyFont="1" applyAlignment="1"/>
    <xf numFmtId="168" fontId="0" fillId="0" borderId="0" xfId="1" applyNumberFormat="1" applyFont="1" applyAlignment="1"/>
    <xf numFmtId="168" fontId="5" fillId="0" borderId="0" xfId="1" applyNumberFormat="1" applyFont="1" applyAlignment="1"/>
    <xf numFmtId="168" fontId="5" fillId="0" borderId="0" xfId="1" applyNumberFormat="1" applyFont="1" applyAlignment="1">
      <alignment horizontal="center"/>
    </xf>
    <xf numFmtId="168" fontId="0" fillId="4" borderId="0" xfId="1" applyNumberFormat="1" applyFont="1" applyFill="1" applyAlignment="1"/>
    <xf numFmtId="0" fontId="23" fillId="4" borderId="2" xfId="6" applyFont="1" applyFill="1" applyBorder="1" applyAlignment="1">
      <alignment horizontal="center"/>
    </xf>
    <xf numFmtId="0" fontId="1" fillId="4" borderId="0" xfId="6" applyFill="1" applyAlignment="1">
      <alignment horizontal="center" vertical="center"/>
    </xf>
    <xf numFmtId="0" fontId="5" fillId="0" borderId="0" xfId="7"/>
    <xf numFmtId="0" fontId="3" fillId="4" borderId="2" xfId="6" applyFont="1" applyFill="1" applyBorder="1"/>
    <xf numFmtId="10" fontId="0" fillId="4" borderId="2" xfId="5" applyNumberFormat="1" applyFont="1" applyFill="1" applyBorder="1"/>
    <xf numFmtId="0" fontId="8" fillId="4" borderId="2" xfId="6" applyFont="1" applyFill="1" applyBorder="1"/>
    <xf numFmtId="175" fontId="24" fillId="4" borderId="2" xfId="6" applyNumberFormat="1" applyFont="1" applyFill="1" applyBorder="1"/>
    <xf numFmtId="0" fontId="1" fillId="4" borderId="2" xfId="6" applyFill="1" applyBorder="1"/>
    <xf numFmtId="0" fontId="1" fillId="4" borderId="2" xfId="6" applyFill="1" applyBorder="1" applyAlignment="1">
      <alignment horizontal="right" vertical="center"/>
    </xf>
    <xf numFmtId="0" fontId="1" fillId="4" borderId="0" xfId="6" applyFill="1"/>
    <xf numFmtId="164" fontId="8" fillId="0" borderId="1" xfId="7" applyNumberFormat="1" applyFont="1" applyBorder="1" applyAlignment="1">
      <alignment horizontal="center" wrapText="1"/>
    </xf>
    <xf numFmtId="0" fontId="5" fillId="0" borderId="1" xfId="7" applyBorder="1" applyAlignment="1">
      <alignment horizontal="center" wrapText="1"/>
    </xf>
    <xf numFmtId="0" fontId="3" fillId="0" borderId="0" xfId="7" applyFont="1" applyAlignment="1">
      <alignment horizontal="center"/>
    </xf>
    <xf numFmtId="0" fontId="5" fillId="0" borderId="0" xfId="7" applyAlignment="1">
      <alignment horizontal="center"/>
    </xf>
    <xf numFmtId="164" fontId="8" fillId="3" borderId="1" xfId="7" applyNumberFormat="1" applyFont="1" applyFill="1" applyBorder="1" applyAlignment="1">
      <alignment wrapText="1"/>
    </xf>
    <xf numFmtId="0" fontId="5" fillId="0" borderId="1" xfId="7" applyBorder="1" applyAlignment="1">
      <alignment horizontal="right" wrapText="1"/>
    </xf>
    <xf numFmtId="0" fontId="3" fillId="0" borderId="0" xfId="7" applyFont="1"/>
    <xf numFmtId="164" fontId="8" fillId="0" borderId="0" xfId="7" applyNumberFormat="1" applyFont="1"/>
    <xf numFmtId="164" fontId="8" fillId="0" borderId="1" xfId="7" applyNumberFormat="1" applyFont="1" applyBorder="1" applyAlignment="1">
      <alignment horizontal="right" wrapText="1"/>
    </xf>
    <xf numFmtId="165" fontId="5" fillId="0" borderId="0" xfId="7" applyNumberFormat="1"/>
    <xf numFmtId="164" fontId="8" fillId="4" borderId="1" xfId="7" applyNumberFormat="1" applyFont="1" applyFill="1" applyBorder="1" applyAlignment="1">
      <alignment horizontal="right" wrapText="1"/>
    </xf>
    <xf numFmtId="0" fontId="5" fillId="4" borderId="1" xfId="7" applyFill="1" applyBorder="1" applyAlignment="1">
      <alignment horizontal="right" wrapText="1"/>
    </xf>
    <xf numFmtId="0" fontId="3" fillId="4" borderId="0" xfId="7" applyFont="1" applyFill="1"/>
    <xf numFmtId="0" fontId="5" fillId="4" borderId="0" xfId="7" applyFill="1"/>
    <xf numFmtId="164" fontId="8" fillId="0" borderId="1" xfId="7" applyNumberFormat="1" applyFont="1" applyBorder="1" applyAlignment="1">
      <alignment wrapText="1"/>
    </xf>
    <xf numFmtId="0" fontId="5" fillId="0" borderId="1" xfId="7" applyBorder="1" applyAlignment="1">
      <alignment wrapText="1"/>
    </xf>
    <xf numFmtId="9" fontId="17" fillId="0" borderId="0" xfId="4" applyNumberFormat="1"/>
    <xf numFmtId="172" fontId="17" fillId="0" borderId="0" xfId="4" applyNumberFormat="1"/>
    <xf numFmtId="176" fontId="17" fillId="0" borderId="0" xfId="4" applyNumberFormat="1"/>
    <xf numFmtId="0" fontId="17" fillId="0" borderId="0" xfId="4" applyAlignment="1">
      <alignment vertical="center" wrapText="1"/>
    </xf>
    <xf numFmtId="0" fontId="18" fillId="0" borderId="0" xfId="4" applyFont="1" applyAlignment="1">
      <alignment horizontal="center"/>
    </xf>
    <xf numFmtId="4" fontId="17" fillId="0" borderId="0" xfId="4" applyNumberFormat="1"/>
    <xf numFmtId="0" fontId="4" fillId="2" borderId="0" xfId="7" applyFont="1" applyFill="1"/>
    <xf numFmtId="164" fontId="8" fillId="3" borderId="1" xfId="7" applyNumberFormat="1" applyFont="1" applyFill="1" applyBorder="1" applyAlignment="1">
      <alignment horizontal="center" vertical="center" wrapText="1"/>
    </xf>
    <xf numFmtId="0" fontId="3" fillId="0" borderId="0" xfId="7" applyFont="1" applyAlignment="1">
      <alignment horizontal="center" vertical="center"/>
    </xf>
    <xf numFmtId="0" fontId="5" fillId="0" borderId="0" xfId="7" applyAlignment="1">
      <alignment horizontal="center" vertical="center"/>
    </xf>
    <xf numFmtId="2" fontId="3" fillId="0" borderId="0" xfId="7" applyNumberFormat="1" applyFont="1"/>
    <xf numFmtId="168" fontId="5" fillId="0" borderId="2" xfId="1" applyNumberFormat="1" applyFont="1" applyBorder="1" applyAlignment="1">
      <alignment horizontal="center"/>
    </xf>
    <xf numFmtId="172" fontId="0" fillId="0" borderId="2" xfId="2" applyNumberFormat="1" applyFont="1" applyBorder="1" applyAlignment="1"/>
    <xf numFmtId="0" fontId="10" fillId="0" borderId="0" xfId="0" applyFont="1" applyAlignment="1">
      <alignment horizontal="center"/>
    </xf>
    <xf numFmtId="168" fontId="10" fillId="0" borderId="0" xfId="1" applyNumberFormat="1" applyFont="1" applyAlignment="1">
      <alignment horizontal="center"/>
    </xf>
    <xf numFmtId="10" fontId="0" fillId="0" borderId="2" xfId="2" applyNumberFormat="1" applyFont="1" applyBorder="1" applyAlignment="1">
      <alignment horizontal="center"/>
    </xf>
    <xf numFmtId="164" fontId="0" fillId="0" borderId="0" xfId="0" applyNumberFormat="1" applyFont="1" applyAlignment="1"/>
    <xf numFmtId="164" fontId="0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164" fontId="0" fillId="4" borderId="0" xfId="0" applyNumberFormat="1" applyFont="1" applyFill="1" applyAlignment="1"/>
    <xf numFmtId="2" fontId="0" fillId="0" borderId="0" xfId="0" applyNumberFormat="1" applyFont="1" applyAlignment="1"/>
    <xf numFmtId="2" fontId="3" fillId="0" borderId="0" xfId="0" applyNumberFormat="1" applyFont="1" applyAlignment="1"/>
    <xf numFmtId="2" fontId="10" fillId="0" borderId="0" xfId="0" applyNumberFormat="1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3" fillId="0" borderId="0" xfId="0" applyNumberFormat="1" applyFont="1"/>
    <xf numFmtId="2" fontId="0" fillId="4" borderId="0" xfId="0" applyNumberFormat="1" applyFont="1" applyFill="1" applyAlignment="1"/>
    <xf numFmtId="2" fontId="3" fillId="4" borderId="0" xfId="0" applyNumberFormat="1" applyFont="1" applyFill="1"/>
    <xf numFmtId="2" fontId="5" fillId="0" borderId="0" xfId="0" applyNumberFormat="1" applyFont="1" applyAlignment="1"/>
    <xf numFmtId="164" fontId="26" fillId="0" borderId="1" xfId="0" applyNumberFormat="1" applyFont="1" applyBorder="1" applyAlignment="1">
      <alignment horizontal="center" wrapText="1"/>
    </xf>
    <xf numFmtId="168" fontId="10" fillId="0" borderId="2" xfId="1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10" fillId="8" borderId="16" xfId="0" applyFont="1" applyFill="1" applyBorder="1" applyAlignment="1">
      <alignment horizontal="center"/>
    </xf>
    <xf numFmtId="0" fontId="10" fillId="8" borderId="17" xfId="0" applyFont="1" applyFill="1" applyBorder="1" applyAlignment="1">
      <alignment horizontal="center"/>
    </xf>
    <xf numFmtId="0" fontId="10" fillId="8" borderId="2" xfId="0" applyFont="1" applyFill="1" applyBorder="1" applyAlignment="1">
      <alignment horizontal="center"/>
    </xf>
    <xf numFmtId="168" fontId="10" fillId="0" borderId="0" xfId="1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18" fillId="0" borderId="2" xfId="4" applyFont="1" applyBorder="1" applyAlignment="1">
      <alignment horizontal="center"/>
    </xf>
    <xf numFmtId="0" fontId="25" fillId="0" borderId="0" xfId="4" applyFont="1" applyAlignment="1">
      <alignment horizontal="center"/>
    </xf>
    <xf numFmtId="0" fontId="17" fillId="0" borderId="10" xfId="4" applyBorder="1" applyAlignment="1">
      <alignment horizontal="center" vertical="center" wrapText="1"/>
    </xf>
    <xf numFmtId="0" fontId="17" fillId="0" borderId="11" xfId="4" applyBorder="1" applyAlignment="1">
      <alignment horizontal="center" vertical="center" wrapText="1"/>
    </xf>
    <xf numFmtId="0" fontId="17" fillId="0" borderId="12" xfId="4" applyBorder="1" applyAlignment="1">
      <alignment horizontal="center" vertical="center" wrapText="1"/>
    </xf>
    <xf numFmtId="0" fontId="17" fillId="0" borderId="13" xfId="4" applyBorder="1" applyAlignment="1">
      <alignment horizontal="center" vertical="center" wrapText="1"/>
    </xf>
    <xf numFmtId="0" fontId="17" fillId="0" borderId="14" xfId="4" applyBorder="1" applyAlignment="1">
      <alignment horizontal="center" vertical="center" wrapText="1"/>
    </xf>
    <xf numFmtId="0" fontId="17" fillId="0" borderId="15" xfId="4" applyBorder="1" applyAlignment="1">
      <alignment horizontal="center" vertical="center" wrapText="1"/>
    </xf>
  </cellXfs>
  <cellStyles count="8">
    <cellStyle name="Comma" xfId="1" builtinId="3"/>
    <cellStyle name="Hyperlink" xfId="3" builtinId="8"/>
    <cellStyle name="Normal" xfId="0" builtinId="0"/>
    <cellStyle name="Normal 2" xfId="4" xr:uid="{44538F7C-9F59-4F6D-BC5F-58EB8DB055A7}"/>
    <cellStyle name="Normal 3" xfId="6" xr:uid="{26B1F0DF-EDF5-4CC6-87AD-4045A2E175D1}"/>
    <cellStyle name="Normal 4" xfId="7" xr:uid="{24A57A2E-EE03-468D-8505-5CCC7F6FEC71}"/>
    <cellStyle name="Percent" xfId="2" builtinId="5"/>
    <cellStyle name="Percent 2" xfId="5" xr:uid="{A3F4BDD9-BE7F-415F-84D4-3007926B18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077357830271216"/>
                  <c:y val="-0.286730460775736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'2.2.'!$L$16:$L$266</c:f>
              <c:numCache>
                <c:formatCode>_(* #,##0.000000_);_(* \(#,##0.000000\);_(* "-"??_);_(@_)</c:formatCode>
                <c:ptCount val="251"/>
                <c:pt idx="0">
                  <c:v>-2.4237068542391604E-2</c:v>
                </c:pt>
                <c:pt idx="1">
                  <c:v>3.2862078716786786E-2</c:v>
                </c:pt>
                <c:pt idx="2">
                  <c:v>7.7687811575858972E-3</c:v>
                </c:pt>
                <c:pt idx="3">
                  <c:v>9.2666099033688852E-3</c:v>
                </c:pt>
                <c:pt idx="4">
                  <c:v>4.5776358943662885E-3</c:v>
                </c:pt>
                <c:pt idx="5">
                  <c:v>3.4364141442913068E-3</c:v>
                </c:pt>
                <c:pt idx="6">
                  <c:v>3.0128413564670619E-4</c:v>
                </c:pt>
                <c:pt idx="7">
                  <c:v>-6.2044641135885394E-3</c:v>
                </c:pt>
                <c:pt idx="8">
                  <c:v>1.131066381196128E-2</c:v>
                </c:pt>
                <c:pt idx="9">
                  <c:v>2.3319757902720084E-3</c:v>
                </c:pt>
                <c:pt idx="10">
                  <c:v>7.4732326869423335E-3</c:v>
                </c:pt>
                <c:pt idx="11">
                  <c:v>1.3137288541181319E-2</c:v>
                </c:pt>
                <c:pt idx="12">
                  <c:v>-1.3687488113124353E-2</c:v>
                </c:pt>
                <c:pt idx="13">
                  <c:v>2.0052619718764842E-3</c:v>
                </c:pt>
                <c:pt idx="14">
                  <c:v>4.4642900563596482E-4</c:v>
                </c:pt>
                <c:pt idx="15">
                  <c:v>8.3408749672249458E-3</c:v>
                </c:pt>
                <c:pt idx="16">
                  <c:v>-7.7142207748066094E-3</c:v>
                </c:pt>
                <c:pt idx="17">
                  <c:v>-1.4127657377369174E-3</c:v>
                </c:pt>
                <c:pt idx="18">
                  <c:v>1.5621912749893243E-2</c:v>
                </c:pt>
                <c:pt idx="19">
                  <c:v>8.659158445230148E-3</c:v>
                </c:pt>
                <c:pt idx="20">
                  <c:v>3.9656977235189266E-4</c:v>
                </c:pt>
                <c:pt idx="21">
                  <c:v>6.9259194904417905E-3</c:v>
                </c:pt>
                <c:pt idx="22">
                  <c:v>4.0981111864798843E-3</c:v>
                </c:pt>
                <c:pt idx="23">
                  <c:v>-1.4039886848921065E-3</c:v>
                </c:pt>
                <c:pt idx="24">
                  <c:v>-9.6635379319905193E-3</c:v>
                </c:pt>
                <c:pt idx="25">
                  <c:v>1.1359226383729514E-3</c:v>
                </c:pt>
                <c:pt idx="26">
                  <c:v>4.6951579466577784E-4</c:v>
                </c:pt>
                <c:pt idx="27">
                  <c:v>1.2692459838321469E-2</c:v>
                </c:pt>
                <c:pt idx="28">
                  <c:v>3.1568094253738251E-3</c:v>
                </c:pt>
                <c:pt idx="29">
                  <c:v>-2.3056471059364186E-3</c:v>
                </c:pt>
                <c:pt idx="30">
                  <c:v>1.0753427419445846E-2</c:v>
                </c:pt>
                <c:pt idx="31">
                  <c:v>1.644124138624495E-3</c:v>
                </c:pt>
                <c:pt idx="32">
                  <c:v>1.9285269945524539E-3</c:v>
                </c:pt>
                <c:pt idx="33">
                  <c:v>-3.6471646551798432E-3</c:v>
                </c:pt>
                <c:pt idx="34">
                  <c:v>6.0959241104334427E-3</c:v>
                </c:pt>
                <c:pt idx="35">
                  <c:v>1.2754776703274987E-3</c:v>
                </c:pt>
                <c:pt idx="36">
                  <c:v>-8.0068904283250809E-4</c:v>
                </c:pt>
                <c:pt idx="37">
                  <c:v>-5.1462772453774971E-4</c:v>
                </c:pt>
                <c:pt idx="38">
                  <c:v>-1.949121361219782E-3</c:v>
                </c:pt>
                <c:pt idx="39">
                  <c:v>6.1393884961468094E-3</c:v>
                </c:pt>
                <c:pt idx="40">
                  <c:v>-3.7289531050447773E-3</c:v>
                </c:pt>
                <c:pt idx="41">
                  <c:v>-1.4459036178201281E-3</c:v>
                </c:pt>
                <c:pt idx="42">
                  <c:v>-6.160251624784503E-3</c:v>
                </c:pt>
                <c:pt idx="43">
                  <c:v>-8.4855928432248078E-3</c:v>
                </c:pt>
                <c:pt idx="44">
                  <c:v>-2.0868504352274226E-3</c:v>
                </c:pt>
                <c:pt idx="45">
                  <c:v>1.4312144824058003E-2</c:v>
                </c:pt>
                <c:pt idx="46">
                  <c:v>3.6789968444002354E-3</c:v>
                </c:pt>
                <c:pt idx="47">
                  <c:v>6.512467914842497E-3</c:v>
                </c:pt>
                <c:pt idx="48">
                  <c:v>-7.2492065676576514E-4</c:v>
                </c:pt>
                <c:pt idx="49">
                  <c:v>4.4844115701826227E-4</c:v>
                </c:pt>
                <c:pt idx="50">
                  <c:v>3.5344148042419869E-3</c:v>
                </c:pt>
                <c:pt idx="51">
                  <c:v>1.6298544536028794E-4</c:v>
                </c:pt>
                <c:pt idx="52">
                  <c:v>-3.0993745533799671E-3</c:v>
                </c:pt>
                <c:pt idx="53">
                  <c:v>1.1146390474962341E-2</c:v>
                </c:pt>
                <c:pt idx="54">
                  <c:v>-1.9518845496121082E-2</c:v>
                </c:pt>
                <c:pt idx="55">
                  <c:v>-8.3721786361589301E-4</c:v>
                </c:pt>
                <c:pt idx="56">
                  <c:v>7.3415630832515053E-3</c:v>
                </c:pt>
                <c:pt idx="57">
                  <c:v>-5.3277238061107679E-3</c:v>
                </c:pt>
                <c:pt idx="58">
                  <c:v>3.6983660534135963E-3</c:v>
                </c:pt>
                <c:pt idx="59">
                  <c:v>6.2007230292792292E-3</c:v>
                </c:pt>
                <c:pt idx="60">
                  <c:v>1.1704556241353945E-2</c:v>
                </c:pt>
                <c:pt idx="61">
                  <c:v>4.0476108175501217E-4</c:v>
                </c:pt>
                <c:pt idx="62">
                  <c:v>1.4874342025546045E-3</c:v>
                </c:pt>
                <c:pt idx="63">
                  <c:v>2.565011180753717E-3</c:v>
                </c:pt>
                <c:pt idx="64">
                  <c:v>4.7435733314823191E-3</c:v>
                </c:pt>
                <c:pt idx="65">
                  <c:v>6.771689128405317E-4</c:v>
                </c:pt>
                <c:pt idx="66">
                  <c:v>-5.2229288136779401E-3</c:v>
                </c:pt>
                <c:pt idx="67">
                  <c:v>3.3202251153444237E-3</c:v>
                </c:pt>
                <c:pt idx="68">
                  <c:v>-3.624574970665374E-4</c:v>
                </c:pt>
                <c:pt idx="69">
                  <c:v>6.6581932499696871E-3</c:v>
                </c:pt>
                <c:pt idx="70">
                  <c:v>-7.3994625605179121E-4</c:v>
                </c:pt>
                <c:pt idx="71">
                  <c:v>5.7010498621050745E-4</c:v>
                </c:pt>
                <c:pt idx="72">
                  <c:v>-2.5348450845540543E-3</c:v>
                </c:pt>
                <c:pt idx="73">
                  <c:v>1.882394959814789E-3</c:v>
                </c:pt>
                <c:pt idx="74">
                  <c:v>7.7671756483145853E-4</c:v>
                </c:pt>
                <c:pt idx="75">
                  <c:v>8.866523857558822E-3</c:v>
                </c:pt>
                <c:pt idx="76">
                  <c:v>-2.306725995927318E-3</c:v>
                </c:pt>
                <c:pt idx="77">
                  <c:v>-7.010635995762782E-4</c:v>
                </c:pt>
                <c:pt idx="78">
                  <c:v>4.5610071697420387E-3</c:v>
                </c:pt>
                <c:pt idx="79">
                  <c:v>1.4816237530112636E-3</c:v>
                </c:pt>
                <c:pt idx="80">
                  <c:v>4.2537892198648967E-4</c:v>
                </c:pt>
                <c:pt idx="81">
                  <c:v>-7.6298073212820935E-3</c:v>
                </c:pt>
                <c:pt idx="82">
                  <c:v>-2.2461935391994573E-3</c:v>
                </c:pt>
                <c:pt idx="83">
                  <c:v>9.6552496690976864E-3</c:v>
                </c:pt>
                <c:pt idx="84">
                  <c:v>-4.2086378187826757E-3</c:v>
                </c:pt>
                <c:pt idx="85">
                  <c:v>-1.6925611362655035E-2</c:v>
                </c:pt>
                <c:pt idx="86">
                  <c:v>-1.4751130528860865E-3</c:v>
                </c:pt>
                <c:pt idx="87">
                  <c:v>-3.1152787594872751E-3</c:v>
                </c:pt>
                <c:pt idx="88">
                  <c:v>4.9258769604925493E-3</c:v>
                </c:pt>
                <c:pt idx="89">
                  <c:v>-2.5536238185369219E-2</c:v>
                </c:pt>
                <c:pt idx="90">
                  <c:v>8.9180820816250374E-3</c:v>
                </c:pt>
                <c:pt idx="91">
                  <c:v>5.755436535384289E-3</c:v>
                </c:pt>
                <c:pt idx="92">
                  <c:v>9.1336654956965073E-3</c:v>
                </c:pt>
                <c:pt idx="93">
                  <c:v>-6.5709774772685211E-3</c:v>
                </c:pt>
                <c:pt idx="94">
                  <c:v>-6.7189680266334009E-3</c:v>
                </c:pt>
                <c:pt idx="95">
                  <c:v>8.8903526012627573E-3</c:v>
                </c:pt>
                <c:pt idx="96">
                  <c:v>-3.1610932288358264E-3</c:v>
                </c:pt>
                <c:pt idx="97">
                  <c:v>-1.2378785954274133E-2</c:v>
                </c:pt>
                <c:pt idx="98">
                  <c:v>2.1808878824175859E-3</c:v>
                </c:pt>
                <c:pt idx="99">
                  <c:v>-9.4289567873215713E-3</c:v>
                </c:pt>
                <c:pt idx="100">
                  <c:v>-6.8182292659189243E-3</c:v>
                </c:pt>
                <c:pt idx="101">
                  <c:v>2.6425169072693518E-3</c:v>
                </c:pt>
                <c:pt idx="102">
                  <c:v>-1.3651789377239576E-2</c:v>
                </c:pt>
                <c:pt idx="103">
                  <c:v>-2.6311172673293454E-3</c:v>
                </c:pt>
                <c:pt idx="104">
                  <c:v>2.1389512932786809E-2</c:v>
                </c:pt>
                <c:pt idx="105">
                  <c:v>8.5399531468395226E-3</c:v>
                </c:pt>
                <c:pt idx="106">
                  <c:v>6.3967140056750008E-3</c:v>
                </c:pt>
                <c:pt idx="107">
                  <c:v>9.8723631365609903E-3</c:v>
                </c:pt>
                <c:pt idx="108">
                  <c:v>4.4934925515961802E-3</c:v>
                </c:pt>
                <c:pt idx="109">
                  <c:v>-3.2718965855032866E-4</c:v>
                </c:pt>
                <c:pt idx="110">
                  <c:v>-1.8517973612756713E-3</c:v>
                </c:pt>
                <c:pt idx="111">
                  <c:v>4.0329459725203954E-3</c:v>
                </c:pt>
                <c:pt idx="112">
                  <c:v>-1.1905803426103675E-3</c:v>
                </c:pt>
                <c:pt idx="113">
                  <c:v>2.952877930044596E-4</c:v>
                </c:pt>
                <c:pt idx="114">
                  <c:v>1.0331661167191825E-2</c:v>
                </c:pt>
                <c:pt idx="115">
                  <c:v>2.1697176993350636E-3</c:v>
                </c:pt>
                <c:pt idx="116">
                  <c:v>9.4240826192901871E-3</c:v>
                </c:pt>
                <c:pt idx="117">
                  <c:v>-6.3915227603288573E-3</c:v>
                </c:pt>
                <c:pt idx="118">
                  <c:v>-1.3101607310216561E-3</c:v>
                </c:pt>
                <c:pt idx="119">
                  <c:v>-9.9412632610666012E-3</c:v>
                </c:pt>
                <c:pt idx="120">
                  <c:v>-1.0828045158781557E-3</c:v>
                </c:pt>
                <c:pt idx="121">
                  <c:v>3.4547844201492429E-3</c:v>
                </c:pt>
                <c:pt idx="122">
                  <c:v>5.0476825915995813E-3</c:v>
                </c:pt>
                <c:pt idx="123">
                  <c:v>8.9526158209560103E-3</c:v>
                </c:pt>
                <c:pt idx="124">
                  <c:v>2.5160367671165913E-3</c:v>
                </c:pt>
                <c:pt idx="125">
                  <c:v>7.8784297487605199E-3</c:v>
                </c:pt>
                <c:pt idx="126">
                  <c:v>-1.2234533902610461E-3</c:v>
                </c:pt>
                <c:pt idx="127">
                  <c:v>-5.5949466705702972E-3</c:v>
                </c:pt>
                <c:pt idx="128">
                  <c:v>1.1608497994208856E-3</c:v>
                </c:pt>
                <c:pt idx="129">
                  <c:v>4.6817886256092459E-3</c:v>
                </c:pt>
                <c:pt idx="130">
                  <c:v>2.2565307960611541E-3</c:v>
                </c:pt>
                <c:pt idx="131">
                  <c:v>4.3820512571315744E-3</c:v>
                </c:pt>
                <c:pt idx="132">
                  <c:v>2.4763673429003673E-4</c:v>
                </c:pt>
                <c:pt idx="133">
                  <c:v>-3.5489350237140733E-3</c:v>
                </c:pt>
                <c:pt idx="134">
                  <c:v>-6.6796386520043324E-3</c:v>
                </c:pt>
                <c:pt idx="135">
                  <c:v>3.5693067413521693E-3</c:v>
                </c:pt>
                <c:pt idx="136">
                  <c:v>-5.6554048380138755E-3</c:v>
                </c:pt>
                <c:pt idx="137">
                  <c:v>2.3685734622251263E-3</c:v>
                </c:pt>
                <c:pt idx="138">
                  <c:v>7.0396893023771589E-3</c:v>
                </c:pt>
                <c:pt idx="139">
                  <c:v>4.6036010965433485E-3</c:v>
                </c:pt>
                <c:pt idx="140">
                  <c:v>-4.8734373667177555E-3</c:v>
                </c:pt>
                <c:pt idx="141">
                  <c:v>6.592734118319862E-3</c:v>
                </c:pt>
                <c:pt idx="142">
                  <c:v>-1.9077126619790902E-3</c:v>
                </c:pt>
                <c:pt idx="143">
                  <c:v>-2.5426587613811102E-3</c:v>
                </c:pt>
                <c:pt idx="144">
                  <c:v>-1.1085616708809708E-2</c:v>
                </c:pt>
                <c:pt idx="145">
                  <c:v>-8.8309874958662198E-3</c:v>
                </c:pt>
                <c:pt idx="146">
                  <c:v>-7.6429180059923579E-3</c:v>
                </c:pt>
                <c:pt idx="147">
                  <c:v>-3.061952517854542E-2</c:v>
                </c:pt>
                <c:pt idx="148">
                  <c:v>1.3840639411955364E-2</c:v>
                </c:pt>
                <c:pt idx="149">
                  <c:v>5.0559295536724432E-4</c:v>
                </c:pt>
                <c:pt idx="150">
                  <c:v>1.9345185632838238E-2</c:v>
                </c:pt>
                <c:pt idx="151">
                  <c:v>-6.9197500580956807E-3</c:v>
                </c:pt>
                <c:pt idx="152">
                  <c:v>-1.233299936477463E-2</c:v>
                </c:pt>
                <c:pt idx="153">
                  <c:v>1.5347165441039291E-2</c:v>
                </c:pt>
                <c:pt idx="154">
                  <c:v>-3.0098449390240409E-2</c:v>
                </c:pt>
                <c:pt idx="155">
                  <c:v>2.5533712832447875E-3</c:v>
                </c:pt>
                <c:pt idx="156">
                  <c:v>1.4562246195263204E-2</c:v>
                </c:pt>
                <c:pt idx="157">
                  <c:v>1.1890858268317076E-2</c:v>
                </c:pt>
                <c:pt idx="158">
                  <c:v>-7.7770021043219398E-3</c:v>
                </c:pt>
                <c:pt idx="159">
                  <c:v>8.0175715930030228E-3</c:v>
                </c:pt>
                <c:pt idx="160">
                  <c:v>-3.9271291176438017E-4</c:v>
                </c:pt>
                <c:pt idx="161">
                  <c:v>-2.6108114320706994E-2</c:v>
                </c:pt>
                <c:pt idx="162">
                  <c:v>1.0912833574620648E-2</c:v>
                </c:pt>
                <c:pt idx="163">
                  <c:v>-4.0162493018468578E-3</c:v>
                </c:pt>
                <c:pt idx="164">
                  <c:v>6.9319207158633446E-3</c:v>
                </c:pt>
                <c:pt idx="165">
                  <c:v>1.2607220095215654E-2</c:v>
                </c:pt>
                <c:pt idx="166">
                  <c:v>-5.2934229582582697E-4</c:v>
                </c:pt>
                <c:pt idx="167">
                  <c:v>-5.9492355257765046E-3</c:v>
                </c:pt>
                <c:pt idx="168">
                  <c:v>1.1201494872787406E-2</c:v>
                </c:pt>
                <c:pt idx="169">
                  <c:v>1.2688544021251481E-2</c:v>
                </c:pt>
                <c:pt idx="170">
                  <c:v>6.8705986895585243E-4</c:v>
                </c:pt>
                <c:pt idx="171">
                  <c:v>4.1822402978169428E-4</c:v>
                </c:pt>
                <c:pt idx="172">
                  <c:v>-3.196899751231791E-4</c:v>
                </c:pt>
                <c:pt idx="173">
                  <c:v>7.0009073347369506E-3</c:v>
                </c:pt>
                <c:pt idx="174">
                  <c:v>3.3728744783438152E-3</c:v>
                </c:pt>
                <c:pt idx="175">
                  <c:v>-7.4895332972804251E-4</c:v>
                </c:pt>
                <c:pt idx="176">
                  <c:v>-3.1784781956106854E-3</c:v>
                </c:pt>
                <c:pt idx="177">
                  <c:v>2.4438622392402463E-3</c:v>
                </c:pt>
                <c:pt idx="178">
                  <c:v>5.1306616074678357E-4</c:v>
                </c:pt>
                <c:pt idx="179">
                  <c:v>-1.5134595627763129E-4</c:v>
                </c:pt>
                <c:pt idx="180">
                  <c:v>-9.4282881256578764E-3</c:v>
                </c:pt>
                <c:pt idx="181">
                  <c:v>-3.196270015699975E-4</c:v>
                </c:pt>
                <c:pt idx="182">
                  <c:v>-7.9626882808133473E-3</c:v>
                </c:pt>
                <c:pt idx="183">
                  <c:v>5.8124157039315932E-3</c:v>
                </c:pt>
                <c:pt idx="184">
                  <c:v>-2.1702868341252563E-3</c:v>
                </c:pt>
                <c:pt idx="185">
                  <c:v>-5.4866893403409363E-3</c:v>
                </c:pt>
                <c:pt idx="186">
                  <c:v>4.5421372851672951E-3</c:v>
                </c:pt>
                <c:pt idx="187">
                  <c:v>-1.2050962296902048E-2</c:v>
                </c:pt>
                <c:pt idx="188">
                  <c:v>-1.7907515219402547E-2</c:v>
                </c:pt>
                <c:pt idx="189">
                  <c:v>8.0744386967668922E-3</c:v>
                </c:pt>
                <c:pt idx="190">
                  <c:v>1.3356463736758403E-2</c:v>
                </c:pt>
                <c:pt idx="191">
                  <c:v>-4.408846817428062E-3</c:v>
                </c:pt>
                <c:pt idx="192">
                  <c:v>-1.5731463249530911E-2</c:v>
                </c:pt>
                <c:pt idx="193">
                  <c:v>9.3666847380897318E-3</c:v>
                </c:pt>
                <c:pt idx="194">
                  <c:v>6.6557936703021446E-3</c:v>
                </c:pt>
                <c:pt idx="195">
                  <c:v>1.0228646154781834E-2</c:v>
                </c:pt>
                <c:pt idx="196">
                  <c:v>-1.1993526432749369E-3</c:v>
                </c:pt>
                <c:pt idx="197">
                  <c:v>9.7667132688230834E-3</c:v>
                </c:pt>
                <c:pt idx="198">
                  <c:v>-1.6922073457926615E-3</c:v>
                </c:pt>
                <c:pt idx="199">
                  <c:v>2.8598010753642174E-3</c:v>
                </c:pt>
                <c:pt idx="200">
                  <c:v>-4.4717003780257395E-3</c:v>
                </c:pt>
                <c:pt idx="201">
                  <c:v>6.671409835593731E-3</c:v>
                </c:pt>
                <c:pt idx="202">
                  <c:v>-3.3570437547460253E-3</c:v>
                </c:pt>
                <c:pt idx="203">
                  <c:v>2.8204563524660987E-3</c:v>
                </c:pt>
                <c:pt idx="204">
                  <c:v>1.5477327889646768E-3</c:v>
                </c:pt>
                <c:pt idx="205">
                  <c:v>4.0016674401338031E-3</c:v>
                </c:pt>
                <c:pt idx="206">
                  <c:v>5.5358579258137303E-3</c:v>
                </c:pt>
                <c:pt idx="207">
                  <c:v>-3.8170057477530397E-4</c:v>
                </c:pt>
                <c:pt idx="208">
                  <c:v>2.9775663227115134E-3</c:v>
                </c:pt>
                <c:pt idx="209">
                  <c:v>-2.7517205758162203E-3</c:v>
                </c:pt>
                <c:pt idx="210">
                  <c:v>9.1362712572230567E-3</c:v>
                </c:pt>
                <c:pt idx="211">
                  <c:v>3.9247993304577147E-3</c:v>
                </c:pt>
                <c:pt idx="212">
                  <c:v>-1.1916915812315632E-3</c:v>
                </c:pt>
                <c:pt idx="213">
                  <c:v>1.4304412922765347E-4</c:v>
                </c:pt>
                <c:pt idx="214">
                  <c:v>3.425679772009891E-3</c:v>
                </c:pt>
                <c:pt idx="215">
                  <c:v>2.3781347974769578E-3</c:v>
                </c:pt>
                <c:pt idx="216">
                  <c:v>-1.9965024835237291E-3</c:v>
                </c:pt>
                <c:pt idx="217">
                  <c:v>2.0208548253228373E-3</c:v>
                </c:pt>
                <c:pt idx="218">
                  <c:v>2.386516054046907E-4</c:v>
                </c:pt>
                <c:pt idx="219">
                  <c:v>1.3698601922498392E-3</c:v>
                </c:pt>
                <c:pt idx="220">
                  <c:v>7.125333668278353E-3</c:v>
                </c:pt>
                <c:pt idx="221">
                  <c:v>6.5248341574264618E-4</c:v>
                </c:pt>
                <c:pt idx="222">
                  <c:v>-3.7340529114040599E-4</c:v>
                </c:pt>
                <c:pt idx="223">
                  <c:v>-3.8106355596838832E-3</c:v>
                </c:pt>
                <c:pt idx="224">
                  <c:v>-1.69512322422675E-3</c:v>
                </c:pt>
                <c:pt idx="225">
                  <c:v>2.1364797602329631E-3</c:v>
                </c:pt>
                <c:pt idx="226">
                  <c:v>7.6353938471918339E-3</c:v>
                </c:pt>
                <c:pt idx="227">
                  <c:v>2.1782088671500749E-3</c:v>
                </c:pt>
                <c:pt idx="228">
                  <c:v>4.3626373667186615E-3</c:v>
                </c:pt>
                <c:pt idx="229">
                  <c:v>-3.8004491317276145E-3</c:v>
                </c:pt>
                <c:pt idx="230">
                  <c:v>-8.6160052052465068E-3</c:v>
                </c:pt>
                <c:pt idx="231">
                  <c:v>-6.8139661323368041E-3</c:v>
                </c:pt>
                <c:pt idx="232">
                  <c:v>6.066368467030769E-3</c:v>
                </c:pt>
                <c:pt idx="233">
                  <c:v>1.711448616989963E-3</c:v>
                </c:pt>
                <c:pt idx="234">
                  <c:v>9.007646275483186E-3</c:v>
                </c:pt>
                <c:pt idx="235">
                  <c:v>-3.2340286051554343E-3</c:v>
                </c:pt>
                <c:pt idx="236">
                  <c:v>-1.2006186196711079E-3</c:v>
                </c:pt>
                <c:pt idx="237">
                  <c:v>2.7497018539252463E-3</c:v>
                </c:pt>
                <c:pt idx="238">
                  <c:v>8.4971920503927965E-3</c:v>
                </c:pt>
                <c:pt idx="239">
                  <c:v>5.1402335020013111E-4</c:v>
                </c:pt>
                <c:pt idx="240">
                  <c:v>6.7616247488666657E-3</c:v>
                </c:pt>
                <c:pt idx="241">
                  <c:v>1.3414769962787483E-4</c:v>
                </c:pt>
                <c:pt idx="242">
                  <c:v>-2.2338495842860804E-5</c:v>
                </c:pt>
                <c:pt idx="243">
                  <c:v>4.0057031896746434E-3</c:v>
                </c:pt>
                <c:pt idx="244">
                  <c:v>-6.1482105721344924E-4</c:v>
                </c:pt>
                <c:pt idx="245">
                  <c:v>1.4416783063122994E-3</c:v>
                </c:pt>
                <c:pt idx="246">
                  <c:v>-5.378980761637852E-5</c:v>
                </c:pt>
                <c:pt idx="247">
                  <c:v>5.224249356498783E-3</c:v>
                </c:pt>
                <c:pt idx="248">
                  <c:v>-3.3267535901231808E-4</c:v>
                </c:pt>
                <c:pt idx="249">
                  <c:v>-5.6134001009278886E-3</c:v>
                </c:pt>
                <c:pt idx="250">
                  <c:v>2.3414344920520548E-3</c:v>
                </c:pt>
              </c:numCache>
            </c:numRef>
          </c:xVal>
          <c:yVal>
            <c:numRef>
              <c:f>'2.2.'!$J$16:$J$266</c:f>
              <c:numCache>
                <c:formatCode>_(* #,##0.000000_);_(* \(#,##0.000000\);_(* "-"??_);_(@_)</c:formatCode>
                <c:ptCount val="251"/>
                <c:pt idx="0">
                  <c:v>-1.6240360857205892E-2</c:v>
                </c:pt>
                <c:pt idx="1">
                  <c:v>4.0606772236834197E-2</c:v>
                </c:pt>
                <c:pt idx="2">
                  <c:v>-8.6708727628313992E-4</c:v>
                </c:pt>
                <c:pt idx="3">
                  <c:v>-2.043017990534524E-3</c:v>
                </c:pt>
                <c:pt idx="4">
                  <c:v>9.6674484475121319E-3</c:v>
                </c:pt>
                <c:pt idx="5">
                  <c:v>-1.2501955774207917E-3</c:v>
                </c:pt>
                <c:pt idx="6">
                  <c:v>1.1507172077900672E-2</c:v>
                </c:pt>
                <c:pt idx="7">
                  <c:v>1.2892360723800766E-2</c:v>
                </c:pt>
                <c:pt idx="8">
                  <c:v>6.7178266878317652E-3</c:v>
                </c:pt>
                <c:pt idx="9">
                  <c:v>6.903349224947132E-2</c:v>
                </c:pt>
                <c:pt idx="10">
                  <c:v>1.8717861726303603E-2</c:v>
                </c:pt>
                <c:pt idx="11">
                  <c:v>1.0551652454536873E-2</c:v>
                </c:pt>
                <c:pt idx="12">
                  <c:v>-7.2779641508320773E-3</c:v>
                </c:pt>
                <c:pt idx="13">
                  <c:v>-5.9459958514668943E-3</c:v>
                </c:pt>
                <c:pt idx="14">
                  <c:v>5.4323347398340244E-3</c:v>
                </c:pt>
                <c:pt idx="15">
                  <c:v>1.6962883982414429E-2</c:v>
                </c:pt>
                <c:pt idx="16">
                  <c:v>1.6039836678996295E-3</c:v>
                </c:pt>
                <c:pt idx="17">
                  <c:v>-8.217801789568515E-3</c:v>
                </c:pt>
                <c:pt idx="18">
                  <c:v>-1.1032686494962089E-2</c:v>
                </c:pt>
                <c:pt idx="19">
                  <c:v>-2.0940733915759093E-2</c:v>
                </c:pt>
                <c:pt idx="20">
                  <c:v>-3.2511501929701841E-3</c:v>
                </c:pt>
                <c:pt idx="21">
                  <c:v>1.7379721657808295E-2</c:v>
                </c:pt>
                <c:pt idx="22">
                  <c:v>-3.5535332003242678E-3</c:v>
                </c:pt>
                <c:pt idx="23">
                  <c:v>-1.823749102944246E-3</c:v>
                </c:pt>
                <c:pt idx="24">
                  <c:v>-1.7287381001077563E-2</c:v>
                </c:pt>
                <c:pt idx="25">
                  <c:v>1.684052053513956E-3</c:v>
                </c:pt>
                <c:pt idx="26">
                  <c:v>4.1478899177001278E-3</c:v>
                </c:pt>
                <c:pt idx="27">
                  <c:v>9.7225134922561615E-3</c:v>
                </c:pt>
                <c:pt idx="28">
                  <c:v>2.6357213738125427E-4</c:v>
                </c:pt>
                <c:pt idx="29">
                  <c:v>-1.0945072915616218E-2</c:v>
                </c:pt>
                <c:pt idx="30">
                  <c:v>2.4959866637731316E-2</c:v>
                </c:pt>
                <c:pt idx="31">
                  <c:v>6.0189257889067132E-4</c:v>
                </c:pt>
                <c:pt idx="32">
                  <c:v>9.4812609596398398E-3</c:v>
                </c:pt>
                <c:pt idx="33">
                  <c:v>-4.1735123611822411E-3</c:v>
                </c:pt>
                <c:pt idx="34">
                  <c:v>-7.2804288092441927E-3</c:v>
                </c:pt>
                <c:pt idx="35">
                  <c:v>6.4275274035552601E-3</c:v>
                </c:pt>
                <c:pt idx="36">
                  <c:v>5.9813950092699555E-4</c:v>
                </c:pt>
                <c:pt idx="37">
                  <c:v>8.0756142812687219E-3</c:v>
                </c:pt>
                <c:pt idx="38">
                  <c:v>-1.5440963725433453E-2</c:v>
                </c:pt>
                <c:pt idx="39">
                  <c:v>7.7931814225618021E-3</c:v>
                </c:pt>
                <c:pt idx="40">
                  <c:v>-9.6838973211830891E-3</c:v>
                </c:pt>
                <c:pt idx="41">
                  <c:v>1.6359539938594263E-3</c:v>
                </c:pt>
                <c:pt idx="42">
                  <c:v>-8.3722608834909049E-3</c:v>
                </c:pt>
                <c:pt idx="43">
                  <c:v>-1.0191296949649735E-2</c:v>
                </c:pt>
                <c:pt idx="44">
                  <c:v>3.4115864238086712E-3</c:v>
                </c:pt>
                <c:pt idx="45">
                  <c:v>9.9863574076687646E-3</c:v>
                </c:pt>
                <c:pt idx="46">
                  <c:v>-8.4920634920634914E-5</c:v>
                </c:pt>
                <c:pt idx="47">
                  <c:v>1.193651900138349E-2</c:v>
                </c:pt>
                <c:pt idx="48">
                  <c:v>5.7023295599215023E-3</c:v>
                </c:pt>
                <c:pt idx="49">
                  <c:v>-5.5308156463832739E-3</c:v>
                </c:pt>
                <c:pt idx="50">
                  <c:v>1.7506872678650098E-2</c:v>
                </c:pt>
                <c:pt idx="51">
                  <c:v>-5.8021045277785541E-3</c:v>
                </c:pt>
                <c:pt idx="52">
                  <c:v>-3.4742703986210113E-2</c:v>
                </c:pt>
                <c:pt idx="53">
                  <c:v>-1.6276756256831375E-2</c:v>
                </c:pt>
                <c:pt idx="54">
                  <c:v>-4.2490259300930533E-2</c:v>
                </c:pt>
                <c:pt idx="55">
                  <c:v>-6.3987763359639122E-3</c:v>
                </c:pt>
                <c:pt idx="56">
                  <c:v>1.3606320056753177E-2</c:v>
                </c:pt>
                <c:pt idx="57">
                  <c:v>-6.7221131417193646E-3</c:v>
                </c:pt>
                <c:pt idx="58">
                  <c:v>1.0952719016699678E-2</c:v>
                </c:pt>
                <c:pt idx="59">
                  <c:v>9.3834676542974716E-3</c:v>
                </c:pt>
                <c:pt idx="60">
                  <c:v>3.3768303184575035E-2</c:v>
                </c:pt>
                <c:pt idx="61">
                  <c:v>1.1411460991232761E-2</c:v>
                </c:pt>
                <c:pt idx="62">
                  <c:v>-1.1246018930161014E-3</c:v>
                </c:pt>
                <c:pt idx="63">
                  <c:v>1.0606679744832308E-2</c:v>
                </c:pt>
                <c:pt idx="64">
                  <c:v>-2.4891807661034226E-3</c:v>
                </c:pt>
                <c:pt idx="65">
                  <c:v>3.0052105793909301E-3</c:v>
                </c:pt>
                <c:pt idx="66">
                  <c:v>-9.7301900364068338E-3</c:v>
                </c:pt>
                <c:pt idx="67">
                  <c:v>6.1262794577200417E-3</c:v>
                </c:pt>
                <c:pt idx="68">
                  <c:v>-8.4920634920634914E-5</c:v>
                </c:pt>
                <c:pt idx="69">
                  <c:v>3.7056417965264557E-2</c:v>
                </c:pt>
                <c:pt idx="70">
                  <c:v>-1.1083198470330364E-2</c:v>
                </c:pt>
                <c:pt idx="71">
                  <c:v>1.2546642941357105E-3</c:v>
                </c:pt>
                <c:pt idx="72">
                  <c:v>4.9226010957017785E-3</c:v>
                </c:pt>
                <c:pt idx="73">
                  <c:v>-8.4920634920634914E-5</c:v>
                </c:pt>
                <c:pt idx="74">
                  <c:v>5.8085835105701979E-4</c:v>
                </c:pt>
                <c:pt idx="75">
                  <c:v>5.8041538430052308E-4</c:v>
                </c:pt>
                <c:pt idx="76">
                  <c:v>-1.74909143004243E-3</c:v>
                </c:pt>
                <c:pt idx="77">
                  <c:v>1.9117522414024387E-3</c:v>
                </c:pt>
                <c:pt idx="78">
                  <c:v>8.8510977889476507E-3</c:v>
                </c:pt>
                <c:pt idx="79">
                  <c:v>1.3658751193522584E-2</c:v>
                </c:pt>
                <c:pt idx="80">
                  <c:v>-6.2789094679548555E-3</c:v>
                </c:pt>
                <c:pt idx="81">
                  <c:v>-1.0604412775626902E-2</c:v>
                </c:pt>
                <c:pt idx="82">
                  <c:v>7.8150546182352947E-3</c:v>
                </c:pt>
                <c:pt idx="83">
                  <c:v>6.7767302044443849E-3</c:v>
                </c:pt>
                <c:pt idx="84">
                  <c:v>-7.9306620900339783E-3</c:v>
                </c:pt>
                <c:pt idx="85">
                  <c:v>-1.8300360526261741E-2</c:v>
                </c:pt>
                <c:pt idx="86">
                  <c:v>-4.1036802298383785E-3</c:v>
                </c:pt>
                <c:pt idx="87">
                  <c:v>-3.1096246717631287E-3</c:v>
                </c:pt>
                <c:pt idx="88">
                  <c:v>-4.4701528267833083E-3</c:v>
                </c:pt>
                <c:pt idx="89">
                  <c:v>-4.608992032512433E-2</c:v>
                </c:pt>
                <c:pt idx="90">
                  <c:v>1.2927395900934311E-2</c:v>
                </c:pt>
                <c:pt idx="91">
                  <c:v>-1.1682309449749703E-2</c:v>
                </c:pt>
                <c:pt idx="92">
                  <c:v>1.0463700385823905E-2</c:v>
                </c:pt>
                <c:pt idx="93">
                  <c:v>-6.7527818019807798E-3</c:v>
                </c:pt>
                <c:pt idx="94">
                  <c:v>-8.4920634920634914E-5</c:v>
                </c:pt>
                <c:pt idx="95">
                  <c:v>1.0074564191192471E-2</c:v>
                </c:pt>
                <c:pt idx="96">
                  <c:v>-7.0804021183772719E-3</c:v>
                </c:pt>
                <c:pt idx="97">
                  <c:v>-2.6041933506133725E-2</c:v>
                </c:pt>
                <c:pt idx="98">
                  <c:v>1.4931450197009758E-2</c:v>
                </c:pt>
                <c:pt idx="99">
                  <c:v>-1.0070738278134844E-2</c:v>
                </c:pt>
                <c:pt idx="100">
                  <c:v>-5.4757692697970581E-3</c:v>
                </c:pt>
                <c:pt idx="101">
                  <c:v>-2.1575458136868779E-2</c:v>
                </c:pt>
                <c:pt idx="102">
                  <c:v>-2.091900753776255E-2</c:v>
                </c:pt>
                <c:pt idx="103">
                  <c:v>2.9180846248489213E-3</c:v>
                </c:pt>
                <c:pt idx="104">
                  <c:v>4.5344136211828277E-2</c:v>
                </c:pt>
                <c:pt idx="105">
                  <c:v>-4.4315098086158326E-4</c:v>
                </c:pt>
                <c:pt idx="106">
                  <c:v>-1.1603822908283299E-3</c:v>
                </c:pt>
                <c:pt idx="107">
                  <c:v>-1.2718187372727729E-2</c:v>
                </c:pt>
                <c:pt idx="108">
                  <c:v>1.9340150584354423E-2</c:v>
                </c:pt>
                <c:pt idx="109">
                  <c:v>5.9531016163293995E-3</c:v>
                </c:pt>
                <c:pt idx="110">
                  <c:v>-1.0407133658853714E-2</c:v>
                </c:pt>
                <c:pt idx="111">
                  <c:v>-4.4276640721295599E-4</c:v>
                </c:pt>
                <c:pt idx="112">
                  <c:v>3.4877877026528612E-3</c:v>
                </c:pt>
                <c:pt idx="113">
                  <c:v>-4.0156028442245783E-3</c:v>
                </c:pt>
                <c:pt idx="114">
                  <c:v>2.4319473536298906E-2</c:v>
                </c:pt>
                <c:pt idx="115">
                  <c:v>-1.0622425937706546E-2</c:v>
                </c:pt>
                <c:pt idx="116">
                  <c:v>-1.8520177549406489E-3</c:v>
                </c:pt>
                <c:pt idx="117">
                  <c:v>-5.405025397955455E-3</c:v>
                </c:pt>
                <c:pt idx="118">
                  <c:v>-5.0760183400497217E-3</c:v>
                </c:pt>
                <c:pt idx="119">
                  <c:v>-7.9787542336519184E-3</c:v>
                </c:pt>
                <c:pt idx="120">
                  <c:v>5.3039912747064261E-3</c:v>
                </c:pt>
                <c:pt idx="121">
                  <c:v>1.0606556830753535E-2</c:v>
                </c:pt>
                <c:pt idx="122">
                  <c:v>2.7534384337648529E-2</c:v>
                </c:pt>
                <c:pt idx="123">
                  <c:v>1.4293964551896847E-2</c:v>
                </c:pt>
                <c:pt idx="124">
                  <c:v>-9.3047230117108571E-3</c:v>
                </c:pt>
                <c:pt idx="125">
                  <c:v>-3.521350133501733E-3</c:v>
                </c:pt>
                <c:pt idx="126">
                  <c:v>7.1179916591373816E-3</c:v>
                </c:pt>
                <c:pt idx="127">
                  <c:v>-2.1376069526629275E-3</c:v>
                </c:pt>
                <c:pt idx="128">
                  <c:v>5.0389163649488316E-3</c:v>
                </c:pt>
                <c:pt idx="129">
                  <c:v>-1.1392219452984402E-2</c:v>
                </c:pt>
                <c:pt idx="130">
                  <c:v>1.1563035655352352E-2</c:v>
                </c:pt>
                <c:pt idx="131">
                  <c:v>2.9757857163602497E-3</c:v>
                </c:pt>
                <c:pt idx="132">
                  <c:v>-7.9254244099629095E-3</c:v>
                </c:pt>
                <c:pt idx="133">
                  <c:v>-7.9873840239099471E-3</c:v>
                </c:pt>
                <c:pt idx="134">
                  <c:v>6.7903212975387968E-3</c:v>
                </c:pt>
                <c:pt idx="135">
                  <c:v>9.8009618201918662E-3</c:v>
                </c:pt>
                <c:pt idx="136">
                  <c:v>-2.8023136114206613E-3</c:v>
                </c:pt>
                <c:pt idx="137">
                  <c:v>5.6807388848293932E-3</c:v>
                </c:pt>
                <c:pt idx="138">
                  <c:v>2.2650929977544029E-2</c:v>
                </c:pt>
                <c:pt idx="139">
                  <c:v>1.3703873014389129E-2</c:v>
                </c:pt>
                <c:pt idx="140">
                  <c:v>-1.090292484069464E-2</c:v>
                </c:pt>
                <c:pt idx="141">
                  <c:v>1.3988294778643533E-2</c:v>
                </c:pt>
                <c:pt idx="142">
                  <c:v>-8.2429035526147849E-3</c:v>
                </c:pt>
                <c:pt idx="143">
                  <c:v>1.1965379879313554E-2</c:v>
                </c:pt>
                <c:pt idx="144">
                  <c:v>-6.9064510663555869E-3</c:v>
                </c:pt>
                <c:pt idx="145">
                  <c:v>-3.964467430679125E-2</c:v>
                </c:pt>
                <c:pt idx="146">
                  <c:v>-3.8219727163741907E-3</c:v>
                </c:pt>
                <c:pt idx="147">
                  <c:v>-4.5341512223041579E-2</c:v>
                </c:pt>
                <c:pt idx="148">
                  <c:v>1.1950622876423676E-2</c:v>
                </c:pt>
                <c:pt idx="149">
                  <c:v>-1.8909841664477647E-2</c:v>
                </c:pt>
                <c:pt idx="150">
                  <c:v>1.7331549457578328E-2</c:v>
                </c:pt>
                <c:pt idx="151">
                  <c:v>-1.8482785243920346E-3</c:v>
                </c:pt>
                <c:pt idx="152">
                  <c:v>-2.4742235577876578E-2</c:v>
                </c:pt>
                <c:pt idx="153">
                  <c:v>2.8052547873125677E-3</c:v>
                </c:pt>
                <c:pt idx="154">
                  <c:v>-4.8117795862443725E-2</c:v>
                </c:pt>
                <c:pt idx="155">
                  <c:v>-6.5402306914672161E-3</c:v>
                </c:pt>
                <c:pt idx="156">
                  <c:v>2.9196450615802939E-2</c:v>
                </c:pt>
                <c:pt idx="157">
                  <c:v>8.754915934220165E-3</c:v>
                </c:pt>
                <c:pt idx="158">
                  <c:v>-2.0459768823972862E-2</c:v>
                </c:pt>
                <c:pt idx="159">
                  <c:v>7.7436375201420668E-3</c:v>
                </c:pt>
                <c:pt idx="160">
                  <c:v>9.5234311859511978E-3</c:v>
                </c:pt>
                <c:pt idx="161">
                  <c:v>-2.6922163040290187E-2</c:v>
                </c:pt>
                <c:pt idx="162">
                  <c:v>1.1558403389096002E-2</c:v>
                </c:pt>
                <c:pt idx="163">
                  <c:v>-1.1728244658937221E-2</c:v>
                </c:pt>
                <c:pt idx="164">
                  <c:v>1.4168884080943148E-2</c:v>
                </c:pt>
                <c:pt idx="165">
                  <c:v>1.7634258350182296E-2</c:v>
                </c:pt>
                <c:pt idx="166">
                  <c:v>6.4796543615859344E-3</c:v>
                </c:pt>
                <c:pt idx="167">
                  <c:v>-1.6947490278913287E-2</c:v>
                </c:pt>
                <c:pt idx="168">
                  <c:v>1.6050376249743079E-2</c:v>
                </c:pt>
                <c:pt idx="169">
                  <c:v>2.2573844130389226E-2</c:v>
                </c:pt>
                <c:pt idx="170">
                  <c:v>-1.4051127949698138E-2</c:v>
                </c:pt>
                <c:pt idx="171">
                  <c:v>3.1855338847416231E-2</c:v>
                </c:pt>
                <c:pt idx="172">
                  <c:v>2.475250652916125E-2</c:v>
                </c:pt>
                <c:pt idx="173">
                  <c:v>3.6559441254581911E-3</c:v>
                </c:pt>
                <c:pt idx="174">
                  <c:v>7.0181026333255387E-3</c:v>
                </c:pt>
                <c:pt idx="175">
                  <c:v>1.6626698233318558E-2</c:v>
                </c:pt>
                <c:pt idx="176">
                  <c:v>-1.4116206636805326E-3</c:v>
                </c:pt>
                <c:pt idx="177">
                  <c:v>-6.4108947856481562E-3</c:v>
                </c:pt>
                <c:pt idx="178">
                  <c:v>1.9170820357523337E-3</c:v>
                </c:pt>
                <c:pt idx="179">
                  <c:v>-6.1029929604836559E-3</c:v>
                </c:pt>
                <c:pt idx="180">
                  <c:v>-7.8277635593947438E-3</c:v>
                </c:pt>
                <c:pt idx="181">
                  <c:v>-2.453387314767188E-3</c:v>
                </c:pt>
                <c:pt idx="182">
                  <c:v>-1.9928199163854549E-2</c:v>
                </c:pt>
                <c:pt idx="183">
                  <c:v>1.0569931839606963E-2</c:v>
                </c:pt>
                <c:pt idx="184">
                  <c:v>-4.1959233414429527E-3</c:v>
                </c:pt>
                <c:pt idx="185">
                  <c:v>7.4390546678416263E-3</c:v>
                </c:pt>
                <c:pt idx="186">
                  <c:v>-6.236683029396021E-3</c:v>
                </c:pt>
                <c:pt idx="187">
                  <c:v>-2.5429099579510565E-2</c:v>
                </c:pt>
                <c:pt idx="188">
                  <c:v>-2.1407690103741942E-2</c:v>
                </c:pt>
                <c:pt idx="189">
                  <c:v>-1.1630878552660786E-3</c:v>
                </c:pt>
                <c:pt idx="190">
                  <c:v>1.9851659939965877E-2</c:v>
                </c:pt>
                <c:pt idx="191">
                  <c:v>-2.2020703318724718E-3</c:v>
                </c:pt>
                <c:pt idx="192">
                  <c:v>-2.4397880823403714E-2</c:v>
                </c:pt>
                <c:pt idx="193">
                  <c:v>9.2811420691517859E-3</c:v>
                </c:pt>
                <c:pt idx="194">
                  <c:v>1.9795038298021587E-2</c:v>
                </c:pt>
                <c:pt idx="195">
                  <c:v>1.5954474820994057E-2</c:v>
                </c:pt>
                <c:pt idx="196">
                  <c:v>7.8393241038834018E-3</c:v>
                </c:pt>
                <c:pt idx="197">
                  <c:v>1.9959915608026881E-2</c:v>
                </c:pt>
                <c:pt idx="198">
                  <c:v>1.4606495526042804E-2</c:v>
                </c:pt>
                <c:pt idx="199">
                  <c:v>2.8937345543194786E-3</c:v>
                </c:pt>
                <c:pt idx="200">
                  <c:v>2.8848885103768007E-3</c:v>
                </c:pt>
                <c:pt idx="201">
                  <c:v>2.175071960796475E-2</c:v>
                </c:pt>
                <c:pt idx="202">
                  <c:v>5.7010164321232917E-3</c:v>
                </c:pt>
                <c:pt idx="203">
                  <c:v>6.9416173771177673E-3</c:v>
                </c:pt>
                <c:pt idx="204">
                  <c:v>-1.9963579801886744E-3</c:v>
                </c:pt>
                <c:pt idx="205">
                  <c:v>1.1329280649519555E-2</c:v>
                </c:pt>
                <c:pt idx="206">
                  <c:v>3.6910435746145011E-3</c:v>
                </c:pt>
                <c:pt idx="207">
                  <c:v>7.112732093960742E-3</c:v>
                </c:pt>
                <c:pt idx="208">
                  <c:v>-1.4216102558658222E-2</c:v>
                </c:pt>
                <c:pt idx="209">
                  <c:v>-1.1215580946496714E-2</c:v>
                </c:pt>
                <c:pt idx="210">
                  <c:v>1.6722197681460556E-2</c:v>
                </c:pt>
                <c:pt idx="211">
                  <c:v>1.860721237723191E-2</c:v>
                </c:pt>
                <c:pt idx="212">
                  <c:v>1.2794742228740602E-2</c:v>
                </c:pt>
                <c:pt idx="213">
                  <c:v>-9.994154403086767E-4</c:v>
                </c:pt>
                <c:pt idx="214">
                  <c:v>1.3244570875025386E-2</c:v>
                </c:pt>
                <c:pt idx="215">
                  <c:v>8.1747076335817273E-4</c:v>
                </c:pt>
                <c:pt idx="216">
                  <c:v>-2.4931096374037919E-3</c:v>
                </c:pt>
                <c:pt idx="217">
                  <c:v>-2.8010834636981127E-3</c:v>
                </c:pt>
                <c:pt idx="218">
                  <c:v>-9.1924517118846232E-3</c:v>
                </c:pt>
                <c:pt idx="219">
                  <c:v>-2.8334335882696832E-3</c:v>
                </c:pt>
                <c:pt idx="220">
                  <c:v>6.9240978501445821E-3</c:v>
                </c:pt>
                <c:pt idx="221">
                  <c:v>8.2568801807737856E-4</c:v>
                </c:pt>
                <c:pt idx="222">
                  <c:v>-6.9190092669740345E-4</c:v>
                </c:pt>
                <c:pt idx="223">
                  <c:v>-7.7034246482956094E-3</c:v>
                </c:pt>
                <c:pt idx="224">
                  <c:v>4.4931432131877502E-3</c:v>
                </c:pt>
                <c:pt idx="225">
                  <c:v>1.021507954315014E-2</c:v>
                </c:pt>
                <c:pt idx="226">
                  <c:v>8.617309826016115E-3</c:v>
                </c:pt>
                <c:pt idx="227">
                  <c:v>-3.6766634965231049E-3</c:v>
                </c:pt>
                <c:pt idx="228">
                  <c:v>2.0118301706944057E-3</c:v>
                </c:pt>
                <c:pt idx="229">
                  <c:v>-3.0816265035263591E-3</c:v>
                </c:pt>
                <c:pt idx="230">
                  <c:v>3.2109624984446856E-3</c:v>
                </c:pt>
                <c:pt idx="231">
                  <c:v>-1.7891336482700287E-2</c:v>
                </c:pt>
                <c:pt idx="232">
                  <c:v>9.3105114127231981E-3</c:v>
                </c:pt>
                <c:pt idx="233">
                  <c:v>-1.8965153332712377E-3</c:v>
                </c:pt>
                <c:pt idx="234">
                  <c:v>1.7291190604541585E-2</c:v>
                </c:pt>
                <c:pt idx="235">
                  <c:v>-4.8482520586848477E-3</c:v>
                </c:pt>
                <c:pt idx="236">
                  <c:v>5.1173809399754279E-4</c:v>
                </c:pt>
                <c:pt idx="237">
                  <c:v>3.1903539916895039E-3</c:v>
                </c:pt>
                <c:pt idx="238">
                  <c:v>3.0362396172673112E-2</c:v>
                </c:pt>
                <c:pt idx="239">
                  <c:v>-7.0293929877317928E-3</c:v>
                </c:pt>
                <c:pt idx="240">
                  <c:v>7.4360867583628714E-3</c:v>
                </c:pt>
                <c:pt idx="241">
                  <c:v>9.6656584804564964E-3</c:v>
                </c:pt>
                <c:pt idx="242">
                  <c:v>1.9108034772295668E-3</c:v>
                </c:pt>
                <c:pt idx="243">
                  <c:v>-4.6524421354421043E-3</c:v>
                </c:pt>
                <c:pt idx="244">
                  <c:v>2.0116147259475946E-4</c:v>
                </c:pt>
                <c:pt idx="245">
                  <c:v>5.9039750636356806E-3</c:v>
                </c:pt>
                <c:pt idx="246">
                  <c:v>1.3357359472483713E-3</c:v>
                </c:pt>
                <c:pt idx="247">
                  <c:v>8.3968944209887146E-3</c:v>
                </c:pt>
                <c:pt idx="248">
                  <c:v>-4.8824464163082634E-3</c:v>
                </c:pt>
                <c:pt idx="249">
                  <c:v>-5.7586947208285713E-3</c:v>
                </c:pt>
                <c:pt idx="250">
                  <c:v>1.9045641764656432E-3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5D-4504-B42C-3049A3332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156944"/>
        <c:axId val="701153336"/>
      </c:scatterChart>
      <c:valAx>
        <c:axId val="70115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00_);_(* \(#,##0.0000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3336"/>
        <c:crosses val="autoZero"/>
        <c:crossBetween val="midCat"/>
      </c:valAx>
      <c:valAx>
        <c:axId val="70115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00_);_(* \(#,##0.0000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077357830271216"/>
                  <c:y val="-0.286730460775736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'2.2.'!$L$16:$L$266</c:f>
              <c:numCache>
                <c:formatCode>_(* #,##0.000000_);_(* \(#,##0.000000\);_(* "-"??_);_(@_)</c:formatCode>
                <c:ptCount val="251"/>
                <c:pt idx="0">
                  <c:v>-2.4237068542391604E-2</c:v>
                </c:pt>
                <c:pt idx="1">
                  <c:v>3.2862078716786786E-2</c:v>
                </c:pt>
                <c:pt idx="2">
                  <c:v>7.7687811575858972E-3</c:v>
                </c:pt>
                <c:pt idx="3">
                  <c:v>9.2666099033688852E-3</c:v>
                </c:pt>
                <c:pt idx="4">
                  <c:v>4.5776358943662885E-3</c:v>
                </c:pt>
                <c:pt idx="5">
                  <c:v>3.4364141442913068E-3</c:v>
                </c:pt>
                <c:pt idx="6">
                  <c:v>3.0128413564670619E-4</c:v>
                </c:pt>
                <c:pt idx="7">
                  <c:v>-6.2044641135885394E-3</c:v>
                </c:pt>
                <c:pt idx="8">
                  <c:v>1.131066381196128E-2</c:v>
                </c:pt>
                <c:pt idx="9">
                  <c:v>2.3319757902720084E-3</c:v>
                </c:pt>
                <c:pt idx="10">
                  <c:v>7.4732326869423335E-3</c:v>
                </c:pt>
                <c:pt idx="11">
                  <c:v>1.3137288541181319E-2</c:v>
                </c:pt>
                <c:pt idx="12">
                  <c:v>-1.3687488113124353E-2</c:v>
                </c:pt>
                <c:pt idx="13">
                  <c:v>2.0052619718764842E-3</c:v>
                </c:pt>
                <c:pt idx="14">
                  <c:v>4.4642900563596482E-4</c:v>
                </c:pt>
                <c:pt idx="15">
                  <c:v>8.3408749672249458E-3</c:v>
                </c:pt>
                <c:pt idx="16">
                  <c:v>-7.7142207748066094E-3</c:v>
                </c:pt>
                <c:pt idx="17">
                  <c:v>-1.4127657377369174E-3</c:v>
                </c:pt>
                <c:pt idx="18">
                  <c:v>1.5621912749893243E-2</c:v>
                </c:pt>
                <c:pt idx="19">
                  <c:v>8.659158445230148E-3</c:v>
                </c:pt>
                <c:pt idx="20">
                  <c:v>3.9656977235189266E-4</c:v>
                </c:pt>
                <c:pt idx="21">
                  <c:v>6.9259194904417905E-3</c:v>
                </c:pt>
                <c:pt idx="22">
                  <c:v>4.0981111864798843E-3</c:v>
                </c:pt>
                <c:pt idx="23">
                  <c:v>-1.4039886848921065E-3</c:v>
                </c:pt>
                <c:pt idx="24">
                  <c:v>-9.6635379319905193E-3</c:v>
                </c:pt>
                <c:pt idx="25">
                  <c:v>1.1359226383729514E-3</c:v>
                </c:pt>
                <c:pt idx="26">
                  <c:v>4.6951579466577784E-4</c:v>
                </c:pt>
                <c:pt idx="27">
                  <c:v>1.2692459838321469E-2</c:v>
                </c:pt>
                <c:pt idx="28">
                  <c:v>3.1568094253738251E-3</c:v>
                </c:pt>
                <c:pt idx="29">
                  <c:v>-2.3056471059364186E-3</c:v>
                </c:pt>
                <c:pt idx="30">
                  <c:v>1.0753427419445846E-2</c:v>
                </c:pt>
                <c:pt idx="31">
                  <c:v>1.644124138624495E-3</c:v>
                </c:pt>
                <c:pt idx="32">
                  <c:v>1.9285269945524539E-3</c:v>
                </c:pt>
                <c:pt idx="33">
                  <c:v>-3.6471646551798432E-3</c:v>
                </c:pt>
                <c:pt idx="34">
                  <c:v>6.0959241104334427E-3</c:v>
                </c:pt>
                <c:pt idx="35">
                  <c:v>1.2754776703274987E-3</c:v>
                </c:pt>
                <c:pt idx="36">
                  <c:v>-8.0068904283250809E-4</c:v>
                </c:pt>
                <c:pt idx="37">
                  <c:v>-5.1462772453774971E-4</c:v>
                </c:pt>
                <c:pt idx="38">
                  <c:v>-1.949121361219782E-3</c:v>
                </c:pt>
                <c:pt idx="39">
                  <c:v>6.1393884961468094E-3</c:v>
                </c:pt>
                <c:pt idx="40">
                  <c:v>-3.7289531050447773E-3</c:v>
                </c:pt>
                <c:pt idx="41">
                  <c:v>-1.4459036178201281E-3</c:v>
                </c:pt>
                <c:pt idx="42">
                  <c:v>-6.160251624784503E-3</c:v>
                </c:pt>
                <c:pt idx="43">
                  <c:v>-8.4855928432248078E-3</c:v>
                </c:pt>
                <c:pt idx="44">
                  <c:v>-2.0868504352274226E-3</c:v>
                </c:pt>
                <c:pt idx="45">
                  <c:v>1.4312144824058003E-2</c:v>
                </c:pt>
                <c:pt idx="46">
                  <c:v>3.6789968444002354E-3</c:v>
                </c:pt>
                <c:pt idx="47">
                  <c:v>6.512467914842497E-3</c:v>
                </c:pt>
                <c:pt idx="48">
                  <c:v>-7.2492065676576514E-4</c:v>
                </c:pt>
                <c:pt idx="49">
                  <c:v>4.4844115701826227E-4</c:v>
                </c:pt>
                <c:pt idx="50">
                  <c:v>3.5344148042419869E-3</c:v>
                </c:pt>
                <c:pt idx="51">
                  <c:v>1.6298544536028794E-4</c:v>
                </c:pt>
                <c:pt idx="52">
                  <c:v>-3.0993745533799671E-3</c:v>
                </c:pt>
                <c:pt idx="53">
                  <c:v>1.1146390474962341E-2</c:v>
                </c:pt>
                <c:pt idx="54">
                  <c:v>-1.9518845496121082E-2</c:v>
                </c:pt>
                <c:pt idx="55">
                  <c:v>-8.3721786361589301E-4</c:v>
                </c:pt>
                <c:pt idx="56">
                  <c:v>7.3415630832515053E-3</c:v>
                </c:pt>
                <c:pt idx="57">
                  <c:v>-5.3277238061107679E-3</c:v>
                </c:pt>
                <c:pt idx="58">
                  <c:v>3.6983660534135963E-3</c:v>
                </c:pt>
                <c:pt idx="59">
                  <c:v>6.2007230292792292E-3</c:v>
                </c:pt>
                <c:pt idx="60">
                  <c:v>1.1704556241353945E-2</c:v>
                </c:pt>
                <c:pt idx="61">
                  <c:v>4.0476108175501217E-4</c:v>
                </c:pt>
                <c:pt idx="62">
                  <c:v>1.4874342025546045E-3</c:v>
                </c:pt>
                <c:pt idx="63">
                  <c:v>2.565011180753717E-3</c:v>
                </c:pt>
                <c:pt idx="64">
                  <c:v>4.7435733314823191E-3</c:v>
                </c:pt>
                <c:pt idx="65">
                  <c:v>6.771689128405317E-4</c:v>
                </c:pt>
                <c:pt idx="66">
                  <c:v>-5.2229288136779401E-3</c:v>
                </c:pt>
                <c:pt idx="67">
                  <c:v>3.3202251153444237E-3</c:v>
                </c:pt>
                <c:pt idx="68">
                  <c:v>-3.624574970665374E-4</c:v>
                </c:pt>
                <c:pt idx="69">
                  <c:v>6.6581932499696871E-3</c:v>
                </c:pt>
                <c:pt idx="70">
                  <c:v>-7.3994625605179121E-4</c:v>
                </c:pt>
                <c:pt idx="71">
                  <c:v>5.7010498621050745E-4</c:v>
                </c:pt>
                <c:pt idx="72">
                  <c:v>-2.5348450845540543E-3</c:v>
                </c:pt>
                <c:pt idx="73">
                  <c:v>1.882394959814789E-3</c:v>
                </c:pt>
                <c:pt idx="74">
                  <c:v>7.7671756483145853E-4</c:v>
                </c:pt>
                <c:pt idx="75">
                  <c:v>8.866523857558822E-3</c:v>
                </c:pt>
                <c:pt idx="76">
                  <c:v>-2.306725995927318E-3</c:v>
                </c:pt>
                <c:pt idx="77">
                  <c:v>-7.010635995762782E-4</c:v>
                </c:pt>
                <c:pt idx="78">
                  <c:v>4.5610071697420387E-3</c:v>
                </c:pt>
                <c:pt idx="79">
                  <c:v>1.4816237530112636E-3</c:v>
                </c:pt>
                <c:pt idx="80">
                  <c:v>4.2537892198648967E-4</c:v>
                </c:pt>
                <c:pt idx="81">
                  <c:v>-7.6298073212820935E-3</c:v>
                </c:pt>
                <c:pt idx="82">
                  <c:v>-2.2461935391994573E-3</c:v>
                </c:pt>
                <c:pt idx="83">
                  <c:v>9.6552496690976864E-3</c:v>
                </c:pt>
                <c:pt idx="84">
                  <c:v>-4.2086378187826757E-3</c:v>
                </c:pt>
                <c:pt idx="85">
                  <c:v>-1.6925611362655035E-2</c:v>
                </c:pt>
                <c:pt idx="86">
                  <c:v>-1.4751130528860865E-3</c:v>
                </c:pt>
                <c:pt idx="87">
                  <c:v>-3.1152787594872751E-3</c:v>
                </c:pt>
                <c:pt idx="88">
                  <c:v>4.9258769604925493E-3</c:v>
                </c:pt>
                <c:pt idx="89">
                  <c:v>-2.5536238185369219E-2</c:v>
                </c:pt>
                <c:pt idx="90">
                  <c:v>8.9180820816250374E-3</c:v>
                </c:pt>
                <c:pt idx="91">
                  <c:v>5.755436535384289E-3</c:v>
                </c:pt>
                <c:pt idx="92">
                  <c:v>9.1336654956965073E-3</c:v>
                </c:pt>
                <c:pt idx="93">
                  <c:v>-6.5709774772685211E-3</c:v>
                </c:pt>
                <c:pt idx="94">
                  <c:v>-6.7189680266334009E-3</c:v>
                </c:pt>
                <c:pt idx="95">
                  <c:v>8.8903526012627573E-3</c:v>
                </c:pt>
                <c:pt idx="96">
                  <c:v>-3.1610932288358264E-3</c:v>
                </c:pt>
                <c:pt idx="97">
                  <c:v>-1.2378785954274133E-2</c:v>
                </c:pt>
                <c:pt idx="98">
                  <c:v>2.1808878824175859E-3</c:v>
                </c:pt>
                <c:pt idx="99">
                  <c:v>-9.4289567873215713E-3</c:v>
                </c:pt>
                <c:pt idx="100">
                  <c:v>-6.8182292659189243E-3</c:v>
                </c:pt>
                <c:pt idx="101">
                  <c:v>2.6425169072693518E-3</c:v>
                </c:pt>
                <c:pt idx="102">
                  <c:v>-1.3651789377239576E-2</c:v>
                </c:pt>
                <c:pt idx="103">
                  <c:v>-2.6311172673293454E-3</c:v>
                </c:pt>
                <c:pt idx="104">
                  <c:v>2.1389512932786809E-2</c:v>
                </c:pt>
                <c:pt idx="105">
                  <c:v>8.5399531468395226E-3</c:v>
                </c:pt>
                <c:pt idx="106">
                  <c:v>6.3967140056750008E-3</c:v>
                </c:pt>
                <c:pt idx="107">
                  <c:v>9.8723631365609903E-3</c:v>
                </c:pt>
                <c:pt idx="108">
                  <c:v>4.4934925515961802E-3</c:v>
                </c:pt>
                <c:pt idx="109">
                  <c:v>-3.2718965855032866E-4</c:v>
                </c:pt>
                <c:pt idx="110">
                  <c:v>-1.8517973612756713E-3</c:v>
                </c:pt>
                <c:pt idx="111">
                  <c:v>4.0329459725203954E-3</c:v>
                </c:pt>
                <c:pt idx="112">
                  <c:v>-1.1905803426103675E-3</c:v>
                </c:pt>
                <c:pt idx="113">
                  <c:v>2.952877930044596E-4</c:v>
                </c:pt>
                <c:pt idx="114">
                  <c:v>1.0331661167191825E-2</c:v>
                </c:pt>
                <c:pt idx="115">
                  <c:v>2.1697176993350636E-3</c:v>
                </c:pt>
                <c:pt idx="116">
                  <c:v>9.4240826192901871E-3</c:v>
                </c:pt>
                <c:pt idx="117">
                  <c:v>-6.3915227603288573E-3</c:v>
                </c:pt>
                <c:pt idx="118">
                  <c:v>-1.3101607310216561E-3</c:v>
                </c:pt>
                <c:pt idx="119">
                  <c:v>-9.9412632610666012E-3</c:v>
                </c:pt>
                <c:pt idx="120">
                  <c:v>-1.0828045158781557E-3</c:v>
                </c:pt>
                <c:pt idx="121">
                  <c:v>3.4547844201492429E-3</c:v>
                </c:pt>
                <c:pt idx="122">
                  <c:v>5.0476825915995813E-3</c:v>
                </c:pt>
                <c:pt idx="123">
                  <c:v>8.9526158209560103E-3</c:v>
                </c:pt>
                <c:pt idx="124">
                  <c:v>2.5160367671165913E-3</c:v>
                </c:pt>
                <c:pt idx="125">
                  <c:v>7.8784297487605199E-3</c:v>
                </c:pt>
                <c:pt idx="126">
                  <c:v>-1.2234533902610461E-3</c:v>
                </c:pt>
                <c:pt idx="127">
                  <c:v>-5.5949466705702972E-3</c:v>
                </c:pt>
                <c:pt idx="128">
                  <c:v>1.1608497994208856E-3</c:v>
                </c:pt>
                <c:pt idx="129">
                  <c:v>4.6817886256092459E-3</c:v>
                </c:pt>
                <c:pt idx="130">
                  <c:v>2.2565307960611541E-3</c:v>
                </c:pt>
                <c:pt idx="131">
                  <c:v>4.3820512571315744E-3</c:v>
                </c:pt>
                <c:pt idx="132">
                  <c:v>2.4763673429003673E-4</c:v>
                </c:pt>
                <c:pt idx="133">
                  <c:v>-3.5489350237140733E-3</c:v>
                </c:pt>
                <c:pt idx="134">
                  <c:v>-6.6796386520043324E-3</c:v>
                </c:pt>
                <c:pt idx="135">
                  <c:v>3.5693067413521693E-3</c:v>
                </c:pt>
                <c:pt idx="136">
                  <c:v>-5.6554048380138755E-3</c:v>
                </c:pt>
                <c:pt idx="137">
                  <c:v>2.3685734622251263E-3</c:v>
                </c:pt>
                <c:pt idx="138">
                  <c:v>7.0396893023771589E-3</c:v>
                </c:pt>
                <c:pt idx="139">
                  <c:v>4.6036010965433485E-3</c:v>
                </c:pt>
                <c:pt idx="140">
                  <c:v>-4.8734373667177555E-3</c:v>
                </c:pt>
                <c:pt idx="141">
                  <c:v>6.592734118319862E-3</c:v>
                </c:pt>
                <c:pt idx="142">
                  <c:v>-1.9077126619790902E-3</c:v>
                </c:pt>
                <c:pt idx="143">
                  <c:v>-2.5426587613811102E-3</c:v>
                </c:pt>
                <c:pt idx="144">
                  <c:v>-1.1085616708809708E-2</c:v>
                </c:pt>
                <c:pt idx="145">
                  <c:v>-8.8309874958662198E-3</c:v>
                </c:pt>
                <c:pt idx="146">
                  <c:v>-7.6429180059923579E-3</c:v>
                </c:pt>
                <c:pt idx="147">
                  <c:v>-3.061952517854542E-2</c:v>
                </c:pt>
                <c:pt idx="148">
                  <c:v>1.3840639411955364E-2</c:v>
                </c:pt>
                <c:pt idx="149">
                  <c:v>5.0559295536724432E-4</c:v>
                </c:pt>
                <c:pt idx="150">
                  <c:v>1.9345185632838238E-2</c:v>
                </c:pt>
                <c:pt idx="151">
                  <c:v>-6.9197500580956807E-3</c:v>
                </c:pt>
                <c:pt idx="152">
                  <c:v>-1.233299936477463E-2</c:v>
                </c:pt>
                <c:pt idx="153">
                  <c:v>1.5347165441039291E-2</c:v>
                </c:pt>
                <c:pt idx="154">
                  <c:v>-3.0098449390240409E-2</c:v>
                </c:pt>
                <c:pt idx="155">
                  <c:v>2.5533712832447875E-3</c:v>
                </c:pt>
                <c:pt idx="156">
                  <c:v>1.4562246195263204E-2</c:v>
                </c:pt>
                <c:pt idx="157">
                  <c:v>1.1890858268317076E-2</c:v>
                </c:pt>
                <c:pt idx="158">
                  <c:v>-7.7770021043219398E-3</c:v>
                </c:pt>
                <c:pt idx="159">
                  <c:v>8.0175715930030228E-3</c:v>
                </c:pt>
                <c:pt idx="160">
                  <c:v>-3.9271291176438017E-4</c:v>
                </c:pt>
                <c:pt idx="161">
                  <c:v>-2.6108114320706994E-2</c:v>
                </c:pt>
                <c:pt idx="162">
                  <c:v>1.0912833574620648E-2</c:v>
                </c:pt>
                <c:pt idx="163">
                  <c:v>-4.0162493018468578E-3</c:v>
                </c:pt>
                <c:pt idx="164">
                  <c:v>6.9319207158633446E-3</c:v>
                </c:pt>
                <c:pt idx="165">
                  <c:v>1.2607220095215654E-2</c:v>
                </c:pt>
                <c:pt idx="166">
                  <c:v>-5.2934229582582697E-4</c:v>
                </c:pt>
                <c:pt idx="167">
                  <c:v>-5.9492355257765046E-3</c:v>
                </c:pt>
                <c:pt idx="168">
                  <c:v>1.1201494872787406E-2</c:v>
                </c:pt>
                <c:pt idx="169">
                  <c:v>1.2688544021251481E-2</c:v>
                </c:pt>
                <c:pt idx="170">
                  <c:v>6.8705986895585243E-4</c:v>
                </c:pt>
                <c:pt idx="171">
                  <c:v>4.1822402978169428E-4</c:v>
                </c:pt>
                <c:pt idx="172">
                  <c:v>-3.196899751231791E-4</c:v>
                </c:pt>
                <c:pt idx="173">
                  <c:v>7.0009073347369506E-3</c:v>
                </c:pt>
                <c:pt idx="174">
                  <c:v>3.3728744783438152E-3</c:v>
                </c:pt>
                <c:pt idx="175">
                  <c:v>-7.4895332972804251E-4</c:v>
                </c:pt>
                <c:pt idx="176">
                  <c:v>-3.1784781956106854E-3</c:v>
                </c:pt>
                <c:pt idx="177">
                  <c:v>2.4438622392402463E-3</c:v>
                </c:pt>
                <c:pt idx="178">
                  <c:v>5.1306616074678357E-4</c:v>
                </c:pt>
                <c:pt idx="179">
                  <c:v>-1.5134595627763129E-4</c:v>
                </c:pt>
                <c:pt idx="180">
                  <c:v>-9.4282881256578764E-3</c:v>
                </c:pt>
                <c:pt idx="181">
                  <c:v>-3.196270015699975E-4</c:v>
                </c:pt>
                <c:pt idx="182">
                  <c:v>-7.9626882808133473E-3</c:v>
                </c:pt>
                <c:pt idx="183">
                  <c:v>5.8124157039315932E-3</c:v>
                </c:pt>
                <c:pt idx="184">
                  <c:v>-2.1702868341252563E-3</c:v>
                </c:pt>
                <c:pt idx="185">
                  <c:v>-5.4866893403409363E-3</c:v>
                </c:pt>
                <c:pt idx="186">
                  <c:v>4.5421372851672951E-3</c:v>
                </c:pt>
                <c:pt idx="187">
                  <c:v>-1.2050962296902048E-2</c:v>
                </c:pt>
                <c:pt idx="188">
                  <c:v>-1.7907515219402547E-2</c:v>
                </c:pt>
                <c:pt idx="189">
                  <c:v>8.0744386967668922E-3</c:v>
                </c:pt>
                <c:pt idx="190">
                  <c:v>1.3356463736758403E-2</c:v>
                </c:pt>
                <c:pt idx="191">
                  <c:v>-4.408846817428062E-3</c:v>
                </c:pt>
                <c:pt idx="192">
                  <c:v>-1.5731463249530911E-2</c:v>
                </c:pt>
                <c:pt idx="193">
                  <c:v>9.3666847380897318E-3</c:v>
                </c:pt>
                <c:pt idx="194">
                  <c:v>6.6557936703021446E-3</c:v>
                </c:pt>
                <c:pt idx="195">
                  <c:v>1.0228646154781834E-2</c:v>
                </c:pt>
                <c:pt idx="196">
                  <c:v>-1.1993526432749369E-3</c:v>
                </c:pt>
                <c:pt idx="197">
                  <c:v>9.7667132688230834E-3</c:v>
                </c:pt>
                <c:pt idx="198">
                  <c:v>-1.6922073457926615E-3</c:v>
                </c:pt>
                <c:pt idx="199">
                  <c:v>2.8598010753642174E-3</c:v>
                </c:pt>
                <c:pt idx="200">
                  <c:v>-4.4717003780257395E-3</c:v>
                </c:pt>
                <c:pt idx="201">
                  <c:v>6.671409835593731E-3</c:v>
                </c:pt>
                <c:pt idx="202">
                  <c:v>-3.3570437547460253E-3</c:v>
                </c:pt>
                <c:pt idx="203">
                  <c:v>2.8204563524660987E-3</c:v>
                </c:pt>
                <c:pt idx="204">
                  <c:v>1.5477327889646768E-3</c:v>
                </c:pt>
                <c:pt idx="205">
                  <c:v>4.0016674401338031E-3</c:v>
                </c:pt>
                <c:pt idx="206">
                  <c:v>5.5358579258137303E-3</c:v>
                </c:pt>
                <c:pt idx="207">
                  <c:v>-3.8170057477530397E-4</c:v>
                </c:pt>
                <c:pt idx="208">
                  <c:v>2.9775663227115134E-3</c:v>
                </c:pt>
                <c:pt idx="209">
                  <c:v>-2.7517205758162203E-3</c:v>
                </c:pt>
                <c:pt idx="210">
                  <c:v>9.1362712572230567E-3</c:v>
                </c:pt>
                <c:pt idx="211">
                  <c:v>3.9247993304577147E-3</c:v>
                </c:pt>
                <c:pt idx="212">
                  <c:v>-1.1916915812315632E-3</c:v>
                </c:pt>
                <c:pt idx="213">
                  <c:v>1.4304412922765347E-4</c:v>
                </c:pt>
                <c:pt idx="214">
                  <c:v>3.425679772009891E-3</c:v>
                </c:pt>
                <c:pt idx="215">
                  <c:v>2.3781347974769578E-3</c:v>
                </c:pt>
                <c:pt idx="216">
                  <c:v>-1.9965024835237291E-3</c:v>
                </c:pt>
                <c:pt idx="217">
                  <c:v>2.0208548253228373E-3</c:v>
                </c:pt>
                <c:pt idx="218">
                  <c:v>2.386516054046907E-4</c:v>
                </c:pt>
                <c:pt idx="219">
                  <c:v>1.3698601922498392E-3</c:v>
                </c:pt>
                <c:pt idx="220">
                  <c:v>7.125333668278353E-3</c:v>
                </c:pt>
                <c:pt idx="221">
                  <c:v>6.5248341574264618E-4</c:v>
                </c:pt>
                <c:pt idx="222">
                  <c:v>-3.7340529114040599E-4</c:v>
                </c:pt>
                <c:pt idx="223">
                  <c:v>-3.8106355596838832E-3</c:v>
                </c:pt>
                <c:pt idx="224">
                  <c:v>-1.69512322422675E-3</c:v>
                </c:pt>
                <c:pt idx="225">
                  <c:v>2.1364797602329631E-3</c:v>
                </c:pt>
                <c:pt idx="226">
                  <c:v>7.6353938471918339E-3</c:v>
                </c:pt>
                <c:pt idx="227">
                  <c:v>2.1782088671500749E-3</c:v>
                </c:pt>
                <c:pt idx="228">
                  <c:v>4.3626373667186615E-3</c:v>
                </c:pt>
                <c:pt idx="229">
                  <c:v>-3.8004491317276145E-3</c:v>
                </c:pt>
                <c:pt idx="230">
                  <c:v>-8.6160052052465068E-3</c:v>
                </c:pt>
                <c:pt idx="231">
                  <c:v>-6.8139661323368041E-3</c:v>
                </c:pt>
                <c:pt idx="232">
                  <c:v>6.066368467030769E-3</c:v>
                </c:pt>
                <c:pt idx="233">
                  <c:v>1.711448616989963E-3</c:v>
                </c:pt>
                <c:pt idx="234">
                  <c:v>9.007646275483186E-3</c:v>
                </c:pt>
                <c:pt idx="235">
                  <c:v>-3.2340286051554343E-3</c:v>
                </c:pt>
                <c:pt idx="236">
                  <c:v>-1.2006186196711079E-3</c:v>
                </c:pt>
                <c:pt idx="237">
                  <c:v>2.7497018539252463E-3</c:v>
                </c:pt>
                <c:pt idx="238">
                  <c:v>8.4971920503927965E-3</c:v>
                </c:pt>
                <c:pt idx="239">
                  <c:v>5.1402335020013111E-4</c:v>
                </c:pt>
                <c:pt idx="240">
                  <c:v>6.7616247488666657E-3</c:v>
                </c:pt>
                <c:pt idx="241">
                  <c:v>1.3414769962787483E-4</c:v>
                </c:pt>
                <c:pt idx="242">
                  <c:v>-2.2338495842860804E-5</c:v>
                </c:pt>
                <c:pt idx="243">
                  <c:v>4.0057031896746434E-3</c:v>
                </c:pt>
                <c:pt idx="244">
                  <c:v>-6.1482105721344924E-4</c:v>
                </c:pt>
                <c:pt idx="245">
                  <c:v>1.4416783063122994E-3</c:v>
                </c:pt>
                <c:pt idx="246">
                  <c:v>-5.378980761637852E-5</c:v>
                </c:pt>
                <c:pt idx="247">
                  <c:v>5.224249356498783E-3</c:v>
                </c:pt>
                <c:pt idx="248">
                  <c:v>-3.3267535901231808E-4</c:v>
                </c:pt>
                <c:pt idx="249">
                  <c:v>-5.6134001009278886E-3</c:v>
                </c:pt>
                <c:pt idx="250">
                  <c:v>2.3414344920520548E-3</c:v>
                </c:pt>
              </c:numCache>
            </c:numRef>
          </c:xVal>
          <c:yVal>
            <c:numRef>
              <c:f>'2.2.'!$K$16:$K$266</c:f>
              <c:numCache>
                <c:formatCode>_(* #,##0.000000_);_(* \(#,##0.000000\);_(* "-"??_);_(@_)</c:formatCode>
                <c:ptCount val="251"/>
                <c:pt idx="0">
                  <c:v>-1.1267832874666164E-2</c:v>
                </c:pt>
                <c:pt idx="1">
                  <c:v>3.6854112412505684E-2</c:v>
                </c:pt>
                <c:pt idx="2">
                  <c:v>9.0437734634433269E-3</c:v>
                </c:pt>
                <c:pt idx="3">
                  <c:v>-7.3395902389637186E-3</c:v>
                </c:pt>
                <c:pt idx="4">
                  <c:v>1.5601675532778837E-2</c:v>
                </c:pt>
                <c:pt idx="5">
                  <c:v>8.47956890960847E-3</c:v>
                </c:pt>
                <c:pt idx="6">
                  <c:v>6.3915237794639574E-3</c:v>
                </c:pt>
                <c:pt idx="7">
                  <c:v>2.9726507992149317E-2</c:v>
                </c:pt>
                <c:pt idx="8">
                  <c:v>4.7707048598395883E-2</c:v>
                </c:pt>
                <c:pt idx="9">
                  <c:v>2.1703238168820631E-2</c:v>
                </c:pt>
                <c:pt idx="10">
                  <c:v>-1.5175379982395249E-2</c:v>
                </c:pt>
                <c:pt idx="11">
                  <c:v>2.6446687758759489E-2</c:v>
                </c:pt>
                <c:pt idx="12">
                  <c:v>6.3710105709600929E-4</c:v>
                </c:pt>
                <c:pt idx="13">
                  <c:v>-1.2065459649504881E-2</c:v>
                </c:pt>
                <c:pt idx="14">
                  <c:v>-8.3365490084147467E-3</c:v>
                </c:pt>
                <c:pt idx="15">
                  <c:v>1.435642347719422E-2</c:v>
                </c:pt>
                <c:pt idx="16">
                  <c:v>1.8079412969091182E-2</c:v>
                </c:pt>
                <c:pt idx="17">
                  <c:v>-7.0598214861963158E-3</c:v>
                </c:pt>
                <c:pt idx="18">
                  <c:v>-4.2212452087156066E-3</c:v>
                </c:pt>
                <c:pt idx="19">
                  <c:v>2.7543972933931587E-4</c:v>
                </c:pt>
                <c:pt idx="20">
                  <c:v>5.663253985278496E-3</c:v>
                </c:pt>
                <c:pt idx="21">
                  <c:v>-4.9327620710465873E-3</c:v>
                </c:pt>
                <c:pt idx="22">
                  <c:v>3.1495835327384628E-3</c:v>
                </c:pt>
                <c:pt idx="23">
                  <c:v>2.6025305928838991E-3</c:v>
                </c:pt>
                <c:pt idx="24">
                  <c:v>3.3088488098071776E-3</c:v>
                </c:pt>
                <c:pt idx="25">
                  <c:v>-2.5183286002573937E-2</c:v>
                </c:pt>
                <c:pt idx="26">
                  <c:v>-9.823169389582458E-3</c:v>
                </c:pt>
                <c:pt idx="27">
                  <c:v>1.0567154373592966E-2</c:v>
                </c:pt>
                <c:pt idx="28">
                  <c:v>1.4603891838185154E-2</c:v>
                </c:pt>
                <c:pt idx="29">
                  <c:v>8.3403331114028766E-3</c:v>
                </c:pt>
                <c:pt idx="30">
                  <c:v>-1.3925350069020979E-2</c:v>
                </c:pt>
                <c:pt idx="31">
                  <c:v>2.7406992856558284E-2</c:v>
                </c:pt>
                <c:pt idx="32">
                  <c:v>4.4320190178012882E-4</c:v>
                </c:pt>
                <c:pt idx="33">
                  <c:v>-8.7460441543400023E-3</c:v>
                </c:pt>
                <c:pt idx="34">
                  <c:v>7.1672558391620653E-3</c:v>
                </c:pt>
                <c:pt idx="35">
                  <c:v>-3.0855406605616175E-3</c:v>
                </c:pt>
                <c:pt idx="36">
                  <c:v>1.50476441238538E-3</c:v>
                </c:pt>
                <c:pt idx="37">
                  <c:v>1.515313583791097E-2</c:v>
                </c:pt>
                <c:pt idx="38">
                  <c:v>-1.3559619218280907E-2</c:v>
                </c:pt>
                <c:pt idx="39">
                  <c:v>-3.0844817723299838E-3</c:v>
                </c:pt>
                <c:pt idx="40">
                  <c:v>-5.4003123134179556E-3</c:v>
                </c:pt>
                <c:pt idx="41">
                  <c:v>1.2975625057591637E-2</c:v>
                </c:pt>
                <c:pt idx="42">
                  <c:v>-3.0702595805144287E-3</c:v>
                </c:pt>
                <c:pt idx="43">
                  <c:v>-2.7723302851187698E-2</c:v>
                </c:pt>
                <c:pt idx="44">
                  <c:v>6.4027575539091055E-3</c:v>
                </c:pt>
                <c:pt idx="45">
                  <c:v>-1.2011335942970439E-2</c:v>
                </c:pt>
                <c:pt idx="46">
                  <c:v>-1.5402601677583043E-3</c:v>
                </c:pt>
                <c:pt idx="47">
                  <c:v>1.4553454064352628E-2</c:v>
                </c:pt>
                <c:pt idx="48">
                  <c:v>-1.2177839414332691E-2</c:v>
                </c:pt>
                <c:pt idx="49">
                  <c:v>2.3779134594702458E-2</c:v>
                </c:pt>
                <c:pt idx="50">
                  <c:v>5.74909219954202E-3</c:v>
                </c:pt>
                <c:pt idx="51">
                  <c:v>1.1307718579822353E-2</c:v>
                </c:pt>
                <c:pt idx="52">
                  <c:v>1.8904084253383587E-2</c:v>
                </c:pt>
                <c:pt idx="53">
                  <c:v>-2.2041027796006276E-2</c:v>
                </c:pt>
                <c:pt idx="54">
                  <c:v>-2.0926367338164838E-2</c:v>
                </c:pt>
                <c:pt idx="55">
                  <c:v>-4.2745417777635693E-2</c:v>
                </c:pt>
                <c:pt idx="56">
                  <c:v>-4.5749888066121949E-4</c:v>
                </c:pt>
                <c:pt idx="57">
                  <c:v>1.0110737246861384E-2</c:v>
                </c:pt>
                <c:pt idx="58">
                  <c:v>-6.3837512741725052E-4</c:v>
                </c:pt>
                <c:pt idx="59">
                  <c:v>2.4952503504883095E-3</c:v>
                </c:pt>
                <c:pt idx="60">
                  <c:v>1.9959482233361067E-2</c:v>
                </c:pt>
                <c:pt idx="61">
                  <c:v>3.064846899503269E-2</c:v>
                </c:pt>
                <c:pt idx="62">
                  <c:v>1.1222497397797562E-2</c:v>
                </c:pt>
                <c:pt idx="63">
                  <c:v>-1.8162230064303513E-3</c:v>
                </c:pt>
                <c:pt idx="64">
                  <c:v>1.862646554678557E-2</c:v>
                </c:pt>
                <c:pt idx="65">
                  <c:v>-8.4531703054371021E-3</c:v>
                </c:pt>
                <c:pt idx="66">
                  <c:v>-1.8013645853411904E-3</c:v>
                </c:pt>
                <c:pt idx="67">
                  <c:v>-6.4615040680555073E-3</c:v>
                </c:pt>
                <c:pt idx="68">
                  <c:v>-8.4920634920634914E-5</c:v>
                </c:pt>
                <c:pt idx="69">
                  <c:v>6.9785939603800393E-3</c:v>
                </c:pt>
                <c:pt idx="70">
                  <c:v>1.9128456254883266E-2</c:v>
                </c:pt>
                <c:pt idx="71">
                  <c:v>-2.5334168795038419E-4</c:v>
                </c:pt>
                <c:pt idx="72">
                  <c:v>2.1245666472554412E-2</c:v>
                </c:pt>
                <c:pt idx="73">
                  <c:v>1.7403471469980284E-2</c:v>
                </c:pt>
                <c:pt idx="74">
                  <c:v>8.1442504512457877E-3</c:v>
                </c:pt>
                <c:pt idx="75">
                  <c:v>-1.1559794018658462E-2</c:v>
                </c:pt>
                <c:pt idx="76">
                  <c:v>2.0259837780441685E-3</c:v>
                </c:pt>
                <c:pt idx="77">
                  <c:v>3.962029445276437E-3</c:v>
                </c:pt>
                <c:pt idx="78">
                  <c:v>5.6107421958561917E-4</c:v>
                </c:pt>
                <c:pt idx="79">
                  <c:v>2.6676791141020721E-2</c:v>
                </c:pt>
                <c:pt idx="80">
                  <c:v>-1.0513202846770865E-2</c:v>
                </c:pt>
                <c:pt idx="81">
                  <c:v>-7.0980191907925524E-3</c:v>
                </c:pt>
                <c:pt idx="82">
                  <c:v>8.6737944873633219E-3</c:v>
                </c:pt>
                <c:pt idx="83">
                  <c:v>-3.7383279230600568E-3</c:v>
                </c:pt>
                <c:pt idx="84">
                  <c:v>-2.4244575336235624E-2</c:v>
                </c:pt>
                <c:pt idx="85">
                  <c:v>-3.0236982601646771E-3</c:v>
                </c:pt>
                <c:pt idx="86">
                  <c:v>-2.8947431661320484E-2</c:v>
                </c:pt>
                <c:pt idx="87">
                  <c:v>1.5965998554542352E-3</c:v>
                </c:pt>
                <c:pt idx="88">
                  <c:v>-3.0447136924968029E-2</c:v>
                </c:pt>
                <c:pt idx="89">
                  <c:v>1.4358246529877579E-2</c:v>
                </c:pt>
                <c:pt idx="90">
                  <c:v>-1.1242876925975254E-2</c:v>
                </c:pt>
                <c:pt idx="91">
                  <c:v>1.8725483509144603E-2</c:v>
                </c:pt>
                <c:pt idx="92">
                  <c:v>-4.3290488967473598E-3</c:v>
                </c:pt>
                <c:pt idx="93">
                  <c:v>-1.0173062957113482E-2</c:v>
                </c:pt>
                <c:pt idx="94">
                  <c:v>1.3060808577582095E-2</c:v>
                </c:pt>
                <c:pt idx="95">
                  <c:v>-9.1147119496561655E-3</c:v>
                </c:pt>
                <c:pt idx="96">
                  <c:v>-2.6443304586233826E-2</c:v>
                </c:pt>
                <c:pt idx="97">
                  <c:v>8.8366814429647993E-3</c:v>
                </c:pt>
                <c:pt idx="98">
                  <c:v>4.3740896692614183E-4</c:v>
                </c:pt>
                <c:pt idx="99">
                  <c:v>-1.6527286383204789E-3</c:v>
                </c:pt>
                <c:pt idx="100">
                  <c:v>-1.3246468877716987E-2</c:v>
                </c:pt>
                <c:pt idx="101">
                  <c:v>1.6035982191712862E-2</c:v>
                </c:pt>
                <c:pt idx="102">
                  <c:v>-2.2407668448412011E-2</c:v>
                </c:pt>
                <c:pt idx="103">
                  <c:v>-7.3991981814216885E-3</c:v>
                </c:pt>
                <c:pt idx="104">
                  <c:v>4.2676105907328052E-2</c:v>
                </c:pt>
                <c:pt idx="105">
                  <c:v>-4.5553544898620625E-3</c:v>
                </c:pt>
                <c:pt idx="106">
                  <c:v>7.810760617496893E-3</c:v>
                </c:pt>
                <c:pt idx="107">
                  <c:v>-7.2915407058965279E-3</c:v>
                </c:pt>
                <c:pt idx="108">
                  <c:v>3.1776781454644125E-2</c:v>
                </c:pt>
                <c:pt idx="109">
                  <c:v>-6.1080273495563936E-3</c:v>
                </c:pt>
                <c:pt idx="110">
                  <c:v>5.8610774120627191E-4</c:v>
                </c:pt>
                <c:pt idx="111">
                  <c:v>-8.4920634920634914E-5</c:v>
                </c:pt>
                <c:pt idx="112">
                  <c:v>3.2634836320050982E-3</c:v>
                </c:pt>
                <c:pt idx="113">
                  <c:v>1.4516301105481673E-2</c:v>
                </c:pt>
                <c:pt idx="114">
                  <c:v>-8.4920634920634914E-5</c:v>
                </c:pt>
                <c:pt idx="115">
                  <c:v>-1.4017804840002647E-2</c:v>
                </c:pt>
                <c:pt idx="116">
                  <c:v>1.3518474275582398E-2</c:v>
                </c:pt>
                <c:pt idx="117">
                  <c:v>-1.8376085723796846E-2</c:v>
                </c:pt>
                <c:pt idx="118">
                  <c:v>-1.1901398437328877E-2</c:v>
                </c:pt>
                <c:pt idx="119">
                  <c:v>8.0328306911840678E-3</c:v>
                </c:pt>
                <c:pt idx="120">
                  <c:v>4.6201796264204046E-3</c:v>
                </c:pt>
                <c:pt idx="121">
                  <c:v>2.9319245996990363E-2</c:v>
                </c:pt>
                <c:pt idx="122">
                  <c:v>1.5902501031876633E-2</c:v>
                </c:pt>
                <c:pt idx="123">
                  <c:v>-5.6565135485901362E-4</c:v>
                </c:pt>
                <c:pt idx="124">
                  <c:v>7.2610082786407366E-3</c:v>
                </c:pt>
                <c:pt idx="125">
                  <c:v>-1.9960535625252272E-3</c:v>
                </c:pt>
                <c:pt idx="126">
                  <c:v>1.3688747602503968E-2</c:v>
                </c:pt>
                <c:pt idx="127">
                  <c:v>3.524908286968768E-3</c:v>
                </c:pt>
                <c:pt idx="128">
                  <c:v>6.9810344392508977E-4</c:v>
                </c:pt>
                <c:pt idx="129">
                  <c:v>-1.4750483491376188E-2</c:v>
                </c:pt>
                <c:pt idx="130">
                  <c:v>7.5112545205290055E-3</c:v>
                </c:pt>
                <c:pt idx="131">
                  <c:v>4.1627062973913489E-3</c:v>
                </c:pt>
                <c:pt idx="132">
                  <c:v>-2.4191882976395664E-4</c:v>
                </c:pt>
                <c:pt idx="133">
                  <c:v>2.2674681233584618E-3</c:v>
                </c:pt>
                <c:pt idx="134">
                  <c:v>-7.632126270303601E-3</c:v>
                </c:pt>
                <c:pt idx="135">
                  <c:v>2.9093294943718698E-3</c:v>
                </c:pt>
                <c:pt idx="136">
                  <c:v>1.4874067330319578E-3</c:v>
                </c:pt>
                <c:pt idx="137">
                  <c:v>-8.2881532588018614E-3</c:v>
                </c:pt>
                <c:pt idx="138">
                  <c:v>2.1849218933293359E-2</c:v>
                </c:pt>
                <c:pt idx="139">
                  <c:v>7.9410523758452443E-3</c:v>
                </c:pt>
                <c:pt idx="140">
                  <c:v>-3.7812131538102569E-3</c:v>
                </c:pt>
                <c:pt idx="141">
                  <c:v>3.7650879706602031E-3</c:v>
                </c:pt>
                <c:pt idx="142">
                  <c:v>-3.6263824932218219E-3</c:v>
                </c:pt>
                <c:pt idx="143">
                  <c:v>-1.4847056475013219E-2</c:v>
                </c:pt>
                <c:pt idx="144">
                  <c:v>1.7918393779395492E-3</c:v>
                </c:pt>
                <c:pt idx="145">
                  <c:v>-4.6264678661956556E-3</c:v>
                </c:pt>
                <c:pt idx="146">
                  <c:v>-5.4099822863669308E-2</c:v>
                </c:pt>
                <c:pt idx="147">
                  <c:v>-2.9165043558445018E-2</c:v>
                </c:pt>
                <c:pt idx="148">
                  <c:v>-7.9616736883742524E-3</c:v>
                </c:pt>
                <c:pt idx="149">
                  <c:v>-1.6376442136579974E-2</c:v>
                </c:pt>
                <c:pt idx="150">
                  <c:v>3.3251499632671294E-2</c:v>
                </c:pt>
                <c:pt idx="151">
                  <c:v>-1.5583825792234803E-2</c:v>
                </c:pt>
                <c:pt idx="152">
                  <c:v>-1.7223745760443165E-2</c:v>
                </c:pt>
                <c:pt idx="153">
                  <c:v>2.1848434223053204E-2</c:v>
                </c:pt>
                <c:pt idx="154">
                  <c:v>-5.5576684155844526E-2</c:v>
                </c:pt>
                <c:pt idx="155">
                  <c:v>2.7615537550151762E-4</c:v>
                </c:pt>
                <c:pt idx="156">
                  <c:v>2.4695739501182326E-2</c:v>
                </c:pt>
                <c:pt idx="157">
                  <c:v>2.4268344144316764E-2</c:v>
                </c:pt>
                <c:pt idx="158">
                  <c:v>-1.079684061578097E-2</c:v>
                </c:pt>
                <c:pt idx="159">
                  <c:v>-5.1349966702487143E-3</c:v>
                </c:pt>
                <c:pt idx="160">
                  <c:v>4.6176918805808272E-3</c:v>
                </c:pt>
                <c:pt idx="161">
                  <c:v>-1.53176409803326E-2</c:v>
                </c:pt>
                <c:pt idx="162">
                  <c:v>-1.0014080223140133E-2</c:v>
                </c:pt>
                <c:pt idx="163">
                  <c:v>-7.2380269575758674E-3</c:v>
                </c:pt>
                <c:pt idx="164">
                  <c:v>1.1513032546958036E-2</c:v>
                </c:pt>
                <c:pt idx="165">
                  <c:v>2.5312713859795756E-2</c:v>
                </c:pt>
                <c:pt idx="166">
                  <c:v>1.348567326521719E-2</c:v>
                </c:pt>
                <c:pt idx="167">
                  <c:v>1.4494757107922269E-3</c:v>
                </c:pt>
                <c:pt idx="168">
                  <c:v>-2.1087586258147308E-2</c:v>
                </c:pt>
                <c:pt idx="169">
                  <c:v>1.3908570211713706E-2</c:v>
                </c:pt>
                <c:pt idx="170">
                  <c:v>3.2821110799259069E-2</c:v>
                </c:pt>
                <c:pt idx="171">
                  <c:v>-5.2442896564648817E-3</c:v>
                </c:pt>
                <c:pt idx="172">
                  <c:v>3.209648064625574E-2</c:v>
                </c:pt>
                <c:pt idx="173">
                  <c:v>6.0362324981698724E-3</c:v>
                </c:pt>
                <c:pt idx="174">
                  <c:v>6.1585960047643856E-3</c:v>
                </c:pt>
                <c:pt idx="175">
                  <c:v>-2.9617006275357719E-3</c:v>
                </c:pt>
                <c:pt idx="176">
                  <c:v>1.7524799112965384E-2</c:v>
                </c:pt>
                <c:pt idx="177">
                  <c:v>-7.0282971177369619E-3</c:v>
                </c:pt>
                <c:pt idx="178">
                  <c:v>-7.395824145543608E-3</c:v>
                </c:pt>
                <c:pt idx="179">
                  <c:v>-8.8281423825012698E-4</c:v>
                </c:pt>
                <c:pt idx="180">
                  <c:v>1.5438914003529701E-2</c:v>
                </c:pt>
                <c:pt idx="181">
                  <c:v>4.3065544275705143E-3</c:v>
                </c:pt>
                <c:pt idx="182">
                  <c:v>-1.3317627901494941E-2</c:v>
                </c:pt>
                <c:pt idx="183">
                  <c:v>-1.1407902625789898E-2</c:v>
                </c:pt>
                <c:pt idx="184">
                  <c:v>1.1238061355948735E-2</c:v>
                </c:pt>
                <c:pt idx="185">
                  <c:v>7.3645923724476389E-5</c:v>
                </c:pt>
                <c:pt idx="186">
                  <c:v>1.4084082151565744E-2</c:v>
                </c:pt>
                <c:pt idx="187">
                  <c:v>-4.9427222430201197E-3</c:v>
                </c:pt>
                <c:pt idx="188">
                  <c:v>-6.8624704183455724E-3</c:v>
                </c:pt>
                <c:pt idx="189">
                  <c:v>-4.2238921075785356E-2</c:v>
                </c:pt>
                <c:pt idx="190">
                  <c:v>-7.868349843889854E-3</c:v>
                </c:pt>
                <c:pt idx="191">
                  <c:v>2.503336619946548E-2</c:v>
                </c:pt>
                <c:pt idx="192">
                  <c:v>7.9887547406130386E-3</c:v>
                </c:pt>
                <c:pt idx="193">
                  <c:v>-2.5658429302334702E-2</c:v>
                </c:pt>
                <c:pt idx="194">
                  <c:v>1.0419032826722121E-2</c:v>
                </c:pt>
                <c:pt idx="195">
                  <c:v>2.3950432702775071E-2</c:v>
                </c:pt>
                <c:pt idx="196">
                  <c:v>2.1672204343899614E-2</c:v>
                </c:pt>
                <c:pt idx="197">
                  <c:v>-7.1277543473388895E-3</c:v>
                </c:pt>
                <c:pt idx="198">
                  <c:v>2.0588855231782506E-2</c:v>
                </c:pt>
                <c:pt idx="199">
                  <c:v>-2.8009674046350363E-2</c:v>
                </c:pt>
                <c:pt idx="200">
                  <c:v>-1.0421340882072345E-2</c:v>
                </c:pt>
                <c:pt idx="201">
                  <c:v>-8.4920634920634914E-5</c:v>
                </c:pt>
                <c:pt idx="202">
                  <c:v>2.5947944933980512E-2</c:v>
                </c:pt>
                <c:pt idx="203">
                  <c:v>7.8263903093586142E-3</c:v>
                </c:pt>
                <c:pt idx="204">
                  <c:v>1.7675034823184299E-3</c:v>
                </c:pt>
                <c:pt idx="205">
                  <c:v>5.2984654340517976E-3</c:v>
                </c:pt>
                <c:pt idx="206">
                  <c:v>9.6846579084168324E-3</c:v>
                </c:pt>
                <c:pt idx="207">
                  <c:v>1.4392786622838835E-2</c:v>
                </c:pt>
                <c:pt idx="208">
                  <c:v>-1.4410733003650934E-2</c:v>
                </c:pt>
                <c:pt idx="209">
                  <c:v>-1.0313236659446062E-2</c:v>
                </c:pt>
                <c:pt idx="210">
                  <c:v>-1.321353610849885E-2</c:v>
                </c:pt>
                <c:pt idx="211">
                  <c:v>1.8094597135574771E-2</c:v>
                </c:pt>
                <c:pt idx="212">
                  <c:v>2.2109694645831863E-2</c:v>
                </c:pt>
                <c:pt idx="213">
                  <c:v>1.3706356007771071E-2</c:v>
                </c:pt>
                <c:pt idx="214">
                  <c:v>-9.7039367176226694E-3</c:v>
                </c:pt>
                <c:pt idx="215">
                  <c:v>2.342828605779463E-2</c:v>
                </c:pt>
                <c:pt idx="216">
                  <c:v>-4.8894723536653485E-3</c:v>
                </c:pt>
                <c:pt idx="217">
                  <c:v>1.5191628297035098E-3</c:v>
                </c:pt>
                <c:pt idx="218">
                  <c:v>2.6797228138704522E-3</c:v>
                </c:pt>
                <c:pt idx="219">
                  <c:v>-1.6493141086025492E-2</c:v>
                </c:pt>
                <c:pt idx="220">
                  <c:v>-1.077703318709136E-2</c:v>
                </c:pt>
                <c:pt idx="221">
                  <c:v>3.045438931079357E-3</c:v>
                </c:pt>
                <c:pt idx="222">
                  <c:v>-5.7565776295931724E-3</c:v>
                </c:pt>
                <c:pt idx="223">
                  <c:v>7.5196787502985777E-3</c:v>
                </c:pt>
                <c:pt idx="224">
                  <c:v>-2.9112520068656847E-3</c:v>
                </c:pt>
                <c:pt idx="225">
                  <c:v>-4.8631886481947748E-3</c:v>
                </c:pt>
                <c:pt idx="226">
                  <c:v>1.1670292476611803E-2</c:v>
                </c:pt>
                <c:pt idx="227">
                  <c:v>1.4016370605685511E-2</c:v>
                </c:pt>
                <c:pt idx="228">
                  <c:v>-6.8169817689784631E-3</c:v>
                </c:pt>
                <c:pt idx="229">
                  <c:v>9.996251747535545E-3</c:v>
                </c:pt>
                <c:pt idx="230">
                  <c:v>-8.4920634920634914E-5</c:v>
                </c:pt>
                <c:pt idx="231">
                  <c:v>-2.2678509931366251E-3</c:v>
                </c:pt>
                <c:pt idx="232">
                  <c:v>-1.6536525526925916E-2</c:v>
                </c:pt>
                <c:pt idx="233">
                  <c:v>-2.9695560712913391E-2</c:v>
                </c:pt>
                <c:pt idx="234">
                  <c:v>2.2242149525236895E-2</c:v>
                </c:pt>
                <c:pt idx="235">
                  <c:v>2.1340872290050169E-4</c:v>
                </c:pt>
                <c:pt idx="236">
                  <c:v>2.5098650152040543E-2</c:v>
                </c:pt>
                <c:pt idx="237">
                  <c:v>-6.5045516692548797E-3</c:v>
                </c:pt>
                <c:pt idx="238">
                  <c:v>-9.6352663667393789E-4</c:v>
                </c:pt>
                <c:pt idx="239">
                  <c:v>-1.6977059709399492E-3</c:v>
                </c:pt>
                <c:pt idx="240">
                  <c:v>1.7370067983378243E-2</c:v>
                </c:pt>
                <c:pt idx="241">
                  <c:v>-1.2271347380953356E-2</c:v>
                </c:pt>
                <c:pt idx="242">
                  <c:v>1.0514089658279931E-2</c:v>
                </c:pt>
                <c:pt idx="243">
                  <c:v>4.382267426522703E-3</c:v>
                </c:pt>
                <c:pt idx="244">
                  <c:v>8.3624057076596287E-3</c:v>
                </c:pt>
                <c:pt idx="245">
                  <c:v>5.4599858731351585E-3</c:v>
                </c:pt>
                <c:pt idx="246">
                  <c:v>1.1053721139931038E-2</c:v>
                </c:pt>
                <c:pt idx="247">
                  <c:v>-4.5818365885448315E-3</c:v>
                </c:pt>
                <c:pt idx="248">
                  <c:v>7.9111940742699963E-3</c:v>
                </c:pt>
                <c:pt idx="249">
                  <c:v>-5.2680939674965028E-3</c:v>
                </c:pt>
                <c:pt idx="250">
                  <c:v>1.2892307462730469E-2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B7-45E2-954D-6A8E6BEC3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156944"/>
        <c:axId val="701153336"/>
      </c:scatterChart>
      <c:valAx>
        <c:axId val="70115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00_);_(* \(#,##0.0000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3336"/>
        <c:crosses val="autoZero"/>
        <c:crossBetween val="midCat"/>
      </c:valAx>
      <c:valAx>
        <c:axId val="70115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00_);_(* \(#,##0.0000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077357830271216"/>
                  <c:y val="-0.286730460775736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'2.4.'!$L$16:$L$519</c:f>
              <c:numCache>
                <c:formatCode>_(* #,##0.000000_);_(* \(#,##0.000000\);_(* "-"??_);_(@_)</c:formatCode>
                <c:ptCount val="504"/>
                <c:pt idx="0">
                  <c:v>-7.647503358654638E-3</c:v>
                </c:pt>
                <c:pt idx="1">
                  <c:v>3.7613308470386274E-3</c:v>
                </c:pt>
                <c:pt idx="2">
                  <c:v>-2.862155171458131E-3</c:v>
                </c:pt>
                <c:pt idx="3">
                  <c:v>5.268952156139442E-3</c:v>
                </c:pt>
                <c:pt idx="4">
                  <c:v>6.7113916481532131E-3</c:v>
                </c:pt>
                <c:pt idx="5">
                  <c:v>-2.9282749463174977E-3</c:v>
                </c:pt>
                <c:pt idx="6">
                  <c:v>6.8073142564455073E-3</c:v>
                </c:pt>
                <c:pt idx="7">
                  <c:v>-1.5722146471105159E-3</c:v>
                </c:pt>
                <c:pt idx="8">
                  <c:v>2.2109087302215145E-3</c:v>
                </c:pt>
                <c:pt idx="9">
                  <c:v>8.2375167848410119E-3</c:v>
                </c:pt>
                <c:pt idx="10">
                  <c:v>3.0612722717574931E-3</c:v>
                </c:pt>
                <c:pt idx="11">
                  <c:v>-2.0064744307467085E-3</c:v>
                </c:pt>
                <c:pt idx="12">
                  <c:v>7.4300633112523375E-5</c:v>
                </c:pt>
                <c:pt idx="13">
                  <c:v>1.0997725011832331E-3</c:v>
                </c:pt>
                <c:pt idx="14">
                  <c:v>-8.9792500110212059E-3</c:v>
                </c:pt>
                <c:pt idx="15">
                  <c:v>-1.6205732773883829E-2</c:v>
                </c:pt>
                <c:pt idx="16">
                  <c:v>1.037818035526927E-2</c:v>
                </c:pt>
                <c:pt idx="17">
                  <c:v>-8.7273579048445093E-4</c:v>
                </c:pt>
                <c:pt idx="18">
                  <c:v>3.1936781910625908E-3</c:v>
                </c:pt>
                <c:pt idx="19">
                  <c:v>-1.8371266500457589E-2</c:v>
                </c:pt>
                <c:pt idx="20">
                  <c:v>7.3547045390367147E-3</c:v>
                </c:pt>
                <c:pt idx="21">
                  <c:v>1.5079858794550968E-2</c:v>
                </c:pt>
                <c:pt idx="22">
                  <c:v>1.1435447628647878E-2</c:v>
                </c:pt>
                <c:pt idx="23">
                  <c:v>3.3127012142773714E-3</c:v>
                </c:pt>
                <c:pt idx="24">
                  <c:v>-5.3903423365205087E-3</c:v>
                </c:pt>
                <c:pt idx="25">
                  <c:v>7.3912256767748518E-3</c:v>
                </c:pt>
                <c:pt idx="26">
                  <c:v>1.685070204305377E-3</c:v>
                </c:pt>
                <c:pt idx="27">
                  <c:v>6.3756664032685326E-3</c:v>
                </c:pt>
                <c:pt idx="28">
                  <c:v>-1.1139177013834685E-3</c:v>
                </c:pt>
                <c:pt idx="29">
                  <c:v>1.5543781024995556E-3</c:v>
                </c:pt>
                <c:pt idx="30">
                  <c:v>-2.6267690062789107E-3</c:v>
                </c:pt>
                <c:pt idx="31">
                  <c:v>4.7234561887652448E-3</c:v>
                </c:pt>
                <c:pt idx="32">
                  <c:v>-4.1631842263482287E-3</c:v>
                </c:pt>
                <c:pt idx="33">
                  <c:v>-1.0398086421241862E-2</c:v>
                </c:pt>
                <c:pt idx="34">
                  <c:v>-3.377427866598879E-2</c:v>
                </c:pt>
                <c:pt idx="35">
                  <c:v>-3.0817118005974167E-2</c:v>
                </c:pt>
                <c:pt idx="36">
                  <c:v>-3.731444357227622E-3</c:v>
                </c:pt>
                <c:pt idx="37">
                  <c:v>-4.5997928932793058E-2</c:v>
                </c:pt>
                <c:pt idx="38">
                  <c:v>-4.2568192836659087E-3</c:v>
                </c:pt>
                <c:pt idx="39">
                  <c:v>4.2348620899751561E-2</c:v>
                </c:pt>
                <c:pt idx="40">
                  <c:v>-2.909677036974942E-2</c:v>
                </c:pt>
                <c:pt idx="41">
                  <c:v>4.1127222735430249E-2</c:v>
                </c:pt>
                <c:pt idx="42">
                  <c:v>-3.3853197382458483E-2</c:v>
                </c:pt>
                <c:pt idx="43">
                  <c:v>-1.6715703729571183E-2</c:v>
                </c:pt>
                <c:pt idx="44">
                  <c:v>-8.1359020402043292E-2</c:v>
                </c:pt>
                <c:pt idx="45">
                  <c:v>5.040415222865862E-2</c:v>
                </c:pt>
                <c:pt idx="46">
                  <c:v>-5.0023067074232284E-2</c:v>
                </c:pt>
                <c:pt idx="47">
                  <c:v>-0.10061534498897863</c:v>
                </c:pt>
                <c:pt idx="48">
                  <c:v>8.1981638892080835E-2</c:v>
                </c:pt>
                <c:pt idx="49">
                  <c:v>-0.11593296430043583</c:v>
                </c:pt>
                <c:pt idx="50">
                  <c:v>5.2538505753201015E-2</c:v>
                </c:pt>
                <c:pt idx="51">
                  <c:v>-5.2006167502139676E-2</c:v>
                </c:pt>
                <c:pt idx="52">
                  <c:v>2.0763168095500029E-3</c:v>
                </c:pt>
                <c:pt idx="53">
                  <c:v>-4.9959837788755616E-2</c:v>
                </c:pt>
                <c:pt idx="54">
                  <c:v>-2.5947157003585811E-2</c:v>
                </c:pt>
                <c:pt idx="55">
                  <c:v>8.6684577204880653E-2</c:v>
                </c:pt>
                <c:pt idx="56">
                  <c:v>1.4812807150533449E-2</c:v>
                </c:pt>
                <c:pt idx="57">
                  <c:v>5.6702196259090627E-2</c:v>
                </c:pt>
                <c:pt idx="58">
                  <c:v>-3.0284634602942388E-2</c:v>
                </c:pt>
                <c:pt idx="59">
                  <c:v>3.1913112876026065E-2</c:v>
                </c:pt>
                <c:pt idx="60">
                  <c:v>-1.5064038492576011E-2</c:v>
                </c:pt>
                <c:pt idx="61">
                  <c:v>-4.6095445264288278E-2</c:v>
                </c:pt>
                <c:pt idx="62">
                  <c:v>2.2766721914073702E-2</c:v>
                </c:pt>
                <c:pt idx="63">
                  <c:v>-1.4606103390939189E-2</c:v>
                </c:pt>
                <c:pt idx="64">
                  <c:v>6.4960374057188575E-2</c:v>
                </c:pt>
                <c:pt idx="65">
                  <c:v>9.7245866553034833E-4</c:v>
                </c:pt>
                <c:pt idx="66">
                  <c:v>3.2970889138470488E-2</c:v>
                </c:pt>
                <c:pt idx="67">
                  <c:v>1.5056261472237478E-2</c:v>
                </c:pt>
                <c:pt idx="68">
                  <c:v>-9.2184857944782161E-3</c:v>
                </c:pt>
                <c:pt idx="69">
                  <c:v>2.9019877185667942E-2</c:v>
                </c:pt>
                <c:pt idx="70">
                  <c:v>-2.1523525122832621E-2</c:v>
                </c:pt>
                <c:pt idx="71">
                  <c:v>4.7662804988626503E-3</c:v>
                </c:pt>
                <c:pt idx="72">
                  <c:v>2.6610503882993103E-2</c:v>
                </c:pt>
                <c:pt idx="73">
                  <c:v>-1.7821389278419378E-2</c:v>
                </c:pt>
                <c:pt idx="74">
                  <c:v>-3.0880236262684359E-2</c:v>
                </c:pt>
                <c:pt idx="75">
                  <c:v>2.1905407372396261E-2</c:v>
                </c:pt>
                <c:pt idx="76">
                  <c:v>-1.1809004266939997E-4</c:v>
                </c:pt>
                <c:pt idx="77">
                  <c:v>1.3795977314489387E-2</c:v>
                </c:pt>
                <c:pt idx="78">
                  <c:v>1.4269103085263706E-2</c:v>
                </c:pt>
                <c:pt idx="79">
                  <c:v>-4.6555362107498057E-3</c:v>
                </c:pt>
                <c:pt idx="80">
                  <c:v>2.5795338297138173E-2</c:v>
                </c:pt>
                <c:pt idx="81">
                  <c:v>-9.4007773082395163E-3</c:v>
                </c:pt>
                <c:pt idx="82">
                  <c:v>-2.6876582959219769E-2</c:v>
                </c:pt>
                <c:pt idx="83">
                  <c:v>2.7080049801947656E-3</c:v>
                </c:pt>
                <c:pt idx="84">
                  <c:v>9.1504910695942299E-3</c:v>
                </c:pt>
                <c:pt idx="85">
                  <c:v>-6.8482218517183467E-3</c:v>
                </c:pt>
                <c:pt idx="86">
                  <c:v>1.1948190081181448E-2</c:v>
                </c:pt>
                <c:pt idx="87">
                  <c:v>1.6364337570431216E-2</c:v>
                </c:pt>
                <c:pt idx="88">
                  <c:v>1.5872067536755908E-4</c:v>
                </c:pt>
                <c:pt idx="89">
                  <c:v>-2.0179366824522784E-2</c:v>
                </c:pt>
                <c:pt idx="90">
                  <c:v>-1.789053270635807E-2</c:v>
                </c:pt>
                <c:pt idx="91">
                  <c:v>1.1849858714884857E-2</c:v>
                </c:pt>
                <c:pt idx="92">
                  <c:v>4.5400127287672917E-3</c:v>
                </c:pt>
                <c:pt idx="93">
                  <c:v>2.9958574897994576E-2</c:v>
                </c:pt>
                <c:pt idx="94">
                  <c:v>-1.0370727647081175E-2</c:v>
                </c:pt>
                <c:pt idx="95">
                  <c:v>1.6798934952104987E-2</c:v>
                </c:pt>
                <c:pt idx="96">
                  <c:v>-6.974355437616285E-3</c:v>
                </c:pt>
                <c:pt idx="97">
                  <c:v>1.8508480513660904E-3</c:v>
                </c:pt>
                <c:pt idx="98">
                  <c:v>1.2198897015978453E-2</c:v>
                </c:pt>
                <c:pt idx="99">
                  <c:v>1.4722927698867192E-2</c:v>
                </c:pt>
                <c:pt idx="100">
                  <c:v>-1.8930902668636942E-3</c:v>
                </c:pt>
                <c:pt idx="101">
                  <c:v>4.3995600790215708E-3</c:v>
                </c:pt>
                <c:pt idx="102">
                  <c:v>3.9872234124705185E-3</c:v>
                </c:pt>
                <c:pt idx="103">
                  <c:v>8.1996295943003328E-3</c:v>
                </c:pt>
                <c:pt idx="104">
                  <c:v>1.3174026452185125E-2</c:v>
                </c:pt>
                <c:pt idx="105">
                  <c:v>-2.6765741040554571E-3</c:v>
                </c:pt>
                <c:pt idx="106">
                  <c:v>2.5260138342486364E-2</c:v>
                </c:pt>
                <c:pt idx="107">
                  <c:v>1.1968532163956613E-2</c:v>
                </c:pt>
                <c:pt idx="108">
                  <c:v>-7.5310517816938377E-3</c:v>
                </c:pt>
                <c:pt idx="109">
                  <c:v>-5.6420292232589866E-3</c:v>
                </c:pt>
                <c:pt idx="110">
                  <c:v>-5.942378779099277E-2</c:v>
                </c:pt>
                <c:pt idx="111">
                  <c:v>1.1858080257970902E-2</c:v>
                </c:pt>
                <c:pt idx="112">
                  <c:v>9.2459198092998667E-3</c:v>
                </c:pt>
                <c:pt idx="113">
                  <c:v>1.9018357499615512E-2</c:v>
                </c:pt>
                <c:pt idx="114">
                  <c:v>-4.2089654004125454E-3</c:v>
                </c:pt>
                <c:pt idx="115">
                  <c:v>3.385322956377131E-4</c:v>
                </c:pt>
                <c:pt idx="116">
                  <c:v>-1.0168690298544503E-2</c:v>
                </c:pt>
                <c:pt idx="117">
                  <c:v>6.3483224130175724E-3</c:v>
                </c:pt>
                <c:pt idx="118">
                  <c:v>4.5467026667584841E-3</c:v>
                </c:pt>
                <c:pt idx="119">
                  <c:v>-2.5886149728612851E-2</c:v>
                </c:pt>
                <c:pt idx="120">
                  <c:v>1.0617024558722161E-2</c:v>
                </c:pt>
                <c:pt idx="121">
                  <c:v>-2.4084464488925192E-2</c:v>
                </c:pt>
                <c:pt idx="122">
                  <c:v>1.4544159624157454E-2</c:v>
                </c:pt>
                <c:pt idx="123">
                  <c:v>1.2681787388525066E-2</c:v>
                </c:pt>
                <c:pt idx="124">
                  <c:v>6.9339513749895601E-3</c:v>
                </c:pt>
                <c:pt idx="125">
                  <c:v>5.4453556044179409E-3</c:v>
                </c:pt>
                <c:pt idx="126">
                  <c:v>1.5272965861286025E-2</c:v>
                </c:pt>
                <c:pt idx="127">
                  <c:v>-1.0413815312659874E-2</c:v>
                </c:pt>
                <c:pt idx="128">
                  <c:v>7.5731396918036608E-3</c:v>
                </c:pt>
                <c:pt idx="129">
                  <c:v>-5.7556549393783405E-3</c:v>
                </c:pt>
                <c:pt idx="130">
                  <c:v>1.0112368859665353E-2</c:v>
                </c:pt>
                <c:pt idx="131">
                  <c:v>-8.7430980283650025E-3</c:v>
                </c:pt>
                <c:pt idx="132">
                  <c:v>1.2829285788616794E-2</c:v>
                </c:pt>
                <c:pt idx="133">
                  <c:v>9.0988822929016569E-3</c:v>
                </c:pt>
                <c:pt idx="134">
                  <c:v>-3.3453236333785075E-3</c:v>
                </c:pt>
                <c:pt idx="135">
                  <c:v>2.8484700277646982E-3</c:v>
                </c:pt>
                <c:pt idx="136">
                  <c:v>8.0026520963929534E-3</c:v>
                </c:pt>
                <c:pt idx="137">
                  <c:v>2.0788398120252689E-3</c:v>
                </c:pt>
                <c:pt idx="138">
                  <c:v>5.6295650063398336E-3</c:v>
                </c:pt>
                <c:pt idx="139">
                  <c:v>-1.2049896691655211E-2</c:v>
                </c:pt>
                <c:pt idx="140">
                  <c:v>-6.5076836543165222E-3</c:v>
                </c:pt>
                <c:pt idx="141">
                  <c:v>7.2195558872714671E-3</c:v>
                </c:pt>
                <c:pt idx="142">
                  <c:v>-6.4090565322817419E-3</c:v>
                </c:pt>
                <c:pt idx="143">
                  <c:v>1.2177338418989556E-2</c:v>
                </c:pt>
                <c:pt idx="144">
                  <c:v>-3.6207221407018987E-3</c:v>
                </c:pt>
                <c:pt idx="145">
                  <c:v>7.8247226309374421E-3</c:v>
                </c:pt>
                <c:pt idx="146">
                  <c:v>6.8816179396332623E-3</c:v>
                </c:pt>
                <c:pt idx="147">
                  <c:v>3.808778449776032E-3</c:v>
                </c:pt>
                <c:pt idx="148">
                  <c:v>6.145354654736401E-3</c:v>
                </c:pt>
                <c:pt idx="149">
                  <c:v>6.6158612413779582E-3</c:v>
                </c:pt>
                <c:pt idx="150">
                  <c:v>6.7116751258656029E-4</c:v>
                </c:pt>
                <c:pt idx="151">
                  <c:v>2.9380246540069489E-3</c:v>
                </c:pt>
                <c:pt idx="152">
                  <c:v>-8.3352980882189596E-3</c:v>
                </c:pt>
                <c:pt idx="153">
                  <c:v>1.3799579211982426E-2</c:v>
                </c:pt>
                <c:pt idx="154">
                  <c:v>-1.8557932663377033E-3</c:v>
                </c:pt>
                <c:pt idx="155">
                  <c:v>-1.6740445192490568E-5</c:v>
                </c:pt>
                <c:pt idx="156">
                  <c:v>3.125119103716132E-3</c:v>
                </c:pt>
                <c:pt idx="157">
                  <c:v>2.1115798043035922E-3</c:v>
                </c:pt>
                <c:pt idx="158">
                  <c:v>-4.2188346422813725E-3</c:v>
                </c:pt>
                <c:pt idx="159">
                  <c:v>3.0623362007774248E-3</c:v>
                </c:pt>
                <c:pt idx="160">
                  <c:v>3.4946516160261295E-3</c:v>
                </c:pt>
                <c:pt idx="161">
                  <c:v>1.0035720137650583E-2</c:v>
                </c:pt>
                <c:pt idx="162">
                  <c:v>3.4468213711635744E-3</c:v>
                </c:pt>
                <c:pt idx="163">
                  <c:v>9.9292212431109379E-3</c:v>
                </c:pt>
                <c:pt idx="164">
                  <c:v>2.1377941679089035E-3</c:v>
                </c:pt>
                <c:pt idx="165">
                  <c:v>6.3921909159476891E-3</c:v>
                </c:pt>
                <c:pt idx="166">
                  <c:v>-3.675574276892535E-3</c:v>
                </c:pt>
                <c:pt idx="167">
                  <c:v>9.3280613034048224E-3</c:v>
                </c:pt>
                <c:pt idx="168">
                  <c:v>1.4313947729773601E-2</c:v>
                </c:pt>
                <c:pt idx="169">
                  <c:v>-3.5066861482717829E-2</c:v>
                </c:pt>
                <c:pt idx="170">
                  <c:v>-8.244625543444942E-3</c:v>
                </c:pt>
                <c:pt idx="171">
                  <c:v>-2.7749523105956599E-2</c:v>
                </c:pt>
                <c:pt idx="172">
                  <c:v>1.95084293102941E-2</c:v>
                </c:pt>
                <c:pt idx="173">
                  <c:v>-1.7562610885716447E-2</c:v>
                </c:pt>
                <c:pt idx="174">
                  <c:v>4.6259157579980165E-4</c:v>
                </c:pt>
                <c:pt idx="175">
                  <c:v>1.303887084670948E-2</c:v>
                </c:pt>
                <c:pt idx="176">
                  <c:v>4.9931471004898568E-3</c:v>
                </c:pt>
                <c:pt idx="177">
                  <c:v>-4.0229283104864537E-3</c:v>
                </c:pt>
                <c:pt idx="178">
                  <c:v>-8.880565411906103E-3</c:v>
                </c:pt>
                <c:pt idx="179">
                  <c:v>-1.5620870523080036E-2</c:v>
                </c:pt>
                <c:pt idx="180">
                  <c:v>-1.1238419122769806E-2</c:v>
                </c:pt>
                <c:pt idx="181">
                  <c:v>1.0086480255985469E-2</c:v>
                </c:pt>
                <c:pt idx="182">
                  <c:v>-2.3510610403059923E-2</c:v>
                </c:pt>
                <c:pt idx="183">
                  <c:v>2.615534804414048E-3</c:v>
                </c:pt>
                <c:pt idx="184">
                  <c:v>1.5991202627074382E-2</c:v>
                </c:pt>
                <c:pt idx="185">
                  <c:v>1.6426519800454488E-2</c:v>
                </c:pt>
                <c:pt idx="186">
                  <c:v>-5.5073158820785157E-3</c:v>
                </c:pt>
                <c:pt idx="187">
                  <c:v>7.5068849226305684E-3</c:v>
                </c:pt>
                <c:pt idx="188">
                  <c:v>6.3530694045821528E-3</c:v>
                </c:pt>
                <c:pt idx="189">
                  <c:v>-9.5862099588925938E-3</c:v>
                </c:pt>
                <c:pt idx="190">
                  <c:v>1.753122115029004E-2</c:v>
                </c:pt>
                <c:pt idx="191">
                  <c:v>-1.4364359809442806E-2</c:v>
                </c:pt>
                <c:pt idx="192">
                  <c:v>1.7210433836209644E-2</c:v>
                </c:pt>
                <c:pt idx="193">
                  <c:v>8.7770721539424858E-3</c:v>
                </c:pt>
                <c:pt idx="194">
                  <c:v>8.8440633598709933E-3</c:v>
                </c:pt>
                <c:pt idx="195">
                  <c:v>1.5913182569372079E-2</c:v>
                </c:pt>
                <c:pt idx="196">
                  <c:v>-6.5939354511674562E-3</c:v>
                </c:pt>
                <c:pt idx="197">
                  <c:v>-6.3496325478724878E-3</c:v>
                </c:pt>
                <c:pt idx="198">
                  <c:v>-1.2830736825097354E-3</c:v>
                </c:pt>
                <c:pt idx="199">
                  <c:v>-6.5092779103395647E-4</c:v>
                </c:pt>
                <c:pt idx="200">
                  <c:v>-1.5366617955456637E-2</c:v>
                </c:pt>
                <c:pt idx="201">
                  <c:v>3.9513006764238731E-3</c:v>
                </c:pt>
                <c:pt idx="202">
                  <c:v>-1.9411690487880682E-3</c:v>
                </c:pt>
                <c:pt idx="203">
                  <c:v>5.4239490822874502E-3</c:v>
                </c:pt>
                <c:pt idx="204">
                  <c:v>3.3429632797786933E-3</c:v>
                </c:pt>
                <c:pt idx="205">
                  <c:v>-1.8699274641573352E-2</c:v>
                </c:pt>
                <c:pt idx="206">
                  <c:v>-3.4997458563749469E-3</c:v>
                </c:pt>
                <c:pt idx="207">
                  <c:v>-3.4823125267974042E-2</c:v>
                </c:pt>
                <c:pt idx="208">
                  <c:v>1.006574336687647E-2</c:v>
                </c:pt>
                <c:pt idx="209">
                  <c:v>-1.0526022436708568E-2</c:v>
                </c:pt>
                <c:pt idx="210">
                  <c:v>1.1099650216580558E-2</c:v>
                </c:pt>
                <c:pt idx="211">
                  <c:v>1.7455481634301492E-2</c:v>
                </c:pt>
                <c:pt idx="212">
                  <c:v>2.2056682945693084E-2</c:v>
                </c:pt>
                <c:pt idx="213">
                  <c:v>1.9268651994244771E-2</c:v>
                </c:pt>
                <c:pt idx="214">
                  <c:v>-2.7486946334146878E-4</c:v>
                </c:pt>
                <c:pt idx="215">
                  <c:v>1.2440962664795788E-2</c:v>
                </c:pt>
                <c:pt idx="216">
                  <c:v>-1.5141115896165867E-3</c:v>
                </c:pt>
                <c:pt idx="217">
                  <c:v>7.354654866458212E-3</c:v>
                </c:pt>
                <c:pt idx="218">
                  <c:v>-9.7946322101986373E-3</c:v>
                </c:pt>
                <c:pt idx="219">
                  <c:v>1.3703067533165513E-2</c:v>
                </c:pt>
                <c:pt idx="220">
                  <c:v>1.2358853525118667E-2</c:v>
                </c:pt>
                <c:pt idx="221">
                  <c:v>-5.4392153241405849E-3</c:v>
                </c:pt>
                <c:pt idx="222">
                  <c:v>-1.2154262355982158E-2</c:v>
                </c:pt>
                <c:pt idx="223">
                  <c:v>4.1549052279722803E-3</c:v>
                </c:pt>
                <c:pt idx="224">
                  <c:v>-6.9177657838578963E-3</c:v>
                </c:pt>
                <c:pt idx="225">
                  <c:v>5.9301040401638335E-3</c:v>
                </c:pt>
                <c:pt idx="226">
                  <c:v>1.5938814956691531E-2</c:v>
                </c:pt>
                <c:pt idx="227">
                  <c:v>-1.5893836359015467E-3</c:v>
                </c:pt>
                <c:pt idx="228">
                  <c:v>2.7346782284878072E-3</c:v>
                </c:pt>
                <c:pt idx="229">
                  <c:v>-4.4833476494267931E-3</c:v>
                </c:pt>
                <c:pt idx="230">
                  <c:v>1.0831604197909836E-2</c:v>
                </c:pt>
                <c:pt idx="231">
                  <c:v>2.0550719085853813E-3</c:v>
                </c:pt>
                <c:pt idx="232">
                  <c:v>-3.1910131129769695E-4</c:v>
                </c:pt>
                <c:pt idx="233">
                  <c:v>8.5342850051670568E-3</c:v>
                </c:pt>
                <c:pt idx="234">
                  <c:v>-2.1034298651181026E-3</c:v>
                </c:pt>
                <c:pt idx="235">
                  <c:v>2.8754142669364224E-3</c:v>
                </c:pt>
                <c:pt idx="236">
                  <c:v>-9.0557429899773348E-3</c:v>
                </c:pt>
                <c:pt idx="237">
                  <c:v>-3.7359125599021367E-4</c:v>
                </c:pt>
                <c:pt idx="238">
                  <c:v>-1.2196412621015124E-3</c:v>
                </c:pt>
                <c:pt idx="239">
                  <c:v>-4.5336857451387163E-3</c:v>
                </c:pt>
                <c:pt idx="240">
                  <c:v>1.338244194195797E-2</c:v>
                </c:pt>
                <c:pt idx="241">
                  <c:v>1.5216478826785252E-3</c:v>
                </c:pt>
                <c:pt idx="242">
                  <c:v>5.5300193864124443E-3</c:v>
                </c:pt>
                <c:pt idx="243">
                  <c:v>-8.3009061273677555E-3</c:v>
                </c:pt>
                <c:pt idx="244">
                  <c:v>-3.6283275492308737E-3</c:v>
                </c:pt>
                <c:pt idx="245">
                  <c:v>-1.7332742985808705E-3</c:v>
                </c:pt>
                <c:pt idx="246">
                  <c:v>8.5176285815332948E-4</c:v>
                </c:pt>
                <c:pt idx="247">
                  <c:v>3.8364387640174146E-3</c:v>
                </c:pt>
                <c:pt idx="248">
                  <c:v>8.5076665207180976E-3</c:v>
                </c:pt>
                <c:pt idx="249">
                  <c:v>-1.9559809449067587E-3</c:v>
                </c:pt>
                <c:pt idx="250">
                  <c:v>1.3793568607722215E-3</c:v>
                </c:pt>
                <c:pt idx="251">
                  <c:v>5.021489551557577E-3</c:v>
                </c:pt>
                <c:pt idx="252">
                  <c:v>-1.3753942538451866E-2</c:v>
                </c:pt>
                <c:pt idx="253">
                  <c:v>6.8173501993588782E-3</c:v>
                </c:pt>
                <c:pt idx="254">
                  <c:v>5.9142807322348249E-3</c:v>
                </c:pt>
                <c:pt idx="255">
                  <c:v>1.4701729529050345E-2</c:v>
                </c:pt>
                <c:pt idx="256">
                  <c:v>5.6351059921128065E-3</c:v>
                </c:pt>
                <c:pt idx="257">
                  <c:v>-6.8100572243791537E-3</c:v>
                </c:pt>
                <c:pt idx="258">
                  <c:v>1.6480370564867991E-4</c:v>
                </c:pt>
                <c:pt idx="259">
                  <c:v>2.6428791029858823E-3</c:v>
                </c:pt>
                <c:pt idx="260">
                  <c:v>-3.554509979895871E-3</c:v>
                </c:pt>
                <c:pt idx="261">
                  <c:v>-7.3658629674096462E-3</c:v>
                </c:pt>
                <c:pt idx="262">
                  <c:v>7.774914408479809E-3</c:v>
                </c:pt>
                <c:pt idx="263">
                  <c:v>1.3697329086107757E-2</c:v>
                </c:pt>
                <c:pt idx="264">
                  <c:v>8.6487556777233726E-4</c:v>
                </c:pt>
                <c:pt idx="265">
                  <c:v>-3.5921617679343038E-3</c:v>
                </c:pt>
                <c:pt idx="266">
                  <c:v>3.88960945810265E-3</c:v>
                </c:pt>
                <c:pt idx="267">
                  <c:v>-1.6085627639697555E-3</c:v>
                </c:pt>
                <c:pt idx="268">
                  <c:v>-2.4790502920025232E-2</c:v>
                </c:pt>
                <c:pt idx="269">
                  <c:v>8.5169980480858457E-3</c:v>
                </c:pt>
                <c:pt idx="270">
                  <c:v>-2.0269131905958283E-2</c:v>
                </c:pt>
                <c:pt idx="271">
                  <c:v>1.6462052999198035E-2</c:v>
                </c:pt>
                <c:pt idx="272">
                  <c:v>1.3994816660145475E-2</c:v>
                </c:pt>
                <c:pt idx="273">
                  <c:v>7.3952902732236849E-4</c:v>
                </c:pt>
                <c:pt idx="274">
                  <c:v>1.1255186433830918E-2</c:v>
                </c:pt>
                <c:pt idx="275">
                  <c:v>3.8817325721897823E-3</c:v>
                </c:pt>
                <c:pt idx="276">
                  <c:v>7.1495110917789845E-3</c:v>
                </c:pt>
                <c:pt idx="277">
                  <c:v>-7.1244632236584066E-4</c:v>
                </c:pt>
                <c:pt idx="278">
                  <c:v>-4.8214167406329959E-4</c:v>
                </c:pt>
                <c:pt idx="279">
                  <c:v>1.5673219548844491E-3</c:v>
                </c:pt>
                <c:pt idx="280">
                  <c:v>4.8811361318981785E-3</c:v>
                </c:pt>
                <c:pt idx="281">
                  <c:v>-9.1273687846828069E-4</c:v>
                </c:pt>
                <c:pt idx="282">
                  <c:v>1.8296137974855317E-4</c:v>
                </c:pt>
                <c:pt idx="283">
                  <c:v>-4.311480815772731E-3</c:v>
                </c:pt>
                <c:pt idx="284">
                  <c:v>-1.8139602515814997E-3</c:v>
                </c:pt>
                <c:pt idx="285">
                  <c:v>-7.767878408460693E-3</c:v>
                </c:pt>
                <c:pt idx="286">
                  <c:v>1.1672108168182111E-3</c:v>
                </c:pt>
                <c:pt idx="287">
                  <c:v>1.0912655535595256E-2</c:v>
                </c:pt>
                <c:pt idx="288">
                  <c:v>-2.4437251444413763E-2</c:v>
                </c:pt>
                <c:pt idx="289">
                  <c:v>-5.2123659276253802E-3</c:v>
                </c:pt>
                <c:pt idx="290">
                  <c:v>2.3904634505778222E-2</c:v>
                </c:pt>
                <c:pt idx="291">
                  <c:v>-7.8803087625572421E-3</c:v>
                </c:pt>
                <c:pt idx="292">
                  <c:v>-1.3380653952377891E-2</c:v>
                </c:pt>
                <c:pt idx="293">
                  <c:v>-1.2498444049805687E-2</c:v>
                </c:pt>
                <c:pt idx="294">
                  <c:v>1.8183003146960825E-2</c:v>
                </c:pt>
                <c:pt idx="295">
                  <c:v>-5.0376194387602626E-3</c:v>
                </c:pt>
                <c:pt idx="296">
                  <c:v>1.4130088941418406E-2</c:v>
                </c:pt>
                <c:pt idx="297">
                  <c:v>6.1589341151217216E-3</c:v>
                </c:pt>
                <c:pt idx="298">
                  <c:v>1.0041639513372801E-2</c:v>
                </c:pt>
                <c:pt idx="299">
                  <c:v>1.2994495631414452E-3</c:v>
                </c:pt>
                <c:pt idx="300">
                  <c:v>5.8994186417767958E-3</c:v>
                </c:pt>
                <c:pt idx="301">
                  <c:v>-1.3085450556076822E-3</c:v>
                </c:pt>
                <c:pt idx="302">
                  <c:v>3.357636896533193E-3</c:v>
                </c:pt>
                <c:pt idx="303">
                  <c:v>-1.4702978178619441E-2</c:v>
                </c:pt>
                <c:pt idx="304">
                  <c:v>-5.1683410184918295E-3</c:v>
                </c:pt>
                <c:pt idx="305">
                  <c:v>7.9068656184553016E-3</c:v>
                </c:pt>
                <c:pt idx="306">
                  <c:v>-7.9483735610650866E-3</c:v>
                </c:pt>
                <c:pt idx="307">
                  <c:v>-5.1428335175041874E-3</c:v>
                </c:pt>
                <c:pt idx="308">
                  <c:v>5.5633234085076394E-3</c:v>
                </c:pt>
                <c:pt idx="309">
                  <c:v>1.5940064012460464E-2</c:v>
                </c:pt>
                <c:pt idx="310">
                  <c:v>-5.5163217922360387E-4</c:v>
                </c:pt>
                <c:pt idx="311">
                  <c:v>-2.7029430177819926E-3</c:v>
                </c:pt>
                <c:pt idx="312">
                  <c:v>3.9987821125395994E-3</c:v>
                </c:pt>
                <c:pt idx="313">
                  <c:v>1.0694759346523402E-2</c:v>
                </c:pt>
                <c:pt idx="314">
                  <c:v>1.4204652175591359E-2</c:v>
                </c:pt>
                <c:pt idx="315">
                  <c:v>-6.3721236175088268E-4</c:v>
                </c:pt>
                <c:pt idx="316">
                  <c:v>1.1101956915835938E-3</c:v>
                </c:pt>
                <c:pt idx="317">
                  <c:v>4.6891374424353188E-3</c:v>
                </c:pt>
                <c:pt idx="318">
                  <c:v>7.1974172039419668E-3</c:v>
                </c:pt>
                <c:pt idx="319">
                  <c:v>3.1803391119364192E-4</c:v>
                </c:pt>
                <c:pt idx="320">
                  <c:v>2.9129429031240616E-3</c:v>
                </c:pt>
                <c:pt idx="321">
                  <c:v>-3.4674749621501988E-3</c:v>
                </c:pt>
                <c:pt idx="322">
                  <c:v>1.0638776799812833E-2</c:v>
                </c:pt>
                <c:pt idx="323">
                  <c:v>3.2903887073359346E-3</c:v>
                </c:pt>
                <c:pt idx="324">
                  <c:v>-4.9715409330913013E-3</c:v>
                </c:pt>
                <c:pt idx="325">
                  <c:v>-7.3949593075272862E-3</c:v>
                </c:pt>
                <c:pt idx="326">
                  <c:v>9.3712011609582875E-3</c:v>
                </c:pt>
                <c:pt idx="327">
                  <c:v>-9.2214693937906957E-3</c:v>
                </c:pt>
                <c:pt idx="328">
                  <c:v>1.0737623056634385E-2</c:v>
                </c:pt>
                <c:pt idx="329">
                  <c:v>2.0390279283900555E-3</c:v>
                </c:pt>
                <c:pt idx="330">
                  <c:v>-2.6196387814359868E-4</c:v>
                </c:pt>
                <c:pt idx="331">
                  <c:v>-3.3388126348597182E-4</c:v>
                </c:pt>
                <c:pt idx="332">
                  <c:v>6.3061350026324342E-3</c:v>
                </c:pt>
                <c:pt idx="333">
                  <c:v>-6.6385991910828399E-3</c:v>
                </c:pt>
                <c:pt idx="334">
                  <c:v>2.1079708255976534E-3</c:v>
                </c:pt>
                <c:pt idx="335">
                  <c:v>-6.234834303393031E-3</c:v>
                </c:pt>
                <c:pt idx="336">
                  <c:v>2.6630823903985848E-4</c:v>
                </c:pt>
                <c:pt idx="337">
                  <c:v>7.9074237631036586E-3</c:v>
                </c:pt>
                <c:pt idx="338">
                  <c:v>7.2052348238916351E-3</c:v>
                </c:pt>
                <c:pt idx="339">
                  <c:v>-9.9981808223660266E-3</c:v>
                </c:pt>
                <c:pt idx="340">
                  <c:v>-9.0112185272098987E-3</c:v>
                </c:pt>
                <c:pt idx="341">
                  <c:v>-2.1520619458364823E-2</c:v>
                </c:pt>
                <c:pt idx="342">
                  <c:v>1.1894524158547233E-2</c:v>
                </c:pt>
                <c:pt idx="343">
                  <c:v>1.5192237982598259E-2</c:v>
                </c:pt>
                <c:pt idx="344">
                  <c:v>-2.5942006502272358E-3</c:v>
                </c:pt>
                <c:pt idx="345">
                  <c:v>-8.6994688095352844E-3</c:v>
                </c:pt>
                <c:pt idx="346">
                  <c:v>-2.6716123833950218E-3</c:v>
                </c:pt>
                <c:pt idx="347">
                  <c:v>1.0654039083179927E-2</c:v>
                </c:pt>
                <c:pt idx="348">
                  <c:v>-8.6548862540862764E-4</c:v>
                </c:pt>
                <c:pt idx="349">
                  <c:v>1.0096205524025547E-2</c:v>
                </c:pt>
                <c:pt idx="350">
                  <c:v>-2.2675636960190668E-3</c:v>
                </c:pt>
                <c:pt idx="351">
                  <c:v>1.9361114002834742E-3</c:v>
                </c:pt>
                <c:pt idx="352">
                  <c:v>4.7840564072364872E-4</c:v>
                </c:pt>
                <c:pt idx="353">
                  <c:v>1.7407116466426357E-3</c:v>
                </c:pt>
                <c:pt idx="354">
                  <c:v>-9.2768525277233554E-4</c:v>
                </c:pt>
                <c:pt idx="355">
                  <c:v>1.5250003233722685E-3</c:v>
                </c:pt>
                <c:pt idx="356">
                  <c:v>-3.7647024299018025E-3</c:v>
                </c:pt>
                <c:pt idx="357">
                  <c:v>9.0578334177514007E-3</c:v>
                </c:pt>
                <c:pt idx="358">
                  <c:v>-1.0170840767989085E-3</c:v>
                </c:pt>
                <c:pt idx="359">
                  <c:v>1.6672287347943506E-4</c:v>
                </c:pt>
                <c:pt idx="360">
                  <c:v>-1.5394436722720511E-3</c:v>
                </c:pt>
                <c:pt idx="361">
                  <c:v>4.5912060331090099E-3</c:v>
                </c:pt>
                <c:pt idx="362">
                  <c:v>1.604670963962099E-3</c:v>
                </c:pt>
                <c:pt idx="363">
                  <c:v>2.1899978465481145E-3</c:v>
                </c:pt>
                <c:pt idx="364">
                  <c:v>-1.8822847605544195E-3</c:v>
                </c:pt>
                <c:pt idx="365">
                  <c:v>-5.6453753845667311E-3</c:v>
                </c:pt>
                <c:pt idx="366">
                  <c:v>-3.7815068611864243E-4</c:v>
                </c:pt>
                <c:pt idx="367">
                  <c:v>-1.6894919469402563E-2</c:v>
                </c:pt>
                <c:pt idx="368">
                  <c:v>1.4168077675421407E-2</c:v>
                </c:pt>
                <c:pt idx="369">
                  <c:v>5.2855271392624262E-3</c:v>
                </c:pt>
                <c:pt idx="370">
                  <c:v>-1.2525159106405353E-3</c:v>
                </c:pt>
                <c:pt idx="371">
                  <c:v>5.8519016113596552E-3</c:v>
                </c:pt>
                <c:pt idx="372">
                  <c:v>3.4993829890191332E-3</c:v>
                </c:pt>
                <c:pt idx="373">
                  <c:v>1.9674349791865709E-3</c:v>
                </c:pt>
                <c:pt idx="374">
                  <c:v>4.9147618562720102E-4</c:v>
                </c:pt>
                <c:pt idx="375">
                  <c:v>7.9492886812576418E-4</c:v>
                </c:pt>
                <c:pt idx="376">
                  <c:v>5.4749077768459446E-3</c:v>
                </c:pt>
                <c:pt idx="377">
                  <c:v>7.5680270118610952E-3</c:v>
                </c:pt>
                <c:pt idx="378">
                  <c:v>-1.8695410593137492E-3</c:v>
                </c:pt>
                <c:pt idx="379">
                  <c:v>3.4813999412597126E-3</c:v>
                </c:pt>
                <c:pt idx="380">
                  <c:v>-8.2278511742210677E-3</c:v>
                </c:pt>
                <c:pt idx="381">
                  <c:v>1.0571832865680841E-2</c:v>
                </c:pt>
                <c:pt idx="382">
                  <c:v>3.5290966680148299E-3</c:v>
                </c:pt>
                <c:pt idx="383">
                  <c:v>-3.4612393198187913E-3</c:v>
                </c:pt>
                <c:pt idx="384">
                  <c:v>1.4446880922231739E-3</c:v>
                </c:pt>
                <c:pt idx="385">
                  <c:v>-3.4678259548423288E-3</c:v>
                </c:pt>
                <c:pt idx="386">
                  <c:v>-7.9209395819858711E-3</c:v>
                </c:pt>
                <c:pt idx="387">
                  <c:v>-1.4924492597607685E-2</c:v>
                </c:pt>
                <c:pt idx="388">
                  <c:v>1.4182284782583085E-2</c:v>
                </c:pt>
                <c:pt idx="389">
                  <c:v>8.0172927603728451E-3</c:v>
                </c:pt>
                <c:pt idx="390">
                  <c:v>2.0455021692752312E-3</c:v>
                </c:pt>
                <c:pt idx="391">
                  <c:v>1.0188981781975906E-2</c:v>
                </c:pt>
                <c:pt idx="392">
                  <c:v>2.4054433434161039E-3</c:v>
                </c:pt>
                <c:pt idx="393">
                  <c:v>-4.6144626048374039E-3</c:v>
                </c:pt>
                <c:pt idx="394">
                  <c:v>-4.5652608925122887E-4</c:v>
                </c:pt>
                <c:pt idx="395">
                  <c:v>4.0923866330505061E-3</c:v>
                </c:pt>
                <c:pt idx="396">
                  <c:v>-4.9147215477870106E-3</c:v>
                </c:pt>
                <c:pt idx="397">
                  <c:v>-2.1466462136385919E-3</c:v>
                </c:pt>
                <c:pt idx="398">
                  <c:v>8.0561261695840745E-3</c:v>
                </c:pt>
                <c:pt idx="399">
                  <c:v>-4.9775282887323151E-3</c:v>
                </c:pt>
                <c:pt idx="400">
                  <c:v>6.2664656596057768E-3</c:v>
                </c:pt>
                <c:pt idx="401">
                  <c:v>1.6046885692965816E-3</c:v>
                </c:pt>
                <c:pt idx="402">
                  <c:v>-8.6033741335720293E-4</c:v>
                </c:pt>
                <c:pt idx="403">
                  <c:v>1.1967763445151691E-3</c:v>
                </c:pt>
                <c:pt idx="404">
                  <c:v>2.4353541702571892E-3</c:v>
                </c:pt>
                <c:pt idx="405">
                  <c:v>2.9460699211128778E-3</c:v>
                </c:pt>
                <c:pt idx="406">
                  <c:v>1.7716925313974912E-3</c:v>
                </c:pt>
                <c:pt idx="407">
                  <c:v>2.3054859622909569E-3</c:v>
                </c:pt>
                <c:pt idx="408">
                  <c:v>-6.6232583743397145E-3</c:v>
                </c:pt>
                <c:pt idx="409">
                  <c:v>-1.1051725218029555E-2</c:v>
                </c:pt>
                <c:pt idx="410">
                  <c:v>1.5007140742762618E-3</c:v>
                </c:pt>
                <c:pt idx="411">
                  <c:v>7.8791580796895421E-3</c:v>
                </c:pt>
                <c:pt idx="412">
                  <c:v>8.7115713124742804E-3</c:v>
                </c:pt>
                <c:pt idx="413">
                  <c:v>1.5397563170632868E-3</c:v>
                </c:pt>
                <c:pt idx="414">
                  <c:v>2.0497277575932675E-3</c:v>
                </c:pt>
                <c:pt idx="415">
                  <c:v>-5.9671089811563615E-3</c:v>
                </c:pt>
                <c:pt idx="416">
                  <c:v>8.85481367827963E-3</c:v>
                </c:pt>
                <c:pt idx="417">
                  <c:v>4.3414873422249513E-3</c:v>
                </c:pt>
                <c:pt idx="418">
                  <c:v>-1.5290741478012758E-3</c:v>
                </c:pt>
                <c:pt idx="419">
                  <c:v>4.8492106912825024E-4</c:v>
                </c:pt>
                <c:pt idx="420">
                  <c:v>3.0254309917497396E-3</c:v>
                </c:pt>
                <c:pt idx="421">
                  <c:v>-2.8918183599701305E-4</c:v>
                </c:pt>
                <c:pt idx="422">
                  <c:v>-3.628363548509715E-3</c:v>
                </c:pt>
                <c:pt idx="423">
                  <c:v>-1.2654408792577201E-3</c:v>
                </c:pt>
                <c:pt idx="424">
                  <c:v>-4.3358482987089289E-3</c:v>
                </c:pt>
                <c:pt idx="425">
                  <c:v>-7.9622141857505959E-3</c:v>
                </c:pt>
                <c:pt idx="426">
                  <c:v>2.5095693224455391E-3</c:v>
                </c:pt>
                <c:pt idx="427">
                  <c:v>-5.4576121371414611E-3</c:v>
                </c:pt>
                <c:pt idx="428">
                  <c:v>8.2715387864062094E-3</c:v>
                </c:pt>
                <c:pt idx="429">
                  <c:v>-1.6329324514847837E-3</c:v>
                </c:pt>
                <c:pt idx="430">
                  <c:v>-1.303377026073258E-2</c:v>
                </c:pt>
                <c:pt idx="431">
                  <c:v>-1.6861226642057595E-2</c:v>
                </c:pt>
                <c:pt idx="432">
                  <c:v>-9.9148839950974235E-4</c:v>
                </c:pt>
                <c:pt idx="433">
                  <c:v>9.6611600838358187E-3</c:v>
                </c:pt>
                <c:pt idx="434">
                  <c:v>1.2030354910440194E-2</c:v>
                </c:pt>
                <c:pt idx="435">
                  <c:v>1.5994025500650193E-3</c:v>
                </c:pt>
                <c:pt idx="436">
                  <c:v>-2.9114691641268986E-3</c:v>
                </c:pt>
                <c:pt idx="437">
                  <c:v>-2.0404062557301574E-2</c:v>
                </c:pt>
                <c:pt idx="438">
                  <c:v>1.635270109805152E-3</c:v>
                </c:pt>
                <c:pt idx="439">
                  <c:v>-1.2344085839708498E-2</c:v>
                </c:pt>
                <c:pt idx="440">
                  <c:v>1.1767742058140681E-2</c:v>
                </c:pt>
                <c:pt idx="441">
                  <c:v>-1.3026399421634378E-2</c:v>
                </c:pt>
                <c:pt idx="442">
                  <c:v>1.0304813852853926E-2</c:v>
                </c:pt>
                <c:pt idx="443">
                  <c:v>4.1010428115830491E-3</c:v>
                </c:pt>
                <c:pt idx="444">
                  <c:v>8.5620773582583739E-3</c:v>
                </c:pt>
                <c:pt idx="445">
                  <c:v>-1.871829525518067E-3</c:v>
                </c:pt>
                <c:pt idx="446">
                  <c:v>-7.3125197913074258E-3</c:v>
                </c:pt>
                <c:pt idx="447">
                  <c:v>-2.5109874077951498E-3</c:v>
                </c:pt>
                <c:pt idx="448">
                  <c:v>3.5447355090027456E-3</c:v>
                </c:pt>
                <c:pt idx="449">
                  <c:v>1.6634297273179569E-2</c:v>
                </c:pt>
                <c:pt idx="450">
                  <c:v>7.5405366915241032E-3</c:v>
                </c:pt>
                <c:pt idx="451">
                  <c:v>2.9097019489344495E-3</c:v>
                </c:pt>
                <c:pt idx="452">
                  <c:v>7.6388057837302008E-3</c:v>
                </c:pt>
                <c:pt idx="453">
                  <c:v>3.8736251722304325E-3</c:v>
                </c:pt>
                <c:pt idx="454">
                  <c:v>2.5584294136036805E-3</c:v>
                </c:pt>
                <c:pt idx="455">
                  <c:v>-1.0831438212778937E-3</c:v>
                </c:pt>
                <c:pt idx="456">
                  <c:v>5.3020605231385506E-3</c:v>
                </c:pt>
                <c:pt idx="457">
                  <c:v>8.5317763728172283E-4</c:v>
                </c:pt>
                <c:pt idx="458">
                  <c:v>-4.486484222682754E-3</c:v>
                </c:pt>
                <c:pt idx="459">
                  <c:v>9.5561708115701523E-3</c:v>
                </c:pt>
                <c:pt idx="460">
                  <c:v>1.980665423484131E-3</c:v>
                </c:pt>
                <c:pt idx="461">
                  <c:v>1.6722895577170936E-3</c:v>
                </c:pt>
                <c:pt idx="462">
                  <c:v>3.9885466407505107E-3</c:v>
                </c:pt>
                <c:pt idx="463">
                  <c:v>6.0402276762889489E-3</c:v>
                </c:pt>
                <c:pt idx="464">
                  <c:v>4.6550173543238966E-3</c:v>
                </c:pt>
                <c:pt idx="465">
                  <c:v>3.41718559846733E-3</c:v>
                </c:pt>
                <c:pt idx="466">
                  <c:v>8.0694122413532948E-4</c:v>
                </c:pt>
                <c:pt idx="467">
                  <c:v>-3.3573008592576543E-3</c:v>
                </c:pt>
                <c:pt idx="468">
                  <c:v>-8.1238086855413907E-3</c:v>
                </c:pt>
                <c:pt idx="469">
                  <c:v>2.7705993137619195E-4</c:v>
                </c:pt>
                <c:pt idx="470">
                  <c:v>7.4720808101509341E-3</c:v>
                </c:pt>
                <c:pt idx="471">
                  <c:v>2.9592726801248176E-4</c:v>
                </c:pt>
                <c:pt idx="472">
                  <c:v>3.9035717603392323E-3</c:v>
                </c:pt>
                <c:pt idx="473">
                  <c:v>-2.4786373188111313E-3</c:v>
                </c:pt>
                <c:pt idx="474">
                  <c:v>3.3442364957992441E-3</c:v>
                </c:pt>
                <c:pt idx="475">
                  <c:v>-1.8362907611378511E-3</c:v>
                </c:pt>
                <c:pt idx="476">
                  <c:v>-2.8655577904528728E-3</c:v>
                </c:pt>
                <c:pt idx="477">
                  <c:v>1.2786977231866977E-3</c:v>
                </c:pt>
                <c:pt idx="478">
                  <c:v>2.6198699483204304E-3</c:v>
                </c:pt>
                <c:pt idx="479">
                  <c:v>-2.2602075078648115E-2</c:v>
                </c:pt>
                <c:pt idx="480">
                  <c:v>1.2145543317482967E-2</c:v>
                </c:pt>
                <c:pt idx="481">
                  <c:v>-1.9695817501587068E-2</c:v>
                </c:pt>
                <c:pt idx="482">
                  <c:v>-1.1215782929186308E-2</c:v>
                </c:pt>
                <c:pt idx="483">
                  <c:v>1.5153775968859456E-2</c:v>
                </c:pt>
                <c:pt idx="484">
                  <c:v>-8.785861899425703E-3</c:v>
                </c:pt>
                <c:pt idx="485">
                  <c:v>1.1727312196029615E-2</c:v>
                </c:pt>
                <c:pt idx="486">
                  <c:v>2.0427390011901424E-2</c:v>
                </c:pt>
                <c:pt idx="487">
                  <c:v>2.598060067178927E-3</c:v>
                </c:pt>
                <c:pt idx="488">
                  <c:v>-6.8208996486350268E-3</c:v>
                </c:pt>
                <c:pt idx="489">
                  <c:v>9.3230708695088583E-3</c:v>
                </c:pt>
                <c:pt idx="490">
                  <c:v>-8.9442905641858011E-3</c:v>
                </c:pt>
                <c:pt idx="491">
                  <c:v>-6.9502014351842702E-3</c:v>
                </c:pt>
                <c:pt idx="492">
                  <c:v>1.5457757964536682E-2</c:v>
                </c:pt>
                <c:pt idx="493">
                  <c:v>-8.9040714577207098E-3</c:v>
                </c:pt>
                <c:pt idx="494">
                  <c:v>-1.4253421132272882E-2</c:v>
                </c:pt>
                <c:pt idx="495">
                  <c:v>-1.0736807476655135E-2</c:v>
                </c:pt>
                <c:pt idx="496">
                  <c:v>1.7556744810724525E-2</c:v>
                </c:pt>
                <c:pt idx="497">
                  <c:v>9.9026193814953645E-3</c:v>
                </c:pt>
                <c:pt idx="498">
                  <c:v>6.1563644458572462E-3</c:v>
                </c:pt>
                <c:pt idx="499">
                  <c:v>1.4006510900379545E-2</c:v>
                </c:pt>
                <c:pt idx="500">
                  <c:v>-8.639272806608225E-4</c:v>
                </c:pt>
                <c:pt idx="501">
                  <c:v>1.2319285995710033E-3</c:v>
                </c:pt>
                <c:pt idx="502">
                  <c:v>-2.8147705935938033E-3</c:v>
                </c:pt>
                <c:pt idx="503">
                  <c:v>-2.5697708136810976E-3</c:v>
                </c:pt>
              </c:numCache>
            </c:numRef>
          </c:xVal>
          <c:yVal>
            <c:numRef>
              <c:f>'2.4.'!$J$16:$J$519</c:f>
              <c:numCache>
                <c:formatCode>_(* #,##0.000000_);_(* \(#,##0.000000\);_(* "-"??_);_(@_)</c:formatCode>
                <c:ptCount val="504"/>
                <c:pt idx="0">
                  <c:v>-2.1028201965655725E-2</c:v>
                </c:pt>
                <c:pt idx="1">
                  <c:v>-1.4801205732770458E-3</c:v>
                </c:pt>
                <c:pt idx="2">
                  <c:v>-6.6680160298983725E-3</c:v>
                </c:pt>
                <c:pt idx="3">
                  <c:v>1.0012572755792697E-2</c:v>
                </c:pt>
                <c:pt idx="4">
                  <c:v>1.6678575626823552E-3</c:v>
                </c:pt>
                <c:pt idx="5">
                  <c:v>-8.3595049678651407E-3</c:v>
                </c:pt>
                <c:pt idx="6">
                  <c:v>9.1226901087009746E-3</c:v>
                </c:pt>
                <c:pt idx="7">
                  <c:v>7.3420676712422856E-3</c:v>
                </c:pt>
                <c:pt idx="8">
                  <c:v>-1.8621044610255683E-2</c:v>
                </c:pt>
                <c:pt idx="9">
                  <c:v>1.3947015237886649E-3</c:v>
                </c:pt>
                <c:pt idx="10">
                  <c:v>-3.3448848988308622E-4</c:v>
                </c:pt>
                <c:pt idx="11">
                  <c:v>-1.3095765549149671E-2</c:v>
                </c:pt>
                <c:pt idx="12">
                  <c:v>2.8681756486522774E-3</c:v>
                </c:pt>
                <c:pt idx="13">
                  <c:v>-7.0558030640048485E-3</c:v>
                </c:pt>
                <c:pt idx="14">
                  <c:v>-1.7191394799844106E-2</c:v>
                </c:pt>
                <c:pt idx="15">
                  <c:v>-2.0833440035871814E-2</c:v>
                </c:pt>
                <c:pt idx="16">
                  <c:v>1.175579648519934E-2</c:v>
                </c:pt>
                <c:pt idx="17">
                  <c:v>-6.9898526935745046E-3</c:v>
                </c:pt>
                <c:pt idx="18">
                  <c:v>1.4091271184744377E-2</c:v>
                </c:pt>
                <c:pt idx="19">
                  <c:v>-1.965194267920185E-2</c:v>
                </c:pt>
                <c:pt idx="20">
                  <c:v>4.2088969987099196E-3</c:v>
                </c:pt>
                <c:pt idx="21">
                  <c:v>1.9476642325401257E-2</c:v>
                </c:pt>
                <c:pt idx="22">
                  <c:v>3.1860273321796882E-2</c:v>
                </c:pt>
                <c:pt idx="23">
                  <c:v>-1.1994987481913815E-3</c:v>
                </c:pt>
                <c:pt idx="24">
                  <c:v>-1.7785306211078522E-3</c:v>
                </c:pt>
                <c:pt idx="25">
                  <c:v>2.2623747629767401E-3</c:v>
                </c:pt>
                <c:pt idx="26">
                  <c:v>2.2570564666832757E-3</c:v>
                </c:pt>
                <c:pt idx="27">
                  <c:v>4.258356380202822E-3</c:v>
                </c:pt>
                <c:pt idx="28">
                  <c:v>-3.3283842588547187E-4</c:v>
                </c:pt>
                <c:pt idx="29">
                  <c:v>-1.7666124818402238E-3</c:v>
                </c:pt>
                <c:pt idx="30">
                  <c:v>-1.6829229891443961E-2</c:v>
                </c:pt>
                <c:pt idx="31">
                  <c:v>1.2999125334203323E-2</c:v>
                </c:pt>
                <c:pt idx="32">
                  <c:v>3.6908188429550137E-3</c:v>
                </c:pt>
                <c:pt idx="33">
                  <c:v>-1.4206468661906934E-2</c:v>
                </c:pt>
                <c:pt idx="34">
                  <c:v>-4.8647437174394161E-2</c:v>
                </c:pt>
                <c:pt idx="35">
                  <c:v>-5.1773991585070955E-2</c:v>
                </c:pt>
                <c:pt idx="36">
                  <c:v>-1.4631033226191413E-2</c:v>
                </c:pt>
                <c:pt idx="37">
                  <c:v>-5.0257778444769197E-2</c:v>
                </c:pt>
                <c:pt idx="38">
                  <c:v>-2.1910912268166972E-2</c:v>
                </c:pt>
                <c:pt idx="39">
                  <c:v>3.0023229364495342E-2</c:v>
                </c:pt>
                <c:pt idx="40">
                  <c:v>-5.6784333589513757E-2</c:v>
                </c:pt>
                <c:pt idx="41">
                  <c:v>2.2754701721007718E-2</c:v>
                </c:pt>
                <c:pt idx="42">
                  <c:v>-5.8428058793281924E-2</c:v>
                </c:pt>
                <c:pt idx="43">
                  <c:v>-4.0821747556656914E-2</c:v>
                </c:pt>
                <c:pt idx="44">
                  <c:v>-0.15907088741942987</c:v>
                </c:pt>
                <c:pt idx="45">
                  <c:v>7.3768360096196042E-2</c:v>
                </c:pt>
                <c:pt idx="46">
                  <c:v>-4.0674315149412367E-2</c:v>
                </c:pt>
                <c:pt idx="47">
                  <c:v>-0.10017632100657692</c:v>
                </c:pt>
                <c:pt idx="48">
                  <c:v>0.16373937241089637</c:v>
                </c:pt>
                <c:pt idx="49">
                  <c:v>-0.16725103630253901</c:v>
                </c:pt>
                <c:pt idx="50">
                  <c:v>7.2592755068542916E-2</c:v>
                </c:pt>
                <c:pt idx="51">
                  <c:v>-5.5707275676982429E-2</c:v>
                </c:pt>
                <c:pt idx="52">
                  <c:v>1.9482651236616723E-2</c:v>
                </c:pt>
                <c:pt idx="53">
                  <c:v>-7.4952977848427527E-2</c:v>
                </c:pt>
                <c:pt idx="54">
                  <c:v>-8.4334706008366025E-2</c:v>
                </c:pt>
                <c:pt idx="55">
                  <c:v>0.15109720617914962</c:v>
                </c:pt>
                <c:pt idx="56">
                  <c:v>3.2766221959837825E-3</c:v>
                </c:pt>
                <c:pt idx="57">
                  <c:v>7.3926124799501031E-2</c:v>
                </c:pt>
                <c:pt idx="58">
                  <c:v>-5.0598707734259785E-2</c:v>
                </c:pt>
                <c:pt idx="59">
                  <c:v>2.0119241023165847E-2</c:v>
                </c:pt>
                <c:pt idx="60">
                  <c:v>-3.7490137140977521E-2</c:v>
                </c:pt>
                <c:pt idx="61">
                  <c:v>-7.1296067104067801E-2</c:v>
                </c:pt>
                <c:pt idx="62">
                  <c:v>3.9621637910911715E-2</c:v>
                </c:pt>
                <c:pt idx="63">
                  <c:v>-2.6648982558567492E-2</c:v>
                </c:pt>
                <c:pt idx="64">
                  <c:v>6.564594484515883E-2</c:v>
                </c:pt>
                <c:pt idx="65">
                  <c:v>3.4415975614748011E-2</c:v>
                </c:pt>
                <c:pt idx="66">
                  <c:v>5.743813904036895E-2</c:v>
                </c:pt>
                <c:pt idx="67">
                  <c:v>5.8343162618848053E-2</c:v>
                </c:pt>
                <c:pt idx="68">
                  <c:v>-3.8591585571562587E-2</c:v>
                </c:pt>
                <c:pt idx="69">
                  <c:v>-8.0212872061874406E-3</c:v>
                </c:pt>
                <c:pt idx="70">
                  <c:v>-6.714476207459813E-2</c:v>
                </c:pt>
                <c:pt idx="71">
                  <c:v>-3.5363100496328417E-2</c:v>
                </c:pt>
                <c:pt idx="72">
                  <c:v>8.3223129272205709E-2</c:v>
                </c:pt>
                <c:pt idx="73">
                  <c:v>-3.412574222429119E-2</c:v>
                </c:pt>
                <c:pt idx="74">
                  <c:v>-3.901828380352218E-2</c:v>
                </c:pt>
                <c:pt idx="75">
                  <c:v>7.3200872453340745E-3</c:v>
                </c:pt>
                <c:pt idx="76">
                  <c:v>3.1594363222044778E-3</c:v>
                </c:pt>
                <c:pt idx="77">
                  <c:v>1.4028718662115856E-2</c:v>
                </c:pt>
                <c:pt idx="78">
                  <c:v>5.6485599369282623E-2</c:v>
                </c:pt>
                <c:pt idx="79">
                  <c:v>1.7690522903357566E-2</c:v>
                </c:pt>
                <c:pt idx="80">
                  <c:v>3.6530486291849643E-2</c:v>
                </c:pt>
                <c:pt idx="81">
                  <c:v>-2.9948308220654748E-2</c:v>
                </c:pt>
                <c:pt idx="82">
                  <c:v>-4.1214983483300008E-2</c:v>
                </c:pt>
                <c:pt idx="83">
                  <c:v>-6.5667733415142558E-3</c:v>
                </c:pt>
                <c:pt idx="84">
                  <c:v>-1.1891269841381398E-2</c:v>
                </c:pt>
                <c:pt idx="85">
                  <c:v>-1.3821363111710882E-2</c:v>
                </c:pt>
                <c:pt idx="86">
                  <c:v>2.1640635156803034E-2</c:v>
                </c:pt>
                <c:pt idx="87">
                  <c:v>3.1414903588801793E-2</c:v>
                </c:pt>
                <c:pt idx="88">
                  <c:v>-4.2956586797952466E-2</c:v>
                </c:pt>
                <c:pt idx="89">
                  <c:v>-3.1995152604267912E-2</c:v>
                </c:pt>
                <c:pt idx="90">
                  <c:v>-4.6849542170995705E-2</c:v>
                </c:pt>
                <c:pt idx="91">
                  <c:v>3.9413834229662423E-2</c:v>
                </c:pt>
                <c:pt idx="92">
                  <c:v>-1.2561076259027736E-2</c:v>
                </c:pt>
                <c:pt idx="93">
                  <c:v>6.7141332095783268E-2</c:v>
                </c:pt>
                <c:pt idx="94">
                  <c:v>-3.1949887534905519E-2</c:v>
                </c:pt>
                <c:pt idx="95">
                  <c:v>3.0984429987639447E-2</c:v>
                </c:pt>
                <c:pt idx="96">
                  <c:v>-4.8301447663880474E-4</c:v>
                </c:pt>
                <c:pt idx="97">
                  <c:v>-1.0582083531762215E-2</c:v>
                </c:pt>
                <c:pt idx="98">
                  <c:v>6.9005282020008829E-2</c:v>
                </c:pt>
                <c:pt idx="99">
                  <c:v>6.7627616479727412E-2</c:v>
                </c:pt>
                <c:pt idx="100">
                  <c:v>-4.411335373131698E-2</c:v>
                </c:pt>
                <c:pt idx="101">
                  <c:v>-3.0265142795008866E-2</c:v>
                </c:pt>
                <c:pt idx="102">
                  <c:v>2.0065063972551221E-2</c:v>
                </c:pt>
                <c:pt idx="103">
                  <c:v>9.2559640908850584E-3</c:v>
                </c:pt>
                <c:pt idx="104">
                  <c:v>4.5210163016692291E-2</c:v>
                </c:pt>
                <c:pt idx="105">
                  <c:v>2.9897063038199067E-2</c:v>
                </c:pt>
                <c:pt idx="106">
                  <c:v>4.8423616083985391E-2</c:v>
                </c:pt>
                <c:pt idx="107">
                  <c:v>1.5134798558821366E-2</c:v>
                </c:pt>
                <c:pt idx="108">
                  <c:v>-1.1322094195451007E-2</c:v>
                </c:pt>
                <c:pt idx="109">
                  <c:v>-5.9166159208443064E-2</c:v>
                </c:pt>
                <c:pt idx="110">
                  <c:v>-0.10582474243880008</c:v>
                </c:pt>
                <c:pt idx="111">
                  <c:v>3.4857545709285918E-2</c:v>
                </c:pt>
                <c:pt idx="112">
                  <c:v>1.4774591773323078E-2</c:v>
                </c:pt>
                <c:pt idx="113">
                  <c:v>2.5470166810394951E-2</c:v>
                </c:pt>
                <c:pt idx="114">
                  <c:v>-3.1545095630799623E-2</c:v>
                </c:pt>
                <c:pt idx="115">
                  <c:v>1.5522927922685021E-3</c:v>
                </c:pt>
                <c:pt idx="116">
                  <c:v>8.3051809180425765E-3</c:v>
                </c:pt>
                <c:pt idx="117">
                  <c:v>-2.5313463536489861E-2</c:v>
                </c:pt>
                <c:pt idx="118">
                  <c:v>6.8347967193630923E-3</c:v>
                </c:pt>
                <c:pt idx="119">
                  <c:v>-4.0381114119756256E-2</c:v>
                </c:pt>
                <c:pt idx="120">
                  <c:v>3.7460543519290068E-2</c:v>
                </c:pt>
                <c:pt idx="121">
                  <c:v>-6.5664280628675589E-2</c:v>
                </c:pt>
                <c:pt idx="122">
                  <c:v>1.0267371492416065E-2</c:v>
                </c:pt>
                <c:pt idx="123">
                  <c:v>1.5227521313133914E-2</c:v>
                </c:pt>
                <c:pt idx="124">
                  <c:v>-2.0893811961560333E-2</c:v>
                </c:pt>
                <c:pt idx="125">
                  <c:v>1.2425082343026814E-3</c:v>
                </c:pt>
                <c:pt idx="126">
                  <c:v>1.5715346082562531E-2</c:v>
                </c:pt>
                <c:pt idx="127">
                  <c:v>-2.7903383074394682E-2</c:v>
                </c:pt>
                <c:pt idx="128">
                  <c:v>3.857284909044799E-3</c:v>
                </c:pt>
                <c:pt idx="129">
                  <c:v>-1.4435166023528241E-2</c:v>
                </c:pt>
                <c:pt idx="130">
                  <c:v>5.3396508004760757E-2</c:v>
                </c:pt>
                <c:pt idx="131">
                  <c:v>7.0060793986697961E-3</c:v>
                </c:pt>
                <c:pt idx="132">
                  <c:v>-2.1155375239790583E-3</c:v>
                </c:pt>
                <c:pt idx="133">
                  <c:v>1.8829798697503043E-2</c:v>
                </c:pt>
                <c:pt idx="134">
                  <c:v>-2.7659969589463838E-2</c:v>
                </c:pt>
                <c:pt idx="135">
                  <c:v>-3.0165354221965077E-2</c:v>
                </c:pt>
                <c:pt idx="136">
                  <c:v>1.5338490268050883E-2</c:v>
                </c:pt>
                <c:pt idx="137">
                  <c:v>3.4957145001905381E-2</c:v>
                </c:pt>
                <c:pt idx="138">
                  <c:v>-4.561108925955377E-3</c:v>
                </c:pt>
                <c:pt idx="139">
                  <c:v>9.3702223833048003E-3</c:v>
                </c:pt>
                <c:pt idx="140">
                  <c:v>-7.8190183255951052E-3</c:v>
                </c:pt>
                <c:pt idx="141">
                  <c:v>-8.7080624306419101E-3</c:v>
                </c:pt>
                <c:pt idx="142">
                  <c:v>9.0257986008822864E-3</c:v>
                </c:pt>
                <c:pt idx="143">
                  <c:v>3.6629049986977996E-2</c:v>
                </c:pt>
                <c:pt idx="144">
                  <c:v>-1.7209092906253411E-2</c:v>
                </c:pt>
                <c:pt idx="145">
                  <c:v>1.5625822342721144E-3</c:v>
                </c:pt>
                <c:pt idx="146">
                  <c:v>4.3650484044537316E-3</c:v>
                </c:pt>
                <c:pt idx="147">
                  <c:v>7.5357147123819156E-4</c:v>
                </c:pt>
                <c:pt idx="148">
                  <c:v>1.5033222255630795E-2</c:v>
                </c:pt>
                <c:pt idx="149">
                  <c:v>3.0994647033498815E-3</c:v>
                </c:pt>
                <c:pt idx="150">
                  <c:v>2.477066514824337E-2</c:v>
                </c:pt>
                <c:pt idx="151">
                  <c:v>1.7041513325766939E-2</c:v>
                </c:pt>
                <c:pt idx="152">
                  <c:v>1.3416751596865548E-2</c:v>
                </c:pt>
                <c:pt idx="153">
                  <c:v>-7.1294031971280807E-3</c:v>
                </c:pt>
                <c:pt idx="154">
                  <c:v>-1.4364683734884807E-2</c:v>
                </c:pt>
                <c:pt idx="155">
                  <c:v>4.4973126802098518E-3</c:v>
                </c:pt>
                <c:pt idx="156">
                  <c:v>-2.1815476104946392E-2</c:v>
                </c:pt>
                <c:pt idx="157">
                  <c:v>-1.4435166023528128E-2</c:v>
                </c:pt>
                <c:pt idx="158">
                  <c:v>-1.2222076604406331E-3</c:v>
                </c:pt>
                <c:pt idx="159">
                  <c:v>-1.5857034598070776E-2</c:v>
                </c:pt>
                <c:pt idx="160">
                  <c:v>-4.8387700117351745E-3</c:v>
                </c:pt>
                <c:pt idx="161">
                  <c:v>2.7979877852931989E-2</c:v>
                </c:pt>
                <c:pt idx="162">
                  <c:v>1.1948298328261268E-2</c:v>
                </c:pt>
                <c:pt idx="163">
                  <c:v>-1.711433708357657E-2</c:v>
                </c:pt>
                <c:pt idx="164">
                  <c:v>1.8942710118613405E-2</c:v>
                </c:pt>
                <c:pt idx="165">
                  <c:v>9.5047424129144145E-3</c:v>
                </c:pt>
                <c:pt idx="166">
                  <c:v>-2.1569165587166931E-2</c:v>
                </c:pt>
                <c:pt idx="167">
                  <c:v>-1.2126094616109679E-3</c:v>
                </c:pt>
                <c:pt idx="168">
                  <c:v>1.1939023235132558E-2</c:v>
                </c:pt>
                <c:pt idx="169">
                  <c:v>-1.3978542468297368E-2</c:v>
                </c:pt>
                <c:pt idx="170">
                  <c:v>3.3673241145142391E-2</c:v>
                </c:pt>
                <c:pt idx="171">
                  <c:v>-4.0805626771527416E-2</c:v>
                </c:pt>
                <c:pt idx="172">
                  <c:v>1.1302728783289494E-3</c:v>
                </c:pt>
                <c:pt idx="173">
                  <c:v>-1.4656757563047311E-2</c:v>
                </c:pt>
                <c:pt idx="174">
                  <c:v>1.41718204308506E-2</c:v>
                </c:pt>
                <c:pt idx="175">
                  <c:v>9.7097463739360835E-3</c:v>
                </c:pt>
                <c:pt idx="176">
                  <c:v>-1.8467486402516987E-2</c:v>
                </c:pt>
                <c:pt idx="177">
                  <c:v>1.2532353635431613E-2</c:v>
                </c:pt>
                <c:pt idx="178">
                  <c:v>-9.8600500197531943E-3</c:v>
                </c:pt>
                <c:pt idx="179">
                  <c:v>-5.5844174087922903E-3</c:v>
                </c:pt>
                <c:pt idx="180">
                  <c:v>-2.9839292316676772E-2</c:v>
                </c:pt>
                <c:pt idx="181">
                  <c:v>-2.1943605896181696E-2</c:v>
                </c:pt>
                <c:pt idx="182">
                  <c:v>-2.8861981610737292E-2</c:v>
                </c:pt>
                <c:pt idx="183">
                  <c:v>3.3870511964629651E-3</c:v>
                </c:pt>
                <c:pt idx="184">
                  <c:v>6.359743240982936E-3</c:v>
                </c:pt>
                <c:pt idx="185">
                  <c:v>2.5175589384530066E-2</c:v>
                </c:pt>
                <c:pt idx="186">
                  <c:v>-1.3418963826105992E-2</c:v>
                </c:pt>
                <c:pt idx="187">
                  <c:v>1.3326106683248825E-2</c:v>
                </c:pt>
                <c:pt idx="188">
                  <c:v>3.6859529840081913E-4</c:v>
                </c:pt>
                <c:pt idx="189">
                  <c:v>4.5075018819292221E-3</c:v>
                </c:pt>
                <c:pt idx="190">
                  <c:v>1.67469212349118E-2</c:v>
                </c:pt>
                <c:pt idx="191">
                  <c:v>-1.0252681690621223E-2</c:v>
                </c:pt>
                <c:pt idx="192">
                  <c:v>2.066497166243509E-2</c:v>
                </c:pt>
                <c:pt idx="193">
                  <c:v>1.4319341230605109E-2</c:v>
                </c:pt>
                <c:pt idx="194">
                  <c:v>4.6966633245842816E-3</c:v>
                </c:pt>
                <c:pt idx="195">
                  <c:v>1.2492920681306601E-2</c:v>
                </c:pt>
                <c:pt idx="196">
                  <c:v>-2.8885085195661315E-2</c:v>
                </c:pt>
                <c:pt idx="197">
                  <c:v>-5.4826439999739893E-2</c:v>
                </c:pt>
                <c:pt idx="198">
                  <c:v>2.2144140757936834E-2</c:v>
                </c:pt>
                <c:pt idx="199">
                  <c:v>3.6733525311035105E-3</c:v>
                </c:pt>
                <c:pt idx="200">
                  <c:v>-2.1732015643017553E-2</c:v>
                </c:pt>
                <c:pt idx="201">
                  <c:v>1.7505212968432188E-2</c:v>
                </c:pt>
                <c:pt idx="202">
                  <c:v>-3.7816476890438484E-3</c:v>
                </c:pt>
                <c:pt idx="203">
                  <c:v>3.3480832692114645E-2</c:v>
                </c:pt>
                <c:pt idx="204">
                  <c:v>1.1591170839198961E-3</c:v>
                </c:pt>
                <c:pt idx="205">
                  <c:v>-1.4609792759325127E-2</c:v>
                </c:pt>
                <c:pt idx="206">
                  <c:v>-2.8566650519843605E-2</c:v>
                </c:pt>
                <c:pt idx="207">
                  <c:v>-1.6107636042846797E-2</c:v>
                </c:pt>
                <c:pt idx="208">
                  <c:v>2.9316633977699248E-3</c:v>
                </c:pt>
                <c:pt idx="209">
                  <c:v>6.7275177375262923E-3</c:v>
                </c:pt>
                <c:pt idx="210">
                  <c:v>1.5860143728106152E-2</c:v>
                </c:pt>
                <c:pt idx="211">
                  <c:v>2.4970254345039505E-2</c:v>
                </c:pt>
                <c:pt idx="212">
                  <c:v>-4.1813921912711847E-2</c:v>
                </c:pt>
                <c:pt idx="213">
                  <c:v>3.8475625815731024E-2</c:v>
                </c:pt>
                <c:pt idx="214">
                  <c:v>-1.2311504646361122E-2</c:v>
                </c:pt>
                <c:pt idx="215">
                  <c:v>0.13266191873914321</c:v>
                </c:pt>
                <c:pt idx="216">
                  <c:v>-3.6552379734201804E-3</c:v>
                </c:pt>
                <c:pt idx="217">
                  <c:v>-1.1682923512237276E-2</c:v>
                </c:pt>
                <c:pt idx="218">
                  <c:v>-2.410829645079925E-2</c:v>
                </c:pt>
                <c:pt idx="219">
                  <c:v>1.1501474016467601E-2</c:v>
                </c:pt>
                <c:pt idx="220">
                  <c:v>2.1207577789398063E-2</c:v>
                </c:pt>
                <c:pt idx="221">
                  <c:v>-1.1347653376607627E-3</c:v>
                </c:pt>
                <c:pt idx="222">
                  <c:v>-2.0953113390742285E-2</c:v>
                </c:pt>
                <c:pt idx="223">
                  <c:v>-4.6428571428571423E-5</c:v>
                </c:pt>
                <c:pt idx="224">
                  <c:v>-6.3673271031705059E-3</c:v>
                </c:pt>
                <c:pt idx="225">
                  <c:v>2.1356602455690397E-2</c:v>
                </c:pt>
                <c:pt idx="226">
                  <c:v>5.638152504612097E-2</c:v>
                </c:pt>
                <c:pt idx="227">
                  <c:v>1.6774125725737036E-3</c:v>
                </c:pt>
                <c:pt idx="228">
                  <c:v>-1.425263674403077E-3</c:v>
                </c:pt>
                <c:pt idx="229">
                  <c:v>-2.9094840215151001E-2</c:v>
                </c:pt>
                <c:pt idx="230">
                  <c:v>1.8599670132003178E-2</c:v>
                </c:pt>
                <c:pt idx="231">
                  <c:v>1.2767599577434813E-2</c:v>
                </c:pt>
                <c:pt idx="232">
                  <c:v>-5.2215306853107069E-3</c:v>
                </c:pt>
                <c:pt idx="233">
                  <c:v>1.3012176239958793E-2</c:v>
                </c:pt>
                <c:pt idx="234">
                  <c:v>-6.8981169039604466E-3</c:v>
                </c:pt>
                <c:pt idx="235">
                  <c:v>-5.5617820904950649E-3</c:v>
                </c:pt>
                <c:pt idx="236">
                  <c:v>-4.55016041757203E-3</c:v>
                </c:pt>
                <c:pt idx="237">
                  <c:v>1.0659942044202945E-2</c:v>
                </c:pt>
                <c:pt idx="238">
                  <c:v>-1.8770970086278687E-2</c:v>
                </c:pt>
                <c:pt idx="239">
                  <c:v>-1.2372698389442337E-2</c:v>
                </c:pt>
                <c:pt idx="240">
                  <c:v>1.4726967096348414E-2</c:v>
                </c:pt>
                <c:pt idx="241">
                  <c:v>2.7429735161500208E-3</c:v>
                </c:pt>
                <c:pt idx="242">
                  <c:v>3.7763388988588634E-3</c:v>
                </c:pt>
                <c:pt idx="243">
                  <c:v>-5.6116603264607916E-3</c:v>
                </c:pt>
                <c:pt idx="244">
                  <c:v>3.6595232565301769E-2</c:v>
                </c:pt>
                <c:pt idx="245">
                  <c:v>-1.8028253203787859E-2</c:v>
                </c:pt>
                <c:pt idx="246">
                  <c:v>2.8305116010138482E-2</c:v>
                </c:pt>
                <c:pt idx="247">
                  <c:v>-3.0459309036264029E-3</c:v>
                </c:pt>
                <c:pt idx="248">
                  <c:v>5.6117659217625234E-3</c:v>
                </c:pt>
                <c:pt idx="249">
                  <c:v>-4.03712226136265E-3</c:v>
                </c:pt>
                <c:pt idx="250">
                  <c:v>-1.0465953492526903E-3</c:v>
                </c:pt>
                <c:pt idx="251">
                  <c:v>1.090076982383152E-2</c:v>
                </c:pt>
                <c:pt idx="252">
                  <c:v>-9.3272376459013154E-3</c:v>
                </c:pt>
                <c:pt idx="253">
                  <c:v>7.5833977935424535E-3</c:v>
                </c:pt>
                <c:pt idx="254">
                  <c:v>6.0539313751989864E-2</c:v>
                </c:pt>
                <c:pt idx="255">
                  <c:v>2.1797233354065179E-2</c:v>
                </c:pt>
                <c:pt idx="256">
                  <c:v>-1.0139800695290432E-2</c:v>
                </c:pt>
                <c:pt idx="257">
                  <c:v>1.6417357937012791E-2</c:v>
                </c:pt>
                <c:pt idx="258">
                  <c:v>1.7637233197529953E-2</c:v>
                </c:pt>
                <c:pt idx="259">
                  <c:v>-6.0059217754104936E-3</c:v>
                </c:pt>
                <c:pt idx="260">
                  <c:v>1.5669239577918236E-2</c:v>
                </c:pt>
                <c:pt idx="261">
                  <c:v>-2.9302246414351672E-2</c:v>
                </c:pt>
                <c:pt idx="262">
                  <c:v>-7.3435117258068014E-3</c:v>
                </c:pt>
                <c:pt idx="263">
                  <c:v>-1.3255037133190999E-2</c:v>
                </c:pt>
                <c:pt idx="264">
                  <c:v>-1.782883443896472E-2</c:v>
                </c:pt>
                <c:pt idx="265">
                  <c:v>-6.9952878656311512E-3</c:v>
                </c:pt>
                <c:pt idx="266">
                  <c:v>-1.2484796556103225E-2</c:v>
                </c:pt>
                <c:pt idx="267">
                  <c:v>-7.1318044290559473E-3</c:v>
                </c:pt>
                <c:pt idx="268">
                  <c:v>-3.6581675189691583E-2</c:v>
                </c:pt>
                <c:pt idx="269">
                  <c:v>1.6246533676085344E-2</c:v>
                </c:pt>
                <c:pt idx="270">
                  <c:v>-2.2391863901865126E-2</c:v>
                </c:pt>
                <c:pt idx="271">
                  <c:v>1.035460463385578E-2</c:v>
                </c:pt>
                <c:pt idx="272">
                  <c:v>3.504489123984162E-2</c:v>
                </c:pt>
                <c:pt idx="273">
                  <c:v>1.7523101795778505E-2</c:v>
                </c:pt>
                <c:pt idx="274">
                  <c:v>2.8669651936767272E-2</c:v>
                </c:pt>
                <c:pt idx="275">
                  <c:v>-4.0544499689675051E-3</c:v>
                </c:pt>
                <c:pt idx="276">
                  <c:v>2.1952625423939425E-2</c:v>
                </c:pt>
                <c:pt idx="277">
                  <c:v>-4.2862895564331604E-3</c:v>
                </c:pt>
                <c:pt idx="278">
                  <c:v>8.6362761150795685E-4</c:v>
                </c:pt>
                <c:pt idx="279">
                  <c:v>-3.0831755149021262E-3</c:v>
                </c:pt>
                <c:pt idx="280">
                  <c:v>1.4746294003874678E-2</c:v>
                </c:pt>
                <c:pt idx="281">
                  <c:v>2.6566614551806405E-2</c:v>
                </c:pt>
                <c:pt idx="282">
                  <c:v>4.030455351442694E-3</c:v>
                </c:pt>
                <c:pt idx="283">
                  <c:v>-6.4604447296076721E-3</c:v>
                </c:pt>
                <c:pt idx="284">
                  <c:v>1.0138440495894012E-2</c:v>
                </c:pt>
                <c:pt idx="285">
                  <c:v>1.7460116966712843E-2</c:v>
                </c:pt>
                <c:pt idx="286">
                  <c:v>1.0424871295866864E-2</c:v>
                </c:pt>
                <c:pt idx="287">
                  <c:v>2.3876826394578363E-2</c:v>
                </c:pt>
                <c:pt idx="288">
                  <c:v>-1.2493000535977437E-2</c:v>
                </c:pt>
                <c:pt idx="289">
                  <c:v>-3.4591199823161022E-2</c:v>
                </c:pt>
                <c:pt idx="290">
                  <c:v>3.0594266332810909E-2</c:v>
                </c:pt>
                <c:pt idx="291">
                  <c:v>-7.337543316427185E-3</c:v>
                </c:pt>
                <c:pt idx="292">
                  <c:v>2.4694235695097613E-2</c:v>
                </c:pt>
                <c:pt idx="293">
                  <c:v>2.1477577175553898E-3</c:v>
                </c:pt>
                <c:pt idx="294">
                  <c:v>1.1665539704597383E-2</c:v>
                </c:pt>
                <c:pt idx="295">
                  <c:v>5.3546107530883218E-3</c:v>
                </c:pt>
                <c:pt idx="296">
                  <c:v>-2.2103143027324749E-2</c:v>
                </c:pt>
                <c:pt idx="297">
                  <c:v>2.8453261192871292E-2</c:v>
                </c:pt>
                <c:pt idx="298">
                  <c:v>-3.5312196599546152E-3</c:v>
                </c:pt>
                <c:pt idx="299">
                  <c:v>1.8576083526573063E-2</c:v>
                </c:pt>
                <c:pt idx="300">
                  <c:v>-5.066917383262988E-3</c:v>
                </c:pt>
                <c:pt idx="301">
                  <c:v>-2.9645895492833303E-3</c:v>
                </c:pt>
                <c:pt idx="302">
                  <c:v>8.1557605530316081E-3</c:v>
                </c:pt>
                <c:pt idx="303">
                  <c:v>2.5706067530985977E-2</c:v>
                </c:pt>
                <c:pt idx="304">
                  <c:v>-1.0631269877415857E-2</c:v>
                </c:pt>
                <c:pt idx="305">
                  <c:v>-2.2885063980488608E-2</c:v>
                </c:pt>
                <c:pt idx="306">
                  <c:v>-2.0433400753953408E-2</c:v>
                </c:pt>
                <c:pt idx="307">
                  <c:v>-4.6428571428571423E-5</c:v>
                </c:pt>
                <c:pt idx="308">
                  <c:v>2.0340543611096128E-2</c:v>
                </c:pt>
                <c:pt idx="309">
                  <c:v>2.667771878465872E-2</c:v>
                </c:pt>
                <c:pt idx="310">
                  <c:v>-9.6581404439644355E-3</c:v>
                </c:pt>
                <c:pt idx="311">
                  <c:v>1.7547815710519686E-2</c:v>
                </c:pt>
                <c:pt idx="312">
                  <c:v>-7.7704628535130117E-3</c:v>
                </c:pt>
                <c:pt idx="313">
                  <c:v>2.0419878014708084E-2</c:v>
                </c:pt>
                <c:pt idx="314">
                  <c:v>7.7730084204052632E-3</c:v>
                </c:pt>
                <c:pt idx="315">
                  <c:v>-2.8140740668466022E-3</c:v>
                </c:pt>
                <c:pt idx="316">
                  <c:v>8.9829781479655851E-3</c:v>
                </c:pt>
                <c:pt idx="317">
                  <c:v>-8.8239143926519808E-3</c:v>
                </c:pt>
                <c:pt idx="318">
                  <c:v>7.2318065941537214E-3</c:v>
                </c:pt>
                <c:pt idx="319">
                  <c:v>1.7024788075166908E-3</c:v>
                </c:pt>
                <c:pt idx="320">
                  <c:v>-1.8691463530135011E-2</c:v>
                </c:pt>
                <c:pt idx="321">
                  <c:v>1.409522124324325E-2</c:v>
                </c:pt>
                <c:pt idx="322">
                  <c:v>-2.9048715686216336E-2</c:v>
                </c:pt>
                <c:pt idx="323">
                  <c:v>1.048133588653364E-2</c:v>
                </c:pt>
                <c:pt idx="324">
                  <c:v>4.6429666949936545E-4</c:v>
                </c:pt>
                <c:pt idx="325">
                  <c:v>-2.8268366326003998E-2</c:v>
                </c:pt>
                <c:pt idx="326">
                  <c:v>1.6620623913783071E-2</c:v>
                </c:pt>
                <c:pt idx="327">
                  <c:v>-9.3874409645673083E-3</c:v>
                </c:pt>
                <c:pt idx="328">
                  <c:v>2.110473392972868E-2</c:v>
                </c:pt>
                <c:pt idx="329">
                  <c:v>5.8067501190888805E-3</c:v>
                </c:pt>
                <c:pt idx="330">
                  <c:v>1.1808925315296736E-2</c:v>
                </c:pt>
                <c:pt idx="331">
                  <c:v>3.7077993394160412E-3</c:v>
                </c:pt>
                <c:pt idx="332">
                  <c:v>2.6575799333876198E-2</c:v>
                </c:pt>
                <c:pt idx="333">
                  <c:v>-1.425538884099835E-2</c:v>
                </c:pt>
                <c:pt idx="334">
                  <c:v>6.9349007128194297E-4</c:v>
                </c:pt>
                <c:pt idx="335">
                  <c:v>1.0743278849951453E-2</c:v>
                </c:pt>
                <c:pt idx="336">
                  <c:v>9.4208104849046684E-3</c:v>
                </c:pt>
                <c:pt idx="337">
                  <c:v>1.4821950849221111E-2</c:v>
                </c:pt>
                <c:pt idx="338">
                  <c:v>3.9920612979092293E-3</c:v>
                </c:pt>
                <c:pt idx="339">
                  <c:v>-3.1332172031001628E-3</c:v>
                </c:pt>
                <c:pt idx="340">
                  <c:v>-1.1527061725839505E-2</c:v>
                </c:pt>
                <c:pt idx="341">
                  <c:v>-9.4724802363312603E-3</c:v>
                </c:pt>
                <c:pt idx="342">
                  <c:v>1.5853689585595614E-2</c:v>
                </c:pt>
                <c:pt idx="343">
                  <c:v>1.2305272405109566E-2</c:v>
                </c:pt>
                <c:pt idx="344">
                  <c:v>8.8843005863674177E-3</c:v>
                </c:pt>
                <c:pt idx="345">
                  <c:v>-1.3709774229323348E-2</c:v>
                </c:pt>
                <c:pt idx="346">
                  <c:v>-4.5632554590358566E-3</c:v>
                </c:pt>
                <c:pt idx="347">
                  <c:v>-2.431925885876143E-3</c:v>
                </c:pt>
                <c:pt idx="348">
                  <c:v>1.2532353635431613E-2</c:v>
                </c:pt>
                <c:pt idx="349">
                  <c:v>5.3634399677782961E-3</c:v>
                </c:pt>
                <c:pt idx="350">
                  <c:v>-1.4696974167256918E-2</c:v>
                </c:pt>
                <c:pt idx="351">
                  <c:v>6.6743225603103896E-4</c:v>
                </c:pt>
                <c:pt idx="352">
                  <c:v>1.2011880439204146E-2</c:v>
                </c:pt>
                <c:pt idx="353">
                  <c:v>-3.8137982262658916E-3</c:v>
                </c:pt>
                <c:pt idx="354">
                  <c:v>1.2379003826523505E-2</c:v>
                </c:pt>
                <c:pt idx="355">
                  <c:v>4.1944611670865616E-4</c:v>
                </c:pt>
                <c:pt idx="356">
                  <c:v>7.1470123558248621E-3</c:v>
                </c:pt>
                <c:pt idx="357">
                  <c:v>4.1589228747663165E-4</c:v>
                </c:pt>
                <c:pt idx="358">
                  <c:v>-3.5190562074804087E-3</c:v>
                </c:pt>
                <c:pt idx="359">
                  <c:v>-5.6278384096236124E-3</c:v>
                </c:pt>
                <c:pt idx="360">
                  <c:v>-1.3192157783931189E-2</c:v>
                </c:pt>
                <c:pt idx="361">
                  <c:v>-1.5044924228767107E-2</c:v>
                </c:pt>
                <c:pt idx="362">
                  <c:v>4.0229965537196656E-3</c:v>
                </c:pt>
                <c:pt idx="363">
                  <c:v>-1.2062915389108595E-2</c:v>
                </c:pt>
                <c:pt idx="364">
                  <c:v>6.7864698903880385E-4</c:v>
                </c:pt>
                <c:pt idx="365">
                  <c:v>5.4950866334187928E-3</c:v>
                </c:pt>
                <c:pt idx="366">
                  <c:v>-4.4760337246524909E-2</c:v>
                </c:pt>
                <c:pt idx="367">
                  <c:v>-2.6008691047314743E-2</c:v>
                </c:pt>
                <c:pt idx="368">
                  <c:v>2.4658762714406594E-2</c:v>
                </c:pt>
                <c:pt idx="369">
                  <c:v>5.4729030514625862E-3</c:v>
                </c:pt>
                <c:pt idx="370">
                  <c:v>5.6913943303147883E-3</c:v>
                </c:pt>
                <c:pt idx="371">
                  <c:v>1.5503681135080414E-2</c:v>
                </c:pt>
                <c:pt idx="372">
                  <c:v>1.9117287062575442E-2</c:v>
                </c:pt>
                <c:pt idx="373">
                  <c:v>-1.4890833058901595E-3</c:v>
                </c:pt>
                <c:pt idx="374">
                  <c:v>-1.6299060425904361E-2</c:v>
                </c:pt>
                <c:pt idx="375">
                  <c:v>8.2341837708290386E-3</c:v>
                </c:pt>
                <c:pt idx="376">
                  <c:v>7.4442431577290873E-3</c:v>
                </c:pt>
                <c:pt idx="377">
                  <c:v>-9.4793198963160647E-3</c:v>
                </c:pt>
                <c:pt idx="378">
                  <c:v>-2.664243104645413E-2</c:v>
                </c:pt>
                <c:pt idx="379">
                  <c:v>-8.0645121191408216E-3</c:v>
                </c:pt>
                <c:pt idx="380">
                  <c:v>-2.4751619857263749E-2</c:v>
                </c:pt>
                <c:pt idx="381">
                  <c:v>3.1927876061085533E-2</c:v>
                </c:pt>
                <c:pt idx="382">
                  <c:v>1.4581326981186998E-2</c:v>
                </c:pt>
                <c:pt idx="383">
                  <c:v>-1.9179823786415411E-2</c:v>
                </c:pt>
                <c:pt idx="384">
                  <c:v>-2.5454299406783221E-2</c:v>
                </c:pt>
                <c:pt idx="385">
                  <c:v>-8.1872877714672741E-4</c:v>
                </c:pt>
                <c:pt idx="386">
                  <c:v>-2.3760894928183368E-2</c:v>
                </c:pt>
                <c:pt idx="387">
                  <c:v>-2.6500877093777821E-2</c:v>
                </c:pt>
                <c:pt idx="388">
                  <c:v>2.0324149843143579E-2</c:v>
                </c:pt>
                <c:pt idx="389">
                  <c:v>2.017750431016117E-2</c:v>
                </c:pt>
                <c:pt idx="390">
                  <c:v>-1.3132194990335173E-2</c:v>
                </c:pt>
                <c:pt idx="391">
                  <c:v>-6.9193078591905238E-3</c:v>
                </c:pt>
                <c:pt idx="392">
                  <c:v>1.1294850844078651E-2</c:v>
                </c:pt>
                <c:pt idx="393">
                  <c:v>-3.9880970567613225E-3</c:v>
                </c:pt>
                <c:pt idx="394">
                  <c:v>3.8952399139041147E-3</c:v>
                </c:pt>
                <c:pt idx="395">
                  <c:v>1.4274868144192614E-2</c:v>
                </c:pt>
                <c:pt idx="396">
                  <c:v>-8.3538491412846888E-3</c:v>
                </c:pt>
                <c:pt idx="397">
                  <c:v>-1.0528704844938914E-2</c:v>
                </c:pt>
                <c:pt idx="398">
                  <c:v>1.5376697696182676E-2</c:v>
                </c:pt>
                <c:pt idx="399">
                  <c:v>-7.3362291431560362E-3</c:v>
                </c:pt>
                <c:pt idx="400">
                  <c:v>1.9361607185925788E-2</c:v>
                </c:pt>
                <c:pt idx="401">
                  <c:v>2.8501676626376822E-2</c:v>
                </c:pt>
                <c:pt idx="402">
                  <c:v>1.2821850954933921E-2</c:v>
                </c:pt>
                <c:pt idx="403">
                  <c:v>1.8468107598748642E-2</c:v>
                </c:pt>
                <c:pt idx="404">
                  <c:v>1.2426748252476222E-2</c:v>
                </c:pt>
                <c:pt idx="405">
                  <c:v>4.7098229632207044E-3</c:v>
                </c:pt>
                <c:pt idx="406">
                  <c:v>-1.2460051812408881E-2</c:v>
                </c:pt>
                <c:pt idx="407">
                  <c:v>-8.2471498803138605E-3</c:v>
                </c:pt>
                <c:pt idx="408">
                  <c:v>-4.9019855741089203E-3</c:v>
                </c:pt>
                <c:pt idx="409">
                  <c:v>-7.3742581372800058E-3</c:v>
                </c:pt>
                <c:pt idx="410">
                  <c:v>-1.4865173439785957E-2</c:v>
                </c:pt>
                <c:pt idx="411">
                  <c:v>4.4222978323110364E-3</c:v>
                </c:pt>
                <c:pt idx="412">
                  <c:v>1.3241168505029093E-2</c:v>
                </c:pt>
                <c:pt idx="413">
                  <c:v>1.3790422848590738E-2</c:v>
                </c:pt>
                <c:pt idx="414">
                  <c:v>1.5976872515109319E-2</c:v>
                </c:pt>
                <c:pt idx="415">
                  <c:v>-2.6595670105426274E-3</c:v>
                </c:pt>
                <c:pt idx="416">
                  <c:v>1.060077954654126E-2</c:v>
                </c:pt>
                <c:pt idx="417">
                  <c:v>-1.9773746865322916E-2</c:v>
                </c:pt>
                <c:pt idx="418">
                  <c:v>2.1115868926101177E-3</c:v>
                </c:pt>
                <c:pt idx="419">
                  <c:v>-1.3550371420303754E-2</c:v>
                </c:pt>
                <c:pt idx="420">
                  <c:v>-4.182184375183297E-3</c:v>
                </c:pt>
                <c:pt idx="421">
                  <c:v>6.8465468277406768E-4</c:v>
                </c:pt>
                <c:pt idx="422">
                  <c:v>6.5093797815721161E-3</c:v>
                </c:pt>
                <c:pt idx="423">
                  <c:v>-1.3201307676557203E-2</c:v>
                </c:pt>
                <c:pt idx="424">
                  <c:v>3.6250967865739262E-3</c:v>
                </c:pt>
                <c:pt idx="425">
                  <c:v>-1.6302944212377317E-2</c:v>
                </c:pt>
                <c:pt idx="426">
                  <c:v>1.6454376798351981E-2</c:v>
                </c:pt>
                <c:pt idx="427">
                  <c:v>-2.7282576088174471E-2</c:v>
                </c:pt>
                <c:pt idx="428">
                  <c:v>7.4554820803658991E-3</c:v>
                </c:pt>
                <c:pt idx="429">
                  <c:v>7.6468715648800025E-3</c:v>
                </c:pt>
                <c:pt idx="430">
                  <c:v>1.188902036564015E-3</c:v>
                </c:pt>
                <c:pt idx="431">
                  <c:v>-3.49702139164993E-2</c:v>
                </c:pt>
                <c:pt idx="432">
                  <c:v>4.6481888346974829E-4</c:v>
                </c:pt>
                <c:pt idx="433">
                  <c:v>2.5437478574442472E-2</c:v>
                </c:pt>
                <c:pt idx="434">
                  <c:v>3.7841519953084893E-2</c:v>
                </c:pt>
                <c:pt idx="435">
                  <c:v>1.068968791190898E-2</c:v>
                </c:pt>
                <c:pt idx="436">
                  <c:v>2.6184583577441113E-2</c:v>
                </c:pt>
                <c:pt idx="437">
                  <c:v>-2.3607087064074057E-3</c:v>
                </c:pt>
                <c:pt idx="438">
                  <c:v>-2.1338698953431421E-3</c:v>
                </c:pt>
                <c:pt idx="439">
                  <c:v>-1.4546214880091415E-2</c:v>
                </c:pt>
                <c:pt idx="440">
                  <c:v>1.4685510959402761E-2</c:v>
                </c:pt>
                <c:pt idx="441">
                  <c:v>5.9707152485968095E-3</c:v>
                </c:pt>
                <c:pt idx="442">
                  <c:v>2.0054750749658515E-2</c:v>
                </c:pt>
                <c:pt idx="443">
                  <c:v>4.0575321335066051E-4</c:v>
                </c:pt>
                <c:pt idx="444">
                  <c:v>-2.7625914002062718E-3</c:v>
                </c:pt>
                <c:pt idx="445">
                  <c:v>4.9275812314353434E-3</c:v>
                </c:pt>
                <c:pt idx="446">
                  <c:v>-1.2756540664877169E-2</c:v>
                </c:pt>
                <c:pt idx="447">
                  <c:v>-5.5434648597440647E-3</c:v>
                </c:pt>
                <c:pt idx="448">
                  <c:v>-9.2758434168196038E-3</c:v>
                </c:pt>
                <c:pt idx="449">
                  <c:v>4.3719767170117912E-2</c:v>
                </c:pt>
                <c:pt idx="450">
                  <c:v>2.8389433129384019E-2</c:v>
                </c:pt>
                <c:pt idx="451">
                  <c:v>-1.989224649322096E-3</c:v>
                </c:pt>
                <c:pt idx="452">
                  <c:v>4.2657816467513345E-3</c:v>
                </c:pt>
                <c:pt idx="453">
                  <c:v>1.2992123140378887E-2</c:v>
                </c:pt>
                <c:pt idx="454">
                  <c:v>-5.583069631441482E-3</c:v>
                </c:pt>
                <c:pt idx="455">
                  <c:v>1.5631858677311095E-2</c:v>
                </c:pt>
                <c:pt idx="456">
                  <c:v>-1.3085238167888206E-3</c:v>
                </c:pt>
                <c:pt idx="457">
                  <c:v>9.3806863890550859E-3</c:v>
                </c:pt>
                <c:pt idx="458">
                  <c:v>-1.9415455140370675E-2</c:v>
                </c:pt>
                <c:pt idx="459">
                  <c:v>1.5562409735863399E-2</c:v>
                </c:pt>
                <c:pt idx="460">
                  <c:v>-4.6428571428571423E-5</c:v>
                </c:pt>
                <c:pt idx="461">
                  <c:v>1.4175474298712598E-3</c:v>
                </c:pt>
                <c:pt idx="462">
                  <c:v>5.8033421938053918E-4</c:v>
                </c:pt>
                <c:pt idx="463">
                  <c:v>1.0135477573690712E-2</c:v>
                </c:pt>
                <c:pt idx="464">
                  <c:v>-2.1781871488163781E-2</c:v>
                </c:pt>
                <c:pt idx="465">
                  <c:v>-7.68167245068149E-3</c:v>
                </c:pt>
                <c:pt idx="466">
                  <c:v>7.8000754755057225E-3</c:v>
                </c:pt>
                <c:pt idx="467">
                  <c:v>-9.8108873885092689E-3</c:v>
                </c:pt>
                <c:pt idx="468">
                  <c:v>7.391710067839819E-3</c:v>
                </c:pt>
                <c:pt idx="469">
                  <c:v>5.4434500815763618E-3</c:v>
                </c:pt>
                <c:pt idx="470">
                  <c:v>-1.2334718792092478E-2</c:v>
                </c:pt>
                <c:pt idx="471">
                  <c:v>2.933565119593431E-3</c:v>
                </c:pt>
                <c:pt idx="472">
                  <c:v>5.9098778925881158E-4</c:v>
                </c:pt>
                <c:pt idx="473">
                  <c:v>-1.2227367727498939E-2</c:v>
                </c:pt>
                <c:pt idx="474">
                  <c:v>-4.1399385426944E-3</c:v>
                </c:pt>
                <c:pt idx="475">
                  <c:v>-2.010815678886611E-2</c:v>
                </c:pt>
                <c:pt idx="476">
                  <c:v>1.9151368706745057E-2</c:v>
                </c:pt>
                <c:pt idx="477">
                  <c:v>2.5973380143691067E-2</c:v>
                </c:pt>
                <c:pt idx="478">
                  <c:v>2.6866752007449171E-3</c:v>
                </c:pt>
                <c:pt idx="479">
                  <c:v>-4.0098896312655251E-2</c:v>
                </c:pt>
                <c:pt idx="480">
                  <c:v>-3.7683814176209156E-3</c:v>
                </c:pt>
                <c:pt idx="481">
                  <c:v>-2.4920018274173641E-2</c:v>
                </c:pt>
                <c:pt idx="482">
                  <c:v>-1.4314590454273479E-2</c:v>
                </c:pt>
                <c:pt idx="483">
                  <c:v>2.3621981582651986E-2</c:v>
                </c:pt>
                <c:pt idx="484">
                  <c:v>-2.3030766187146813E-2</c:v>
                </c:pt>
                <c:pt idx="485">
                  <c:v>6.3157833004178349E-3</c:v>
                </c:pt>
                <c:pt idx="486">
                  <c:v>1.2557834624491762E-2</c:v>
                </c:pt>
                <c:pt idx="487">
                  <c:v>-1.2424216848478104E-2</c:v>
                </c:pt>
                <c:pt idx="488">
                  <c:v>7.3986142776819959E-3</c:v>
                </c:pt>
                <c:pt idx="489">
                  <c:v>6.2765301796514244E-4</c:v>
                </c:pt>
                <c:pt idx="490">
                  <c:v>-2.1386625462298928E-2</c:v>
                </c:pt>
                <c:pt idx="491">
                  <c:v>1.2495065193553648E-2</c:v>
                </c:pt>
                <c:pt idx="492">
                  <c:v>-4.3611848964203717E-3</c:v>
                </c:pt>
                <c:pt idx="493">
                  <c:v>2.3790994242426988E-2</c:v>
                </c:pt>
                <c:pt idx="494">
                  <c:v>-2.5250282934718791E-2</c:v>
                </c:pt>
                <c:pt idx="495">
                  <c:v>-1.6590923588524348E-2</c:v>
                </c:pt>
                <c:pt idx="496">
                  <c:v>2.35379501812862E-2</c:v>
                </c:pt>
                <c:pt idx="497">
                  <c:v>1.9881601263591069E-3</c:v>
                </c:pt>
                <c:pt idx="498">
                  <c:v>3.1102820544167196E-3</c:v>
                </c:pt>
                <c:pt idx="499">
                  <c:v>4.8940710353455492E-3</c:v>
                </c:pt>
                <c:pt idx="500">
                  <c:v>1.2967549750391883E-3</c:v>
                </c:pt>
                <c:pt idx="501">
                  <c:v>-1.6136515497732261E-3</c:v>
                </c:pt>
                <c:pt idx="502">
                  <c:v>-2.2895878789961272E-3</c:v>
                </c:pt>
                <c:pt idx="503">
                  <c:v>-9.4510308708911335E-4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B6-42F8-8FC3-36823DC45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156944"/>
        <c:axId val="701153336"/>
      </c:scatterChart>
      <c:valAx>
        <c:axId val="70115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00_);_(* \(#,##0.0000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3336"/>
        <c:crosses val="autoZero"/>
        <c:crossBetween val="midCat"/>
      </c:valAx>
      <c:valAx>
        <c:axId val="70115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00_);_(* \(#,##0.0000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077357830271216"/>
                  <c:y val="-0.286730460775736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'2.4.'!$L$16:$L$519</c:f>
              <c:numCache>
                <c:formatCode>_(* #,##0.000000_);_(* \(#,##0.000000\);_(* "-"??_);_(@_)</c:formatCode>
                <c:ptCount val="504"/>
                <c:pt idx="0">
                  <c:v>-7.647503358654638E-3</c:v>
                </c:pt>
                <c:pt idx="1">
                  <c:v>3.7613308470386274E-3</c:v>
                </c:pt>
                <c:pt idx="2">
                  <c:v>-2.862155171458131E-3</c:v>
                </c:pt>
                <c:pt idx="3">
                  <c:v>5.268952156139442E-3</c:v>
                </c:pt>
                <c:pt idx="4">
                  <c:v>6.7113916481532131E-3</c:v>
                </c:pt>
                <c:pt idx="5">
                  <c:v>-2.9282749463174977E-3</c:v>
                </c:pt>
                <c:pt idx="6">
                  <c:v>6.8073142564455073E-3</c:v>
                </c:pt>
                <c:pt idx="7">
                  <c:v>-1.5722146471105159E-3</c:v>
                </c:pt>
                <c:pt idx="8">
                  <c:v>2.2109087302215145E-3</c:v>
                </c:pt>
                <c:pt idx="9">
                  <c:v>8.2375167848410119E-3</c:v>
                </c:pt>
                <c:pt idx="10">
                  <c:v>3.0612722717574931E-3</c:v>
                </c:pt>
                <c:pt idx="11">
                  <c:v>-2.0064744307467085E-3</c:v>
                </c:pt>
                <c:pt idx="12">
                  <c:v>7.4300633112523375E-5</c:v>
                </c:pt>
                <c:pt idx="13">
                  <c:v>1.0997725011832331E-3</c:v>
                </c:pt>
                <c:pt idx="14">
                  <c:v>-8.9792500110212059E-3</c:v>
                </c:pt>
                <c:pt idx="15">
                  <c:v>-1.6205732773883829E-2</c:v>
                </c:pt>
                <c:pt idx="16">
                  <c:v>1.037818035526927E-2</c:v>
                </c:pt>
                <c:pt idx="17">
                  <c:v>-8.7273579048445093E-4</c:v>
                </c:pt>
                <c:pt idx="18">
                  <c:v>3.1936781910625908E-3</c:v>
                </c:pt>
                <c:pt idx="19">
                  <c:v>-1.8371266500457589E-2</c:v>
                </c:pt>
                <c:pt idx="20">
                  <c:v>7.3547045390367147E-3</c:v>
                </c:pt>
                <c:pt idx="21">
                  <c:v>1.5079858794550968E-2</c:v>
                </c:pt>
                <c:pt idx="22">
                  <c:v>1.1435447628647878E-2</c:v>
                </c:pt>
                <c:pt idx="23">
                  <c:v>3.3127012142773714E-3</c:v>
                </c:pt>
                <c:pt idx="24">
                  <c:v>-5.3903423365205087E-3</c:v>
                </c:pt>
                <c:pt idx="25">
                  <c:v>7.3912256767748518E-3</c:v>
                </c:pt>
                <c:pt idx="26">
                  <c:v>1.685070204305377E-3</c:v>
                </c:pt>
                <c:pt idx="27">
                  <c:v>6.3756664032685326E-3</c:v>
                </c:pt>
                <c:pt idx="28">
                  <c:v>-1.1139177013834685E-3</c:v>
                </c:pt>
                <c:pt idx="29">
                  <c:v>1.5543781024995556E-3</c:v>
                </c:pt>
                <c:pt idx="30">
                  <c:v>-2.6267690062789107E-3</c:v>
                </c:pt>
                <c:pt idx="31">
                  <c:v>4.7234561887652448E-3</c:v>
                </c:pt>
                <c:pt idx="32">
                  <c:v>-4.1631842263482287E-3</c:v>
                </c:pt>
                <c:pt idx="33">
                  <c:v>-1.0398086421241862E-2</c:v>
                </c:pt>
                <c:pt idx="34">
                  <c:v>-3.377427866598879E-2</c:v>
                </c:pt>
                <c:pt idx="35">
                  <c:v>-3.0817118005974167E-2</c:v>
                </c:pt>
                <c:pt idx="36">
                  <c:v>-3.731444357227622E-3</c:v>
                </c:pt>
                <c:pt idx="37">
                  <c:v>-4.5997928932793058E-2</c:v>
                </c:pt>
                <c:pt idx="38">
                  <c:v>-4.2568192836659087E-3</c:v>
                </c:pt>
                <c:pt idx="39">
                  <c:v>4.2348620899751561E-2</c:v>
                </c:pt>
                <c:pt idx="40">
                  <c:v>-2.909677036974942E-2</c:v>
                </c:pt>
                <c:pt idx="41">
                  <c:v>4.1127222735430249E-2</c:v>
                </c:pt>
                <c:pt idx="42">
                  <c:v>-3.3853197382458483E-2</c:v>
                </c:pt>
                <c:pt idx="43">
                  <c:v>-1.6715703729571183E-2</c:v>
                </c:pt>
                <c:pt idx="44">
                  <c:v>-8.1359020402043292E-2</c:v>
                </c:pt>
                <c:pt idx="45">
                  <c:v>5.040415222865862E-2</c:v>
                </c:pt>
                <c:pt idx="46">
                  <c:v>-5.0023067074232284E-2</c:v>
                </c:pt>
                <c:pt idx="47">
                  <c:v>-0.10061534498897863</c:v>
                </c:pt>
                <c:pt idx="48">
                  <c:v>8.1981638892080835E-2</c:v>
                </c:pt>
                <c:pt idx="49">
                  <c:v>-0.11593296430043583</c:v>
                </c:pt>
                <c:pt idx="50">
                  <c:v>5.2538505753201015E-2</c:v>
                </c:pt>
                <c:pt idx="51">
                  <c:v>-5.2006167502139676E-2</c:v>
                </c:pt>
                <c:pt idx="52">
                  <c:v>2.0763168095500029E-3</c:v>
                </c:pt>
                <c:pt idx="53">
                  <c:v>-4.9959837788755616E-2</c:v>
                </c:pt>
                <c:pt idx="54">
                  <c:v>-2.5947157003585811E-2</c:v>
                </c:pt>
                <c:pt idx="55">
                  <c:v>8.6684577204880653E-2</c:v>
                </c:pt>
                <c:pt idx="56">
                  <c:v>1.4812807150533449E-2</c:v>
                </c:pt>
                <c:pt idx="57">
                  <c:v>5.6702196259090627E-2</c:v>
                </c:pt>
                <c:pt idx="58">
                  <c:v>-3.0284634602942388E-2</c:v>
                </c:pt>
                <c:pt idx="59">
                  <c:v>3.1913112876026065E-2</c:v>
                </c:pt>
                <c:pt idx="60">
                  <c:v>-1.5064038492576011E-2</c:v>
                </c:pt>
                <c:pt idx="61">
                  <c:v>-4.6095445264288278E-2</c:v>
                </c:pt>
                <c:pt idx="62">
                  <c:v>2.2766721914073702E-2</c:v>
                </c:pt>
                <c:pt idx="63">
                  <c:v>-1.4606103390939189E-2</c:v>
                </c:pt>
                <c:pt idx="64">
                  <c:v>6.4960374057188575E-2</c:v>
                </c:pt>
                <c:pt idx="65">
                  <c:v>9.7245866553034833E-4</c:v>
                </c:pt>
                <c:pt idx="66">
                  <c:v>3.2970889138470488E-2</c:v>
                </c:pt>
                <c:pt idx="67">
                  <c:v>1.5056261472237478E-2</c:v>
                </c:pt>
                <c:pt idx="68">
                  <c:v>-9.2184857944782161E-3</c:v>
                </c:pt>
                <c:pt idx="69">
                  <c:v>2.9019877185667942E-2</c:v>
                </c:pt>
                <c:pt idx="70">
                  <c:v>-2.1523525122832621E-2</c:v>
                </c:pt>
                <c:pt idx="71">
                  <c:v>4.7662804988626503E-3</c:v>
                </c:pt>
                <c:pt idx="72">
                  <c:v>2.6610503882993103E-2</c:v>
                </c:pt>
                <c:pt idx="73">
                  <c:v>-1.7821389278419378E-2</c:v>
                </c:pt>
                <c:pt idx="74">
                  <c:v>-3.0880236262684359E-2</c:v>
                </c:pt>
                <c:pt idx="75">
                  <c:v>2.1905407372396261E-2</c:v>
                </c:pt>
                <c:pt idx="76">
                  <c:v>-1.1809004266939997E-4</c:v>
                </c:pt>
                <c:pt idx="77">
                  <c:v>1.3795977314489387E-2</c:v>
                </c:pt>
                <c:pt idx="78">
                  <c:v>1.4269103085263706E-2</c:v>
                </c:pt>
                <c:pt idx="79">
                  <c:v>-4.6555362107498057E-3</c:v>
                </c:pt>
                <c:pt idx="80">
                  <c:v>2.5795338297138173E-2</c:v>
                </c:pt>
                <c:pt idx="81">
                  <c:v>-9.4007773082395163E-3</c:v>
                </c:pt>
                <c:pt idx="82">
                  <c:v>-2.6876582959219769E-2</c:v>
                </c:pt>
                <c:pt idx="83">
                  <c:v>2.7080049801947656E-3</c:v>
                </c:pt>
                <c:pt idx="84">
                  <c:v>9.1504910695942299E-3</c:v>
                </c:pt>
                <c:pt idx="85">
                  <c:v>-6.8482218517183467E-3</c:v>
                </c:pt>
                <c:pt idx="86">
                  <c:v>1.1948190081181448E-2</c:v>
                </c:pt>
                <c:pt idx="87">
                  <c:v>1.6364337570431216E-2</c:v>
                </c:pt>
                <c:pt idx="88">
                  <c:v>1.5872067536755908E-4</c:v>
                </c:pt>
                <c:pt idx="89">
                  <c:v>-2.0179366824522784E-2</c:v>
                </c:pt>
                <c:pt idx="90">
                  <c:v>-1.789053270635807E-2</c:v>
                </c:pt>
                <c:pt idx="91">
                  <c:v>1.1849858714884857E-2</c:v>
                </c:pt>
                <c:pt idx="92">
                  <c:v>4.5400127287672917E-3</c:v>
                </c:pt>
                <c:pt idx="93">
                  <c:v>2.9958574897994576E-2</c:v>
                </c:pt>
                <c:pt idx="94">
                  <c:v>-1.0370727647081175E-2</c:v>
                </c:pt>
                <c:pt idx="95">
                  <c:v>1.6798934952104987E-2</c:v>
                </c:pt>
                <c:pt idx="96">
                  <c:v>-6.974355437616285E-3</c:v>
                </c:pt>
                <c:pt idx="97">
                  <c:v>1.8508480513660904E-3</c:v>
                </c:pt>
                <c:pt idx="98">
                  <c:v>1.2198897015978453E-2</c:v>
                </c:pt>
                <c:pt idx="99">
                  <c:v>1.4722927698867192E-2</c:v>
                </c:pt>
                <c:pt idx="100">
                  <c:v>-1.8930902668636942E-3</c:v>
                </c:pt>
                <c:pt idx="101">
                  <c:v>4.3995600790215708E-3</c:v>
                </c:pt>
                <c:pt idx="102">
                  <c:v>3.9872234124705185E-3</c:v>
                </c:pt>
                <c:pt idx="103">
                  <c:v>8.1996295943003328E-3</c:v>
                </c:pt>
                <c:pt idx="104">
                  <c:v>1.3174026452185125E-2</c:v>
                </c:pt>
                <c:pt idx="105">
                  <c:v>-2.6765741040554571E-3</c:v>
                </c:pt>
                <c:pt idx="106">
                  <c:v>2.5260138342486364E-2</c:v>
                </c:pt>
                <c:pt idx="107">
                  <c:v>1.1968532163956613E-2</c:v>
                </c:pt>
                <c:pt idx="108">
                  <c:v>-7.5310517816938377E-3</c:v>
                </c:pt>
                <c:pt idx="109">
                  <c:v>-5.6420292232589866E-3</c:v>
                </c:pt>
                <c:pt idx="110">
                  <c:v>-5.942378779099277E-2</c:v>
                </c:pt>
                <c:pt idx="111">
                  <c:v>1.1858080257970902E-2</c:v>
                </c:pt>
                <c:pt idx="112">
                  <c:v>9.2459198092998667E-3</c:v>
                </c:pt>
                <c:pt idx="113">
                  <c:v>1.9018357499615512E-2</c:v>
                </c:pt>
                <c:pt idx="114">
                  <c:v>-4.2089654004125454E-3</c:v>
                </c:pt>
                <c:pt idx="115">
                  <c:v>3.385322956377131E-4</c:v>
                </c:pt>
                <c:pt idx="116">
                  <c:v>-1.0168690298544503E-2</c:v>
                </c:pt>
                <c:pt idx="117">
                  <c:v>6.3483224130175724E-3</c:v>
                </c:pt>
                <c:pt idx="118">
                  <c:v>4.5467026667584841E-3</c:v>
                </c:pt>
                <c:pt idx="119">
                  <c:v>-2.5886149728612851E-2</c:v>
                </c:pt>
                <c:pt idx="120">
                  <c:v>1.0617024558722161E-2</c:v>
                </c:pt>
                <c:pt idx="121">
                  <c:v>-2.4084464488925192E-2</c:v>
                </c:pt>
                <c:pt idx="122">
                  <c:v>1.4544159624157454E-2</c:v>
                </c:pt>
                <c:pt idx="123">
                  <c:v>1.2681787388525066E-2</c:v>
                </c:pt>
                <c:pt idx="124">
                  <c:v>6.9339513749895601E-3</c:v>
                </c:pt>
                <c:pt idx="125">
                  <c:v>5.4453556044179409E-3</c:v>
                </c:pt>
                <c:pt idx="126">
                  <c:v>1.5272965861286025E-2</c:v>
                </c:pt>
                <c:pt idx="127">
                  <c:v>-1.0413815312659874E-2</c:v>
                </c:pt>
                <c:pt idx="128">
                  <c:v>7.5731396918036608E-3</c:v>
                </c:pt>
                <c:pt idx="129">
                  <c:v>-5.7556549393783405E-3</c:v>
                </c:pt>
                <c:pt idx="130">
                  <c:v>1.0112368859665353E-2</c:v>
                </c:pt>
                <c:pt idx="131">
                  <c:v>-8.7430980283650025E-3</c:v>
                </c:pt>
                <c:pt idx="132">
                  <c:v>1.2829285788616794E-2</c:v>
                </c:pt>
                <c:pt idx="133">
                  <c:v>9.0988822929016569E-3</c:v>
                </c:pt>
                <c:pt idx="134">
                  <c:v>-3.3453236333785075E-3</c:v>
                </c:pt>
                <c:pt idx="135">
                  <c:v>2.8484700277646982E-3</c:v>
                </c:pt>
                <c:pt idx="136">
                  <c:v>8.0026520963929534E-3</c:v>
                </c:pt>
                <c:pt idx="137">
                  <c:v>2.0788398120252689E-3</c:v>
                </c:pt>
                <c:pt idx="138">
                  <c:v>5.6295650063398336E-3</c:v>
                </c:pt>
                <c:pt idx="139">
                  <c:v>-1.2049896691655211E-2</c:v>
                </c:pt>
                <c:pt idx="140">
                  <c:v>-6.5076836543165222E-3</c:v>
                </c:pt>
                <c:pt idx="141">
                  <c:v>7.2195558872714671E-3</c:v>
                </c:pt>
                <c:pt idx="142">
                  <c:v>-6.4090565322817419E-3</c:v>
                </c:pt>
                <c:pt idx="143">
                  <c:v>1.2177338418989556E-2</c:v>
                </c:pt>
                <c:pt idx="144">
                  <c:v>-3.6207221407018987E-3</c:v>
                </c:pt>
                <c:pt idx="145">
                  <c:v>7.8247226309374421E-3</c:v>
                </c:pt>
                <c:pt idx="146">
                  <c:v>6.8816179396332623E-3</c:v>
                </c:pt>
                <c:pt idx="147">
                  <c:v>3.808778449776032E-3</c:v>
                </c:pt>
                <c:pt idx="148">
                  <c:v>6.145354654736401E-3</c:v>
                </c:pt>
                <c:pt idx="149">
                  <c:v>6.6158612413779582E-3</c:v>
                </c:pt>
                <c:pt idx="150">
                  <c:v>6.7116751258656029E-4</c:v>
                </c:pt>
                <c:pt idx="151">
                  <c:v>2.9380246540069489E-3</c:v>
                </c:pt>
                <c:pt idx="152">
                  <c:v>-8.3352980882189596E-3</c:v>
                </c:pt>
                <c:pt idx="153">
                  <c:v>1.3799579211982426E-2</c:v>
                </c:pt>
                <c:pt idx="154">
                  <c:v>-1.8557932663377033E-3</c:v>
                </c:pt>
                <c:pt idx="155">
                  <c:v>-1.6740445192490568E-5</c:v>
                </c:pt>
                <c:pt idx="156">
                  <c:v>3.125119103716132E-3</c:v>
                </c:pt>
                <c:pt idx="157">
                  <c:v>2.1115798043035922E-3</c:v>
                </c:pt>
                <c:pt idx="158">
                  <c:v>-4.2188346422813725E-3</c:v>
                </c:pt>
                <c:pt idx="159">
                  <c:v>3.0623362007774248E-3</c:v>
                </c:pt>
                <c:pt idx="160">
                  <c:v>3.4946516160261295E-3</c:v>
                </c:pt>
                <c:pt idx="161">
                  <c:v>1.0035720137650583E-2</c:v>
                </c:pt>
                <c:pt idx="162">
                  <c:v>3.4468213711635744E-3</c:v>
                </c:pt>
                <c:pt idx="163">
                  <c:v>9.9292212431109379E-3</c:v>
                </c:pt>
                <c:pt idx="164">
                  <c:v>2.1377941679089035E-3</c:v>
                </c:pt>
                <c:pt idx="165">
                  <c:v>6.3921909159476891E-3</c:v>
                </c:pt>
                <c:pt idx="166">
                  <c:v>-3.675574276892535E-3</c:v>
                </c:pt>
                <c:pt idx="167">
                  <c:v>9.3280613034048224E-3</c:v>
                </c:pt>
                <c:pt idx="168">
                  <c:v>1.4313947729773601E-2</c:v>
                </c:pt>
                <c:pt idx="169">
                  <c:v>-3.5066861482717829E-2</c:v>
                </c:pt>
                <c:pt idx="170">
                  <c:v>-8.244625543444942E-3</c:v>
                </c:pt>
                <c:pt idx="171">
                  <c:v>-2.7749523105956599E-2</c:v>
                </c:pt>
                <c:pt idx="172">
                  <c:v>1.95084293102941E-2</c:v>
                </c:pt>
                <c:pt idx="173">
                  <c:v>-1.7562610885716447E-2</c:v>
                </c:pt>
                <c:pt idx="174">
                  <c:v>4.6259157579980165E-4</c:v>
                </c:pt>
                <c:pt idx="175">
                  <c:v>1.303887084670948E-2</c:v>
                </c:pt>
                <c:pt idx="176">
                  <c:v>4.9931471004898568E-3</c:v>
                </c:pt>
                <c:pt idx="177">
                  <c:v>-4.0229283104864537E-3</c:v>
                </c:pt>
                <c:pt idx="178">
                  <c:v>-8.880565411906103E-3</c:v>
                </c:pt>
                <c:pt idx="179">
                  <c:v>-1.5620870523080036E-2</c:v>
                </c:pt>
                <c:pt idx="180">
                  <c:v>-1.1238419122769806E-2</c:v>
                </c:pt>
                <c:pt idx="181">
                  <c:v>1.0086480255985469E-2</c:v>
                </c:pt>
                <c:pt idx="182">
                  <c:v>-2.3510610403059923E-2</c:v>
                </c:pt>
                <c:pt idx="183">
                  <c:v>2.615534804414048E-3</c:v>
                </c:pt>
                <c:pt idx="184">
                  <c:v>1.5991202627074382E-2</c:v>
                </c:pt>
                <c:pt idx="185">
                  <c:v>1.6426519800454488E-2</c:v>
                </c:pt>
                <c:pt idx="186">
                  <c:v>-5.5073158820785157E-3</c:v>
                </c:pt>
                <c:pt idx="187">
                  <c:v>7.5068849226305684E-3</c:v>
                </c:pt>
                <c:pt idx="188">
                  <c:v>6.3530694045821528E-3</c:v>
                </c:pt>
                <c:pt idx="189">
                  <c:v>-9.5862099588925938E-3</c:v>
                </c:pt>
                <c:pt idx="190">
                  <c:v>1.753122115029004E-2</c:v>
                </c:pt>
                <c:pt idx="191">
                  <c:v>-1.4364359809442806E-2</c:v>
                </c:pt>
                <c:pt idx="192">
                  <c:v>1.7210433836209644E-2</c:v>
                </c:pt>
                <c:pt idx="193">
                  <c:v>8.7770721539424858E-3</c:v>
                </c:pt>
                <c:pt idx="194">
                  <c:v>8.8440633598709933E-3</c:v>
                </c:pt>
                <c:pt idx="195">
                  <c:v>1.5913182569372079E-2</c:v>
                </c:pt>
                <c:pt idx="196">
                  <c:v>-6.5939354511674562E-3</c:v>
                </c:pt>
                <c:pt idx="197">
                  <c:v>-6.3496325478724878E-3</c:v>
                </c:pt>
                <c:pt idx="198">
                  <c:v>-1.2830736825097354E-3</c:v>
                </c:pt>
                <c:pt idx="199">
                  <c:v>-6.5092779103395647E-4</c:v>
                </c:pt>
                <c:pt idx="200">
                  <c:v>-1.5366617955456637E-2</c:v>
                </c:pt>
                <c:pt idx="201">
                  <c:v>3.9513006764238731E-3</c:v>
                </c:pt>
                <c:pt idx="202">
                  <c:v>-1.9411690487880682E-3</c:v>
                </c:pt>
                <c:pt idx="203">
                  <c:v>5.4239490822874502E-3</c:v>
                </c:pt>
                <c:pt idx="204">
                  <c:v>3.3429632797786933E-3</c:v>
                </c:pt>
                <c:pt idx="205">
                  <c:v>-1.8699274641573352E-2</c:v>
                </c:pt>
                <c:pt idx="206">
                  <c:v>-3.4997458563749469E-3</c:v>
                </c:pt>
                <c:pt idx="207">
                  <c:v>-3.4823125267974042E-2</c:v>
                </c:pt>
                <c:pt idx="208">
                  <c:v>1.006574336687647E-2</c:v>
                </c:pt>
                <c:pt idx="209">
                  <c:v>-1.0526022436708568E-2</c:v>
                </c:pt>
                <c:pt idx="210">
                  <c:v>1.1099650216580558E-2</c:v>
                </c:pt>
                <c:pt idx="211">
                  <c:v>1.7455481634301492E-2</c:v>
                </c:pt>
                <c:pt idx="212">
                  <c:v>2.2056682945693084E-2</c:v>
                </c:pt>
                <c:pt idx="213">
                  <c:v>1.9268651994244771E-2</c:v>
                </c:pt>
                <c:pt idx="214">
                  <c:v>-2.7486946334146878E-4</c:v>
                </c:pt>
                <c:pt idx="215">
                  <c:v>1.2440962664795788E-2</c:v>
                </c:pt>
                <c:pt idx="216">
                  <c:v>-1.5141115896165867E-3</c:v>
                </c:pt>
                <c:pt idx="217">
                  <c:v>7.354654866458212E-3</c:v>
                </c:pt>
                <c:pt idx="218">
                  <c:v>-9.7946322101986373E-3</c:v>
                </c:pt>
                <c:pt idx="219">
                  <c:v>1.3703067533165513E-2</c:v>
                </c:pt>
                <c:pt idx="220">
                  <c:v>1.2358853525118667E-2</c:v>
                </c:pt>
                <c:pt idx="221">
                  <c:v>-5.4392153241405849E-3</c:v>
                </c:pt>
                <c:pt idx="222">
                  <c:v>-1.2154262355982158E-2</c:v>
                </c:pt>
                <c:pt idx="223">
                  <c:v>4.1549052279722803E-3</c:v>
                </c:pt>
                <c:pt idx="224">
                  <c:v>-6.9177657838578963E-3</c:v>
                </c:pt>
                <c:pt idx="225">
                  <c:v>5.9301040401638335E-3</c:v>
                </c:pt>
                <c:pt idx="226">
                  <c:v>1.5938814956691531E-2</c:v>
                </c:pt>
                <c:pt idx="227">
                  <c:v>-1.5893836359015467E-3</c:v>
                </c:pt>
                <c:pt idx="228">
                  <c:v>2.7346782284878072E-3</c:v>
                </c:pt>
                <c:pt idx="229">
                  <c:v>-4.4833476494267931E-3</c:v>
                </c:pt>
                <c:pt idx="230">
                  <c:v>1.0831604197909836E-2</c:v>
                </c:pt>
                <c:pt idx="231">
                  <c:v>2.0550719085853813E-3</c:v>
                </c:pt>
                <c:pt idx="232">
                  <c:v>-3.1910131129769695E-4</c:v>
                </c:pt>
                <c:pt idx="233">
                  <c:v>8.5342850051670568E-3</c:v>
                </c:pt>
                <c:pt idx="234">
                  <c:v>-2.1034298651181026E-3</c:v>
                </c:pt>
                <c:pt idx="235">
                  <c:v>2.8754142669364224E-3</c:v>
                </c:pt>
                <c:pt idx="236">
                  <c:v>-9.0557429899773348E-3</c:v>
                </c:pt>
                <c:pt idx="237">
                  <c:v>-3.7359125599021367E-4</c:v>
                </c:pt>
                <c:pt idx="238">
                  <c:v>-1.2196412621015124E-3</c:v>
                </c:pt>
                <c:pt idx="239">
                  <c:v>-4.5336857451387163E-3</c:v>
                </c:pt>
                <c:pt idx="240">
                  <c:v>1.338244194195797E-2</c:v>
                </c:pt>
                <c:pt idx="241">
                  <c:v>1.5216478826785252E-3</c:v>
                </c:pt>
                <c:pt idx="242">
                  <c:v>5.5300193864124443E-3</c:v>
                </c:pt>
                <c:pt idx="243">
                  <c:v>-8.3009061273677555E-3</c:v>
                </c:pt>
                <c:pt idx="244">
                  <c:v>-3.6283275492308737E-3</c:v>
                </c:pt>
                <c:pt idx="245">
                  <c:v>-1.7332742985808705E-3</c:v>
                </c:pt>
                <c:pt idx="246">
                  <c:v>8.5176285815332948E-4</c:v>
                </c:pt>
                <c:pt idx="247">
                  <c:v>3.8364387640174146E-3</c:v>
                </c:pt>
                <c:pt idx="248">
                  <c:v>8.5076665207180976E-3</c:v>
                </c:pt>
                <c:pt idx="249">
                  <c:v>-1.9559809449067587E-3</c:v>
                </c:pt>
                <c:pt idx="250">
                  <c:v>1.3793568607722215E-3</c:v>
                </c:pt>
                <c:pt idx="251">
                  <c:v>5.021489551557577E-3</c:v>
                </c:pt>
                <c:pt idx="252">
                  <c:v>-1.3753942538451866E-2</c:v>
                </c:pt>
                <c:pt idx="253">
                  <c:v>6.8173501993588782E-3</c:v>
                </c:pt>
                <c:pt idx="254">
                  <c:v>5.9142807322348249E-3</c:v>
                </c:pt>
                <c:pt idx="255">
                  <c:v>1.4701729529050345E-2</c:v>
                </c:pt>
                <c:pt idx="256">
                  <c:v>5.6351059921128065E-3</c:v>
                </c:pt>
                <c:pt idx="257">
                  <c:v>-6.8100572243791537E-3</c:v>
                </c:pt>
                <c:pt idx="258">
                  <c:v>1.6480370564867991E-4</c:v>
                </c:pt>
                <c:pt idx="259">
                  <c:v>2.6428791029858823E-3</c:v>
                </c:pt>
                <c:pt idx="260">
                  <c:v>-3.554509979895871E-3</c:v>
                </c:pt>
                <c:pt idx="261">
                  <c:v>-7.3658629674096462E-3</c:v>
                </c:pt>
                <c:pt idx="262">
                  <c:v>7.774914408479809E-3</c:v>
                </c:pt>
                <c:pt idx="263">
                  <c:v>1.3697329086107757E-2</c:v>
                </c:pt>
                <c:pt idx="264">
                  <c:v>8.6487556777233726E-4</c:v>
                </c:pt>
                <c:pt idx="265">
                  <c:v>-3.5921617679343038E-3</c:v>
                </c:pt>
                <c:pt idx="266">
                  <c:v>3.88960945810265E-3</c:v>
                </c:pt>
                <c:pt idx="267">
                  <c:v>-1.6085627639697555E-3</c:v>
                </c:pt>
                <c:pt idx="268">
                  <c:v>-2.4790502920025232E-2</c:v>
                </c:pt>
                <c:pt idx="269">
                  <c:v>8.5169980480858457E-3</c:v>
                </c:pt>
                <c:pt idx="270">
                  <c:v>-2.0269131905958283E-2</c:v>
                </c:pt>
                <c:pt idx="271">
                  <c:v>1.6462052999198035E-2</c:v>
                </c:pt>
                <c:pt idx="272">
                  <c:v>1.3994816660145475E-2</c:v>
                </c:pt>
                <c:pt idx="273">
                  <c:v>7.3952902732236849E-4</c:v>
                </c:pt>
                <c:pt idx="274">
                  <c:v>1.1255186433830918E-2</c:v>
                </c:pt>
                <c:pt idx="275">
                  <c:v>3.8817325721897823E-3</c:v>
                </c:pt>
                <c:pt idx="276">
                  <c:v>7.1495110917789845E-3</c:v>
                </c:pt>
                <c:pt idx="277">
                  <c:v>-7.1244632236584066E-4</c:v>
                </c:pt>
                <c:pt idx="278">
                  <c:v>-4.8214167406329959E-4</c:v>
                </c:pt>
                <c:pt idx="279">
                  <c:v>1.5673219548844491E-3</c:v>
                </c:pt>
                <c:pt idx="280">
                  <c:v>4.8811361318981785E-3</c:v>
                </c:pt>
                <c:pt idx="281">
                  <c:v>-9.1273687846828069E-4</c:v>
                </c:pt>
                <c:pt idx="282">
                  <c:v>1.8296137974855317E-4</c:v>
                </c:pt>
                <c:pt idx="283">
                  <c:v>-4.311480815772731E-3</c:v>
                </c:pt>
                <c:pt idx="284">
                  <c:v>-1.8139602515814997E-3</c:v>
                </c:pt>
                <c:pt idx="285">
                  <c:v>-7.767878408460693E-3</c:v>
                </c:pt>
                <c:pt idx="286">
                  <c:v>1.1672108168182111E-3</c:v>
                </c:pt>
                <c:pt idx="287">
                  <c:v>1.0912655535595256E-2</c:v>
                </c:pt>
                <c:pt idx="288">
                  <c:v>-2.4437251444413763E-2</c:v>
                </c:pt>
                <c:pt idx="289">
                  <c:v>-5.2123659276253802E-3</c:v>
                </c:pt>
                <c:pt idx="290">
                  <c:v>2.3904634505778222E-2</c:v>
                </c:pt>
                <c:pt idx="291">
                  <c:v>-7.8803087625572421E-3</c:v>
                </c:pt>
                <c:pt idx="292">
                  <c:v>-1.3380653952377891E-2</c:v>
                </c:pt>
                <c:pt idx="293">
                  <c:v>-1.2498444049805687E-2</c:v>
                </c:pt>
                <c:pt idx="294">
                  <c:v>1.8183003146960825E-2</c:v>
                </c:pt>
                <c:pt idx="295">
                  <c:v>-5.0376194387602626E-3</c:v>
                </c:pt>
                <c:pt idx="296">
                  <c:v>1.4130088941418406E-2</c:v>
                </c:pt>
                <c:pt idx="297">
                  <c:v>6.1589341151217216E-3</c:v>
                </c:pt>
                <c:pt idx="298">
                  <c:v>1.0041639513372801E-2</c:v>
                </c:pt>
                <c:pt idx="299">
                  <c:v>1.2994495631414452E-3</c:v>
                </c:pt>
                <c:pt idx="300">
                  <c:v>5.8994186417767958E-3</c:v>
                </c:pt>
                <c:pt idx="301">
                  <c:v>-1.3085450556076822E-3</c:v>
                </c:pt>
                <c:pt idx="302">
                  <c:v>3.357636896533193E-3</c:v>
                </c:pt>
                <c:pt idx="303">
                  <c:v>-1.4702978178619441E-2</c:v>
                </c:pt>
                <c:pt idx="304">
                  <c:v>-5.1683410184918295E-3</c:v>
                </c:pt>
                <c:pt idx="305">
                  <c:v>7.9068656184553016E-3</c:v>
                </c:pt>
                <c:pt idx="306">
                  <c:v>-7.9483735610650866E-3</c:v>
                </c:pt>
                <c:pt idx="307">
                  <c:v>-5.1428335175041874E-3</c:v>
                </c:pt>
                <c:pt idx="308">
                  <c:v>5.5633234085076394E-3</c:v>
                </c:pt>
                <c:pt idx="309">
                  <c:v>1.5940064012460464E-2</c:v>
                </c:pt>
                <c:pt idx="310">
                  <c:v>-5.5163217922360387E-4</c:v>
                </c:pt>
                <c:pt idx="311">
                  <c:v>-2.7029430177819926E-3</c:v>
                </c:pt>
                <c:pt idx="312">
                  <c:v>3.9987821125395994E-3</c:v>
                </c:pt>
                <c:pt idx="313">
                  <c:v>1.0694759346523402E-2</c:v>
                </c:pt>
                <c:pt idx="314">
                  <c:v>1.4204652175591359E-2</c:v>
                </c:pt>
                <c:pt idx="315">
                  <c:v>-6.3721236175088268E-4</c:v>
                </c:pt>
                <c:pt idx="316">
                  <c:v>1.1101956915835938E-3</c:v>
                </c:pt>
                <c:pt idx="317">
                  <c:v>4.6891374424353188E-3</c:v>
                </c:pt>
                <c:pt idx="318">
                  <c:v>7.1974172039419668E-3</c:v>
                </c:pt>
                <c:pt idx="319">
                  <c:v>3.1803391119364192E-4</c:v>
                </c:pt>
                <c:pt idx="320">
                  <c:v>2.9129429031240616E-3</c:v>
                </c:pt>
                <c:pt idx="321">
                  <c:v>-3.4674749621501988E-3</c:v>
                </c:pt>
                <c:pt idx="322">
                  <c:v>1.0638776799812833E-2</c:v>
                </c:pt>
                <c:pt idx="323">
                  <c:v>3.2903887073359346E-3</c:v>
                </c:pt>
                <c:pt idx="324">
                  <c:v>-4.9715409330913013E-3</c:v>
                </c:pt>
                <c:pt idx="325">
                  <c:v>-7.3949593075272862E-3</c:v>
                </c:pt>
                <c:pt idx="326">
                  <c:v>9.3712011609582875E-3</c:v>
                </c:pt>
                <c:pt idx="327">
                  <c:v>-9.2214693937906957E-3</c:v>
                </c:pt>
                <c:pt idx="328">
                  <c:v>1.0737623056634385E-2</c:v>
                </c:pt>
                <c:pt idx="329">
                  <c:v>2.0390279283900555E-3</c:v>
                </c:pt>
                <c:pt idx="330">
                  <c:v>-2.6196387814359868E-4</c:v>
                </c:pt>
                <c:pt idx="331">
                  <c:v>-3.3388126348597182E-4</c:v>
                </c:pt>
                <c:pt idx="332">
                  <c:v>6.3061350026324342E-3</c:v>
                </c:pt>
                <c:pt idx="333">
                  <c:v>-6.6385991910828399E-3</c:v>
                </c:pt>
                <c:pt idx="334">
                  <c:v>2.1079708255976534E-3</c:v>
                </c:pt>
                <c:pt idx="335">
                  <c:v>-6.234834303393031E-3</c:v>
                </c:pt>
                <c:pt idx="336">
                  <c:v>2.6630823903985848E-4</c:v>
                </c:pt>
                <c:pt idx="337">
                  <c:v>7.9074237631036586E-3</c:v>
                </c:pt>
                <c:pt idx="338">
                  <c:v>7.2052348238916351E-3</c:v>
                </c:pt>
                <c:pt idx="339">
                  <c:v>-9.9981808223660266E-3</c:v>
                </c:pt>
                <c:pt idx="340">
                  <c:v>-9.0112185272098987E-3</c:v>
                </c:pt>
                <c:pt idx="341">
                  <c:v>-2.1520619458364823E-2</c:v>
                </c:pt>
                <c:pt idx="342">
                  <c:v>1.1894524158547233E-2</c:v>
                </c:pt>
                <c:pt idx="343">
                  <c:v>1.5192237982598259E-2</c:v>
                </c:pt>
                <c:pt idx="344">
                  <c:v>-2.5942006502272358E-3</c:v>
                </c:pt>
                <c:pt idx="345">
                  <c:v>-8.6994688095352844E-3</c:v>
                </c:pt>
                <c:pt idx="346">
                  <c:v>-2.6716123833950218E-3</c:v>
                </c:pt>
                <c:pt idx="347">
                  <c:v>1.0654039083179927E-2</c:v>
                </c:pt>
                <c:pt idx="348">
                  <c:v>-8.6548862540862764E-4</c:v>
                </c:pt>
                <c:pt idx="349">
                  <c:v>1.0096205524025547E-2</c:v>
                </c:pt>
                <c:pt idx="350">
                  <c:v>-2.2675636960190668E-3</c:v>
                </c:pt>
                <c:pt idx="351">
                  <c:v>1.9361114002834742E-3</c:v>
                </c:pt>
                <c:pt idx="352">
                  <c:v>4.7840564072364872E-4</c:v>
                </c:pt>
                <c:pt idx="353">
                  <c:v>1.7407116466426357E-3</c:v>
                </c:pt>
                <c:pt idx="354">
                  <c:v>-9.2768525277233554E-4</c:v>
                </c:pt>
                <c:pt idx="355">
                  <c:v>1.5250003233722685E-3</c:v>
                </c:pt>
                <c:pt idx="356">
                  <c:v>-3.7647024299018025E-3</c:v>
                </c:pt>
                <c:pt idx="357">
                  <c:v>9.0578334177514007E-3</c:v>
                </c:pt>
                <c:pt idx="358">
                  <c:v>-1.0170840767989085E-3</c:v>
                </c:pt>
                <c:pt idx="359">
                  <c:v>1.6672287347943506E-4</c:v>
                </c:pt>
                <c:pt idx="360">
                  <c:v>-1.5394436722720511E-3</c:v>
                </c:pt>
                <c:pt idx="361">
                  <c:v>4.5912060331090099E-3</c:v>
                </c:pt>
                <c:pt idx="362">
                  <c:v>1.604670963962099E-3</c:v>
                </c:pt>
                <c:pt idx="363">
                  <c:v>2.1899978465481145E-3</c:v>
                </c:pt>
                <c:pt idx="364">
                  <c:v>-1.8822847605544195E-3</c:v>
                </c:pt>
                <c:pt idx="365">
                  <c:v>-5.6453753845667311E-3</c:v>
                </c:pt>
                <c:pt idx="366">
                  <c:v>-3.7815068611864243E-4</c:v>
                </c:pt>
                <c:pt idx="367">
                  <c:v>-1.6894919469402563E-2</c:v>
                </c:pt>
                <c:pt idx="368">
                  <c:v>1.4168077675421407E-2</c:v>
                </c:pt>
                <c:pt idx="369">
                  <c:v>5.2855271392624262E-3</c:v>
                </c:pt>
                <c:pt idx="370">
                  <c:v>-1.2525159106405353E-3</c:v>
                </c:pt>
                <c:pt idx="371">
                  <c:v>5.8519016113596552E-3</c:v>
                </c:pt>
                <c:pt idx="372">
                  <c:v>3.4993829890191332E-3</c:v>
                </c:pt>
                <c:pt idx="373">
                  <c:v>1.9674349791865709E-3</c:v>
                </c:pt>
                <c:pt idx="374">
                  <c:v>4.9147618562720102E-4</c:v>
                </c:pt>
                <c:pt idx="375">
                  <c:v>7.9492886812576418E-4</c:v>
                </c:pt>
                <c:pt idx="376">
                  <c:v>5.4749077768459446E-3</c:v>
                </c:pt>
                <c:pt idx="377">
                  <c:v>7.5680270118610952E-3</c:v>
                </c:pt>
                <c:pt idx="378">
                  <c:v>-1.8695410593137492E-3</c:v>
                </c:pt>
                <c:pt idx="379">
                  <c:v>3.4813999412597126E-3</c:v>
                </c:pt>
                <c:pt idx="380">
                  <c:v>-8.2278511742210677E-3</c:v>
                </c:pt>
                <c:pt idx="381">
                  <c:v>1.0571832865680841E-2</c:v>
                </c:pt>
                <c:pt idx="382">
                  <c:v>3.5290966680148299E-3</c:v>
                </c:pt>
                <c:pt idx="383">
                  <c:v>-3.4612393198187913E-3</c:v>
                </c:pt>
                <c:pt idx="384">
                  <c:v>1.4446880922231739E-3</c:v>
                </c:pt>
                <c:pt idx="385">
                  <c:v>-3.4678259548423288E-3</c:v>
                </c:pt>
                <c:pt idx="386">
                  <c:v>-7.9209395819858711E-3</c:v>
                </c:pt>
                <c:pt idx="387">
                  <c:v>-1.4924492597607685E-2</c:v>
                </c:pt>
                <c:pt idx="388">
                  <c:v>1.4182284782583085E-2</c:v>
                </c:pt>
                <c:pt idx="389">
                  <c:v>8.0172927603728451E-3</c:v>
                </c:pt>
                <c:pt idx="390">
                  <c:v>2.0455021692752312E-3</c:v>
                </c:pt>
                <c:pt idx="391">
                  <c:v>1.0188981781975906E-2</c:v>
                </c:pt>
                <c:pt idx="392">
                  <c:v>2.4054433434161039E-3</c:v>
                </c:pt>
                <c:pt idx="393">
                  <c:v>-4.6144626048374039E-3</c:v>
                </c:pt>
                <c:pt idx="394">
                  <c:v>-4.5652608925122887E-4</c:v>
                </c:pt>
                <c:pt idx="395">
                  <c:v>4.0923866330505061E-3</c:v>
                </c:pt>
                <c:pt idx="396">
                  <c:v>-4.9147215477870106E-3</c:v>
                </c:pt>
                <c:pt idx="397">
                  <c:v>-2.1466462136385919E-3</c:v>
                </c:pt>
                <c:pt idx="398">
                  <c:v>8.0561261695840745E-3</c:v>
                </c:pt>
                <c:pt idx="399">
                  <c:v>-4.9775282887323151E-3</c:v>
                </c:pt>
                <c:pt idx="400">
                  <c:v>6.2664656596057768E-3</c:v>
                </c:pt>
                <c:pt idx="401">
                  <c:v>1.6046885692965816E-3</c:v>
                </c:pt>
                <c:pt idx="402">
                  <c:v>-8.6033741335720293E-4</c:v>
                </c:pt>
                <c:pt idx="403">
                  <c:v>1.1967763445151691E-3</c:v>
                </c:pt>
                <c:pt idx="404">
                  <c:v>2.4353541702571892E-3</c:v>
                </c:pt>
                <c:pt idx="405">
                  <c:v>2.9460699211128778E-3</c:v>
                </c:pt>
                <c:pt idx="406">
                  <c:v>1.7716925313974912E-3</c:v>
                </c:pt>
                <c:pt idx="407">
                  <c:v>2.3054859622909569E-3</c:v>
                </c:pt>
                <c:pt idx="408">
                  <c:v>-6.6232583743397145E-3</c:v>
                </c:pt>
                <c:pt idx="409">
                  <c:v>-1.1051725218029555E-2</c:v>
                </c:pt>
                <c:pt idx="410">
                  <c:v>1.5007140742762618E-3</c:v>
                </c:pt>
                <c:pt idx="411">
                  <c:v>7.8791580796895421E-3</c:v>
                </c:pt>
                <c:pt idx="412">
                  <c:v>8.7115713124742804E-3</c:v>
                </c:pt>
                <c:pt idx="413">
                  <c:v>1.5397563170632868E-3</c:v>
                </c:pt>
                <c:pt idx="414">
                  <c:v>2.0497277575932675E-3</c:v>
                </c:pt>
                <c:pt idx="415">
                  <c:v>-5.9671089811563615E-3</c:v>
                </c:pt>
                <c:pt idx="416">
                  <c:v>8.85481367827963E-3</c:v>
                </c:pt>
                <c:pt idx="417">
                  <c:v>4.3414873422249513E-3</c:v>
                </c:pt>
                <c:pt idx="418">
                  <c:v>-1.5290741478012758E-3</c:v>
                </c:pt>
                <c:pt idx="419">
                  <c:v>4.8492106912825024E-4</c:v>
                </c:pt>
                <c:pt idx="420">
                  <c:v>3.0254309917497396E-3</c:v>
                </c:pt>
                <c:pt idx="421">
                  <c:v>-2.8918183599701305E-4</c:v>
                </c:pt>
                <c:pt idx="422">
                  <c:v>-3.628363548509715E-3</c:v>
                </c:pt>
                <c:pt idx="423">
                  <c:v>-1.2654408792577201E-3</c:v>
                </c:pt>
                <c:pt idx="424">
                  <c:v>-4.3358482987089289E-3</c:v>
                </c:pt>
                <c:pt idx="425">
                  <c:v>-7.9622141857505959E-3</c:v>
                </c:pt>
                <c:pt idx="426">
                  <c:v>2.5095693224455391E-3</c:v>
                </c:pt>
                <c:pt idx="427">
                  <c:v>-5.4576121371414611E-3</c:v>
                </c:pt>
                <c:pt idx="428">
                  <c:v>8.2715387864062094E-3</c:v>
                </c:pt>
                <c:pt idx="429">
                  <c:v>-1.6329324514847837E-3</c:v>
                </c:pt>
                <c:pt idx="430">
                  <c:v>-1.303377026073258E-2</c:v>
                </c:pt>
                <c:pt idx="431">
                  <c:v>-1.6861226642057595E-2</c:v>
                </c:pt>
                <c:pt idx="432">
                  <c:v>-9.9148839950974235E-4</c:v>
                </c:pt>
                <c:pt idx="433">
                  <c:v>9.6611600838358187E-3</c:v>
                </c:pt>
                <c:pt idx="434">
                  <c:v>1.2030354910440194E-2</c:v>
                </c:pt>
                <c:pt idx="435">
                  <c:v>1.5994025500650193E-3</c:v>
                </c:pt>
                <c:pt idx="436">
                  <c:v>-2.9114691641268986E-3</c:v>
                </c:pt>
                <c:pt idx="437">
                  <c:v>-2.0404062557301574E-2</c:v>
                </c:pt>
                <c:pt idx="438">
                  <c:v>1.635270109805152E-3</c:v>
                </c:pt>
                <c:pt idx="439">
                  <c:v>-1.2344085839708498E-2</c:v>
                </c:pt>
                <c:pt idx="440">
                  <c:v>1.1767742058140681E-2</c:v>
                </c:pt>
                <c:pt idx="441">
                  <c:v>-1.3026399421634378E-2</c:v>
                </c:pt>
                <c:pt idx="442">
                  <c:v>1.0304813852853926E-2</c:v>
                </c:pt>
                <c:pt idx="443">
                  <c:v>4.1010428115830491E-3</c:v>
                </c:pt>
                <c:pt idx="444">
                  <c:v>8.5620773582583739E-3</c:v>
                </c:pt>
                <c:pt idx="445">
                  <c:v>-1.871829525518067E-3</c:v>
                </c:pt>
                <c:pt idx="446">
                  <c:v>-7.3125197913074258E-3</c:v>
                </c:pt>
                <c:pt idx="447">
                  <c:v>-2.5109874077951498E-3</c:v>
                </c:pt>
                <c:pt idx="448">
                  <c:v>3.5447355090027456E-3</c:v>
                </c:pt>
                <c:pt idx="449">
                  <c:v>1.6634297273179569E-2</c:v>
                </c:pt>
                <c:pt idx="450">
                  <c:v>7.5405366915241032E-3</c:v>
                </c:pt>
                <c:pt idx="451">
                  <c:v>2.9097019489344495E-3</c:v>
                </c:pt>
                <c:pt idx="452">
                  <c:v>7.6388057837302008E-3</c:v>
                </c:pt>
                <c:pt idx="453">
                  <c:v>3.8736251722304325E-3</c:v>
                </c:pt>
                <c:pt idx="454">
                  <c:v>2.5584294136036805E-3</c:v>
                </c:pt>
                <c:pt idx="455">
                  <c:v>-1.0831438212778937E-3</c:v>
                </c:pt>
                <c:pt idx="456">
                  <c:v>5.3020605231385506E-3</c:v>
                </c:pt>
                <c:pt idx="457">
                  <c:v>8.5317763728172283E-4</c:v>
                </c:pt>
                <c:pt idx="458">
                  <c:v>-4.486484222682754E-3</c:v>
                </c:pt>
                <c:pt idx="459">
                  <c:v>9.5561708115701523E-3</c:v>
                </c:pt>
                <c:pt idx="460">
                  <c:v>1.980665423484131E-3</c:v>
                </c:pt>
                <c:pt idx="461">
                  <c:v>1.6722895577170936E-3</c:v>
                </c:pt>
                <c:pt idx="462">
                  <c:v>3.9885466407505107E-3</c:v>
                </c:pt>
                <c:pt idx="463">
                  <c:v>6.0402276762889489E-3</c:v>
                </c:pt>
                <c:pt idx="464">
                  <c:v>4.6550173543238966E-3</c:v>
                </c:pt>
                <c:pt idx="465">
                  <c:v>3.41718559846733E-3</c:v>
                </c:pt>
                <c:pt idx="466">
                  <c:v>8.0694122413532948E-4</c:v>
                </c:pt>
                <c:pt idx="467">
                  <c:v>-3.3573008592576543E-3</c:v>
                </c:pt>
                <c:pt idx="468">
                  <c:v>-8.1238086855413907E-3</c:v>
                </c:pt>
                <c:pt idx="469">
                  <c:v>2.7705993137619195E-4</c:v>
                </c:pt>
                <c:pt idx="470">
                  <c:v>7.4720808101509341E-3</c:v>
                </c:pt>
                <c:pt idx="471">
                  <c:v>2.9592726801248176E-4</c:v>
                </c:pt>
                <c:pt idx="472">
                  <c:v>3.9035717603392323E-3</c:v>
                </c:pt>
                <c:pt idx="473">
                  <c:v>-2.4786373188111313E-3</c:v>
                </c:pt>
                <c:pt idx="474">
                  <c:v>3.3442364957992441E-3</c:v>
                </c:pt>
                <c:pt idx="475">
                  <c:v>-1.8362907611378511E-3</c:v>
                </c:pt>
                <c:pt idx="476">
                  <c:v>-2.8655577904528728E-3</c:v>
                </c:pt>
                <c:pt idx="477">
                  <c:v>1.2786977231866977E-3</c:v>
                </c:pt>
                <c:pt idx="478">
                  <c:v>2.6198699483204304E-3</c:v>
                </c:pt>
                <c:pt idx="479">
                  <c:v>-2.2602075078648115E-2</c:v>
                </c:pt>
                <c:pt idx="480">
                  <c:v>1.2145543317482967E-2</c:v>
                </c:pt>
                <c:pt idx="481">
                  <c:v>-1.9695817501587068E-2</c:v>
                </c:pt>
                <c:pt idx="482">
                  <c:v>-1.1215782929186308E-2</c:v>
                </c:pt>
                <c:pt idx="483">
                  <c:v>1.5153775968859456E-2</c:v>
                </c:pt>
                <c:pt idx="484">
                  <c:v>-8.785861899425703E-3</c:v>
                </c:pt>
                <c:pt idx="485">
                  <c:v>1.1727312196029615E-2</c:v>
                </c:pt>
                <c:pt idx="486">
                  <c:v>2.0427390011901424E-2</c:v>
                </c:pt>
                <c:pt idx="487">
                  <c:v>2.598060067178927E-3</c:v>
                </c:pt>
                <c:pt idx="488">
                  <c:v>-6.8208996486350268E-3</c:v>
                </c:pt>
                <c:pt idx="489">
                  <c:v>9.3230708695088583E-3</c:v>
                </c:pt>
                <c:pt idx="490">
                  <c:v>-8.9442905641858011E-3</c:v>
                </c:pt>
                <c:pt idx="491">
                  <c:v>-6.9502014351842702E-3</c:v>
                </c:pt>
                <c:pt idx="492">
                  <c:v>1.5457757964536682E-2</c:v>
                </c:pt>
                <c:pt idx="493">
                  <c:v>-8.9040714577207098E-3</c:v>
                </c:pt>
                <c:pt idx="494">
                  <c:v>-1.4253421132272882E-2</c:v>
                </c:pt>
                <c:pt idx="495">
                  <c:v>-1.0736807476655135E-2</c:v>
                </c:pt>
                <c:pt idx="496">
                  <c:v>1.7556744810724525E-2</c:v>
                </c:pt>
                <c:pt idx="497">
                  <c:v>9.9026193814953645E-3</c:v>
                </c:pt>
                <c:pt idx="498">
                  <c:v>6.1563644458572462E-3</c:v>
                </c:pt>
                <c:pt idx="499">
                  <c:v>1.4006510900379545E-2</c:v>
                </c:pt>
                <c:pt idx="500">
                  <c:v>-8.639272806608225E-4</c:v>
                </c:pt>
                <c:pt idx="501">
                  <c:v>1.2319285995710033E-3</c:v>
                </c:pt>
                <c:pt idx="502">
                  <c:v>-2.8147705935938033E-3</c:v>
                </c:pt>
                <c:pt idx="503">
                  <c:v>-2.5697708136810976E-3</c:v>
                </c:pt>
              </c:numCache>
            </c:numRef>
          </c:xVal>
          <c:yVal>
            <c:numRef>
              <c:f>'2.4.'!$K$16:$K$519</c:f>
              <c:numCache>
                <c:formatCode>_(* #,##0.000000_);_(* \(#,##0.000000\);_(* "-"??_);_(@_)</c:formatCode>
                <c:ptCount val="504"/>
                <c:pt idx="0">
                  <c:v>-1.014610763161407E-2</c:v>
                </c:pt>
                <c:pt idx="1">
                  <c:v>7.9911826587029846E-4</c:v>
                </c:pt>
                <c:pt idx="2">
                  <c:v>3.1882272269086118E-3</c:v>
                </c:pt>
                <c:pt idx="3">
                  <c:v>1.1956506879022199E-2</c:v>
                </c:pt>
                <c:pt idx="4">
                  <c:v>-7.4265358690511051E-3</c:v>
                </c:pt>
                <c:pt idx="5">
                  <c:v>-4.6428571428571423E-5</c:v>
                </c:pt>
                <c:pt idx="6">
                  <c:v>3.7264167107316552E-2</c:v>
                </c:pt>
                <c:pt idx="7">
                  <c:v>-1.9762887505346289E-2</c:v>
                </c:pt>
                <c:pt idx="8">
                  <c:v>1.1887324996230145E-3</c:v>
                </c:pt>
                <c:pt idx="9">
                  <c:v>1.5980832422509601E-3</c:v>
                </c:pt>
                <c:pt idx="10">
                  <c:v>-2.2397125212561112E-3</c:v>
                </c:pt>
                <c:pt idx="11">
                  <c:v>-4.1718469635740139E-3</c:v>
                </c:pt>
                <c:pt idx="12">
                  <c:v>-5.7121661071058791E-3</c:v>
                </c:pt>
                <c:pt idx="13">
                  <c:v>-7.6975753069483217E-3</c:v>
                </c:pt>
                <c:pt idx="14">
                  <c:v>-7.6158507514732937E-3</c:v>
                </c:pt>
                <c:pt idx="15">
                  <c:v>-2.7289074595142526E-2</c:v>
                </c:pt>
                <c:pt idx="16">
                  <c:v>2.0136035626220527E-2</c:v>
                </c:pt>
                <c:pt idx="17">
                  <c:v>-2.1742398572609221E-3</c:v>
                </c:pt>
                <c:pt idx="18">
                  <c:v>-2.4192470876647283E-2</c:v>
                </c:pt>
                <c:pt idx="19">
                  <c:v>-1.3815505046766508E-2</c:v>
                </c:pt>
                <c:pt idx="20">
                  <c:v>4.3685896376881219E-3</c:v>
                </c:pt>
                <c:pt idx="21">
                  <c:v>2.2746167315132307E-2</c:v>
                </c:pt>
                <c:pt idx="22">
                  <c:v>2.2378581535303702E-2</c:v>
                </c:pt>
                <c:pt idx="23">
                  <c:v>4.4347440303176477E-3</c:v>
                </c:pt>
                <c:pt idx="24">
                  <c:v>6.6379021235963894E-3</c:v>
                </c:pt>
                <c:pt idx="25">
                  <c:v>-4.2188963772291322E-3</c:v>
                </c:pt>
                <c:pt idx="26">
                  <c:v>6.0672489399104636E-3</c:v>
                </c:pt>
                <c:pt idx="27">
                  <c:v>1.3437540173440381E-2</c:v>
                </c:pt>
                <c:pt idx="28">
                  <c:v>-4.0176765156643536E-3</c:v>
                </c:pt>
                <c:pt idx="29">
                  <c:v>-1.8317754715294671E-3</c:v>
                </c:pt>
                <c:pt idx="30">
                  <c:v>5.0265925228642171E-3</c:v>
                </c:pt>
                <c:pt idx="31">
                  <c:v>-1.8403165128931497E-2</c:v>
                </c:pt>
                <c:pt idx="32">
                  <c:v>8.8289590474144516E-3</c:v>
                </c:pt>
                <c:pt idx="33">
                  <c:v>-8.5040179807266501E-3</c:v>
                </c:pt>
                <c:pt idx="34">
                  <c:v>-1.3362204547200522E-2</c:v>
                </c:pt>
                <c:pt idx="35">
                  <c:v>-5.1733404742911229E-2</c:v>
                </c:pt>
                <c:pt idx="36">
                  <c:v>-2.0461427578525739E-2</c:v>
                </c:pt>
                <c:pt idx="37">
                  <c:v>-2.3367522311960699E-2</c:v>
                </c:pt>
                <c:pt idx="38">
                  <c:v>-7.2126510585964212E-2</c:v>
                </c:pt>
                <c:pt idx="39">
                  <c:v>-3.9520760803563315E-2</c:v>
                </c:pt>
                <c:pt idx="40">
                  <c:v>1.2200382537735251E-2</c:v>
                </c:pt>
                <c:pt idx="41">
                  <c:v>1.5940306462772155E-2</c:v>
                </c:pt>
                <c:pt idx="42">
                  <c:v>-1.1415007788208507E-2</c:v>
                </c:pt>
                <c:pt idx="43">
                  <c:v>-1.2409223391112329E-2</c:v>
                </c:pt>
                <c:pt idx="44">
                  <c:v>-7.221592673231414E-2</c:v>
                </c:pt>
                <c:pt idx="45">
                  <c:v>-0.14164850306311416</c:v>
                </c:pt>
                <c:pt idx="46">
                  <c:v>-1.3400062281282325E-2</c:v>
                </c:pt>
                <c:pt idx="47">
                  <c:v>2.8383401083650159E-2</c:v>
                </c:pt>
                <c:pt idx="48">
                  <c:v>-0.17585604133697358</c:v>
                </c:pt>
                <c:pt idx="49">
                  <c:v>4.0333257089407007E-2</c:v>
                </c:pt>
                <c:pt idx="50">
                  <c:v>-8.5917704582487833E-2</c:v>
                </c:pt>
                <c:pt idx="51">
                  <c:v>8.8541537472641065E-3</c:v>
                </c:pt>
                <c:pt idx="52">
                  <c:v>-0.17287448942854147</c:v>
                </c:pt>
                <c:pt idx="53">
                  <c:v>-8.7583691734501399E-3</c:v>
                </c:pt>
                <c:pt idx="54">
                  <c:v>0.1304334378793619</c:v>
                </c:pt>
                <c:pt idx="55">
                  <c:v>-0.10644362450626198</c:v>
                </c:pt>
                <c:pt idx="56">
                  <c:v>0.12348238961438721</c:v>
                </c:pt>
                <c:pt idx="57">
                  <c:v>4.5284125307886981E-2</c:v>
                </c:pt>
                <c:pt idx="58">
                  <c:v>7.0096687254640577E-2</c:v>
                </c:pt>
                <c:pt idx="59">
                  <c:v>-3.3757485913740296E-2</c:v>
                </c:pt>
                <c:pt idx="60">
                  <c:v>-1.6579871317961601E-2</c:v>
                </c:pt>
                <c:pt idx="61">
                  <c:v>1.175534054820424E-2</c:v>
                </c:pt>
                <c:pt idx="62">
                  <c:v>-0.11359480850378745</c:v>
                </c:pt>
                <c:pt idx="63">
                  <c:v>-1.6967306059765749E-2</c:v>
                </c:pt>
                <c:pt idx="64">
                  <c:v>-6.0370327085853661E-3</c:v>
                </c:pt>
                <c:pt idx="65">
                  <c:v>5.044540023623835E-2</c:v>
                </c:pt>
                <c:pt idx="66">
                  <c:v>8.0414706657482668E-2</c:v>
                </c:pt>
                <c:pt idx="67">
                  <c:v>2.0454394839788207E-4</c:v>
                </c:pt>
                <c:pt idx="68">
                  <c:v>8.2983801200791518E-2</c:v>
                </c:pt>
                <c:pt idx="69">
                  <c:v>-7.2343995729511085E-2</c:v>
                </c:pt>
                <c:pt idx="70">
                  <c:v>-1.5371120772841454E-3</c:v>
                </c:pt>
                <c:pt idx="71">
                  <c:v>-6.9270199769005003E-2</c:v>
                </c:pt>
                <c:pt idx="72">
                  <c:v>7.3642743248746229E-2</c:v>
                </c:pt>
                <c:pt idx="73">
                  <c:v>2.4646184018942842E-2</c:v>
                </c:pt>
                <c:pt idx="74">
                  <c:v>-7.7596873026244614E-2</c:v>
                </c:pt>
                <c:pt idx="75">
                  <c:v>1.317476206948758E-2</c:v>
                </c:pt>
                <c:pt idx="76">
                  <c:v>3.2386107466956984E-2</c:v>
                </c:pt>
                <c:pt idx="77">
                  <c:v>-3.4799450374540165E-2</c:v>
                </c:pt>
                <c:pt idx="78">
                  <c:v>8.7158528028420168E-2</c:v>
                </c:pt>
                <c:pt idx="79">
                  <c:v>3.619447128059055E-2</c:v>
                </c:pt>
                <c:pt idx="80">
                  <c:v>5.3696520956287956E-2</c:v>
                </c:pt>
                <c:pt idx="81">
                  <c:v>-3.8843447711912345E-2</c:v>
                </c:pt>
                <c:pt idx="82">
                  <c:v>-9.2775092827957234E-2</c:v>
                </c:pt>
                <c:pt idx="83">
                  <c:v>4.0548659813001597E-2</c:v>
                </c:pt>
                <c:pt idx="84">
                  <c:v>-6.2330015100608621E-2</c:v>
                </c:pt>
                <c:pt idx="85">
                  <c:v>4.9812341055370446E-3</c:v>
                </c:pt>
                <c:pt idx="86">
                  <c:v>5.270017234368423E-2</c:v>
                </c:pt>
                <c:pt idx="87">
                  <c:v>-2.5095907875871102E-2</c:v>
                </c:pt>
                <c:pt idx="88">
                  <c:v>-2.3489821761368171E-2</c:v>
                </c:pt>
                <c:pt idx="89">
                  <c:v>-6.3437044509710008E-2</c:v>
                </c:pt>
                <c:pt idx="90">
                  <c:v>7.3747557661880342E-3</c:v>
                </c:pt>
                <c:pt idx="91">
                  <c:v>1.8787505064395499E-2</c:v>
                </c:pt>
                <c:pt idx="92">
                  <c:v>5.686721718505594E-2</c:v>
                </c:pt>
                <c:pt idx="93">
                  <c:v>2.2703826582383461E-2</c:v>
                </c:pt>
                <c:pt idx="94">
                  <c:v>-9.4226241999839054E-3</c:v>
                </c:pt>
                <c:pt idx="95">
                  <c:v>-7.3191879005082682E-3</c:v>
                </c:pt>
                <c:pt idx="96">
                  <c:v>-1.7719937188926012E-2</c:v>
                </c:pt>
                <c:pt idx="97">
                  <c:v>1.1036063875364346E-2</c:v>
                </c:pt>
                <c:pt idx="98">
                  <c:v>6.9485117299891222E-2</c:v>
                </c:pt>
                <c:pt idx="99">
                  <c:v>5.7873252053153128E-2</c:v>
                </c:pt>
                <c:pt idx="100">
                  <c:v>-1.4597668055161175E-2</c:v>
                </c:pt>
                <c:pt idx="101">
                  <c:v>-5.1673691603579534E-2</c:v>
                </c:pt>
                <c:pt idx="102">
                  <c:v>4.3894401536566013E-2</c:v>
                </c:pt>
                <c:pt idx="103">
                  <c:v>4.9834934766169063E-2</c:v>
                </c:pt>
                <c:pt idx="104">
                  <c:v>6.4342045416312778E-3</c:v>
                </c:pt>
                <c:pt idx="105">
                  <c:v>9.9441490558131992E-2</c:v>
                </c:pt>
                <c:pt idx="106">
                  <c:v>1.4746463596595467E-2</c:v>
                </c:pt>
                <c:pt idx="107">
                  <c:v>-4.2379787676299706E-2</c:v>
                </c:pt>
                <c:pt idx="108">
                  <c:v>-2.3987917469724809E-2</c:v>
                </c:pt>
                <c:pt idx="109">
                  <c:v>-0.10199227989908072</c:v>
                </c:pt>
                <c:pt idx="110">
                  <c:v>-1.3552667316285523E-2</c:v>
                </c:pt>
                <c:pt idx="111">
                  <c:v>5.2892888451418858E-3</c:v>
                </c:pt>
                <c:pt idx="112">
                  <c:v>6.5600125920504168E-2</c:v>
                </c:pt>
                <c:pt idx="113">
                  <c:v>-1.6163993592497157E-2</c:v>
                </c:pt>
                <c:pt idx="114">
                  <c:v>-8.9084491883821505E-4</c:v>
                </c:pt>
                <c:pt idx="115">
                  <c:v>-7.4656464934572484E-3</c:v>
                </c:pt>
                <c:pt idx="116">
                  <c:v>-2.0683446427805251E-2</c:v>
                </c:pt>
                <c:pt idx="117">
                  <c:v>1.8034132843646796E-2</c:v>
                </c:pt>
                <c:pt idx="118">
                  <c:v>-4.164197305756976E-2</c:v>
                </c:pt>
                <c:pt idx="119">
                  <c:v>2.2599367135050369E-2</c:v>
                </c:pt>
                <c:pt idx="120">
                  <c:v>-2.6926213889914785E-2</c:v>
                </c:pt>
                <c:pt idx="121">
                  <c:v>2.8524473576091729E-3</c:v>
                </c:pt>
                <c:pt idx="122">
                  <c:v>3.0660683832716236E-3</c:v>
                </c:pt>
                <c:pt idx="123">
                  <c:v>2.7322548466412994E-2</c:v>
                </c:pt>
                <c:pt idx="124">
                  <c:v>-2.6971552961059932E-2</c:v>
                </c:pt>
                <c:pt idx="125">
                  <c:v>1.186372544962359E-2</c:v>
                </c:pt>
                <c:pt idx="126">
                  <c:v>-1.9305463233053988E-2</c:v>
                </c:pt>
                <c:pt idx="127">
                  <c:v>-8.8016758778236698E-3</c:v>
                </c:pt>
                <c:pt idx="128">
                  <c:v>-1.4811035225472599E-2</c:v>
                </c:pt>
                <c:pt idx="129">
                  <c:v>2.9934403640507284E-2</c:v>
                </c:pt>
                <c:pt idx="130">
                  <c:v>2.300365350272697E-2</c:v>
                </c:pt>
                <c:pt idx="131">
                  <c:v>-3.448691855172014E-2</c:v>
                </c:pt>
                <c:pt idx="132">
                  <c:v>6.2719893804548095E-4</c:v>
                </c:pt>
                <c:pt idx="133">
                  <c:v>2.478304470866077E-2</c:v>
                </c:pt>
                <c:pt idx="134">
                  <c:v>-2.6898147232285667E-2</c:v>
                </c:pt>
                <c:pt idx="135">
                  <c:v>-1.7059428232255928E-2</c:v>
                </c:pt>
                <c:pt idx="136">
                  <c:v>2.6814457301556838E-2</c:v>
                </c:pt>
                <c:pt idx="137">
                  <c:v>-1.0794404853355673E-2</c:v>
                </c:pt>
                <c:pt idx="138">
                  <c:v>-2.715777336991243E-4</c:v>
                </c:pt>
                <c:pt idx="139">
                  <c:v>-7.2218037099148059E-4</c:v>
                </c:pt>
                <c:pt idx="140">
                  <c:v>-2.2145516764374353E-2</c:v>
                </c:pt>
                <c:pt idx="141">
                  <c:v>7.0694054254071366E-3</c:v>
                </c:pt>
                <c:pt idx="142">
                  <c:v>-1.6488095941552174E-3</c:v>
                </c:pt>
                <c:pt idx="143">
                  <c:v>-2.5569855837656665E-2</c:v>
                </c:pt>
                <c:pt idx="144">
                  <c:v>-1.1866897171854639E-2</c:v>
                </c:pt>
                <c:pt idx="145">
                  <c:v>2.3456415883354099E-2</c:v>
                </c:pt>
                <c:pt idx="146">
                  <c:v>-1.4553000230934863E-2</c:v>
                </c:pt>
                <c:pt idx="147">
                  <c:v>1.2367362414947135E-2</c:v>
                </c:pt>
                <c:pt idx="148">
                  <c:v>-1.2109797686045301E-3</c:v>
                </c:pt>
                <c:pt idx="149">
                  <c:v>-2.7950164089059117E-4</c:v>
                </c:pt>
                <c:pt idx="150">
                  <c:v>4.4851165482492003E-2</c:v>
                </c:pt>
                <c:pt idx="151">
                  <c:v>2.5477509269829609E-2</c:v>
                </c:pt>
                <c:pt idx="152">
                  <c:v>-1.448869272470624E-2</c:v>
                </c:pt>
                <c:pt idx="153">
                  <c:v>-1.7163663221282623E-2</c:v>
                </c:pt>
                <c:pt idx="154">
                  <c:v>6.4347651963937375E-3</c:v>
                </c:pt>
                <c:pt idx="155">
                  <c:v>-2.7829130243471598E-2</c:v>
                </c:pt>
                <c:pt idx="156">
                  <c:v>-2.2982682493317735E-2</c:v>
                </c:pt>
                <c:pt idx="157">
                  <c:v>-9.8429499421814285E-4</c:v>
                </c:pt>
                <c:pt idx="158">
                  <c:v>-1.9708319817836977E-2</c:v>
                </c:pt>
                <c:pt idx="159">
                  <c:v>2.1043668568043196E-3</c:v>
                </c:pt>
                <c:pt idx="160">
                  <c:v>2.0743358708445212E-2</c:v>
                </c:pt>
                <c:pt idx="161">
                  <c:v>1.4806478501256253E-2</c:v>
                </c:pt>
                <c:pt idx="162">
                  <c:v>-2.5836228744865867E-3</c:v>
                </c:pt>
                <c:pt idx="163">
                  <c:v>1.0292549223750721E-2</c:v>
                </c:pt>
                <c:pt idx="164">
                  <c:v>-6.6970665467684272E-3</c:v>
                </c:pt>
                <c:pt idx="165">
                  <c:v>-1.0222279560128134E-2</c:v>
                </c:pt>
                <c:pt idx="166">
                  <c:v>-1.2093546241088717E-3</c:v>
                </c:pt>
                <c:pt idx="167">
                  <c:v>1.5654655927278927E-2</c:v>
                </c:pt>
                <c:pt idx="168">
                  <c:v>2.0133043915819908E-3</c:v>
                </c:pt>
                <c:pt idx="169">
                  <c:v>3.6048762610752724E-3</c:v>
                </c:pt>
                <c:pt idx="170">
                  <c:v>1.2854055870050949E-2</c:v>
                </c:pt>
                <c:pt idx="171">
                  <c:v>-2.971542352664746E-2</c:v>
                </c:pt>
                <c:pt idx="172">
                  <c:v>1.1111129399252288E-3</c:v>
                </c:pt>
                <c:pt idx="173">
                  <c:v>1.5718818037206862E-3</c:v>
                </c:pt>
                <c:pt idx="174">
                  <c:v>1.8454498312636528E-4</c:v>
                </c:pt>
                <c:pt idx="175">
                  <c:v>8.9201793834717043E-3</c:v>
                </c:pt>
                <c:pt idx="176">
                  <c:v>-0.11155484436019104</c:v>
                </c:pt>
                <c:pt idx="177">
                  <c:v>1.4877062219196694E-3</c:v>
                </c:pt>
                <c:pt idx="178">
                  <c:v>-1.4198214989831327E-2</c:v>
                </c:pt>
                <c:pt idx="179">
                  <c:v>-1.5453444394570311E-2</c:v>
                </c:pt>
                <c:pt idx="180">
                  <c:v>-2.4015618684424849E-2</c:v>
                </c:pt>
                <c:pt idx="181">
                  <c:v>7.6187000417073374E-4</c:v>
                </c:pt>
                <c:pt idx="182">
                  <c:v>-8.4305209554855175E-3</c:v>
                </c:pt>
                <c:pt idx="183">
                  <c:v>-2.7581207743794644E-2</c:v>
                </c:pt>
                <c:pt idx="184">
                  <c:v>7.9074184163520703E-4</c:v>
                </c:pt>
                <c:pt idx="185">
                  <c:v>4.0942915961768377E-2</c:v>
                </c:pt>
                <c:pt idx="186">
                  <c:v>-3.9363531912263494E-2</c:v>
                </c:pt>
                <c:pt idx="187">
                  <c:v>2.1714518251104816E-2</c:v>
                </c:pt>
                <c:pt idx="188">
                  <c:v>-3.0482046008377052E-3</c:v>
                </c:pt>
                <c:pt idx="189">
                  <c:v>3.7724522290316998E-3</c:v>
                </c:pt>
                <c:pt idx="190">
                  <c:v>3.7098790382996925E-2</c:v>
                </c:pt>
                <c:pt idx="191">
                  <c:v>1.9437237506701774E-2</c:v>
                </c:pt>
                <c:pt idx="192">
                  <c:v>-1.8481326855474621E-2</c:v>
                </c:pt>
                <c:pt idx="193">
                  <c:v>-9.789757790116739E-3</c:v>
                </c:pt>
                <c:pt idx="194">
                  <c:v>1.0482755304598631E-2</c:v>
                </c:pt>
                <c:pt idx="195">
                  <c:v>9.3359702004851657E-3</c:v>
                </c:pt>
                <c:pt idx="196">
                  <c:v>-2.6861915433837508E-2</c:v>
                </c:pt>
                <c:pt idx="197">
                  <c:v>-1.183965021685854E-2</c:v>
                </c:pt>
                <c:pt idx="198">
                  <c:v>-8.9835225854418155E-3</c:v>
                </c:pt>
                <c:pt idx="199">
                  <c:v>1.1045258250246083E-2</c:v>
                </c:pt>
                <c:pt idx="200">
                  <c:v>-1.5500172473268826E-2</c:v>
                </c:pt>
                <c:pt idx="201">
                  <c:v>1.0552936865613573E-2</c:v>
                </c:pt>
                <c:pt idx="202">
                  <c:v>-1.0919055384675714E-2</c:v>
                </c:pt>
                <c:pt idx="203">
                  <c:v>8.390143443937393E-3</c:v>
                </c:pt>
                <c:pt idx="204">
                  <c:v>1.234263374273193E-2</c:v>
                </c:pt>
                <c:pt idx="205">
                  <c:v>-4.130347488644099E-2</c:v>
                </c:pt>
                <c:pt idx="206">
                  <c:v>-1.7208194549079188E-2</c:v>
                </c:pt>
                <c:pt idx="207">
                  <c:v>7.0227370189978322E-3</c:v>
                </c:pt>
                <c:pt idx="208">
                  <c:v>-7.9672620628725693E-3</c:v>
                </c:pt>
                <c:pt idx="209">
                  <c:v>3.4839207512127164E-2</c:v>
                </c:pt>
                <c:pt idx="210">
                  <c:v>2.1926515669221474E-2</c:v>
                </c:pt>
                <c:pt idx="211">
                  <c:v>-1.7367565271872637E-2</c:v>
                </c:pt>
                <c:pt idx="212">
                  <c:v>2.4075603901379944E-3</c:v>
                </c:pt>
                <c:pt idx="213">
                  <c:v>-1.5691045718944651E-2</c:v>
                </c:pt>
                <c:pt idx="214">
                  <c:v>9.4634859947468605E-2</c:v>
                </c:pt>
                <c:pt idx="215">
                  <c:v>2.7991631881086425E-2</c:v>
                </c:pt>
                <c:pt idx="216">
                  <c:v>4.835201820852765E-3</c:v>
                </c:pt>
                <c:pt idx="217">
                  <c:v>-1.4269326495825982E-2</c:v>
                </c:pt>
                <c:pt idx="218">
                  <c:v>1.6122468507580302E-2</c:v>
                </c:pt>
                <c:pt idx="219">
                  <c:v>3.9034074734217994E-2</c:v>
                </c:pt>
                <c:pt idx="220">
                  <c:v>-1.9177741467788596E-3</c:v>
                </c:pt>
                <c:pt idx="221">
                  <c:v>3.1980269027996638E-2</c:v>
                </c:pt>
                <c:pt idx="222">
                  <c:v>-1.0532050059358838E-2</c:v>
                </c:pt>
                <c:pt idx="223">
                  <c:v>-3.7195272832900332E-3</c:v>
                </c:pt>
                <c:pt idx="224">
                  <c:v>3.8085658842075695E-2</c:v>
                </c:pt>
                <c:pt idx="225">
                  <c:v>3.6898233696673256E-2</c:v>
                </c:pt>
                <c:pt idx="226">
                  <c:v>1.8973586895827219E-2</c:v>
                </c:pt>
                <c:pt idx="227">
                  <c:v>2.879994921731595E-3</c:v>
                </c:pt>
                <c:pt idx="228">
                  <c:v>-1.5824603797289106E-2</c:v>
                </c:pt>
                <c:pt idx="229">
                  <c:v>-1.1348393420369149E-2</c:v>
                </c:pt>
                <c:pt idx="230">
                  <c:v>4.4469993378584462E-3</c:v>
                </c:pt>
                <c:pt idx="231">
                  <c:v>8.0335643564215693E-3</c:v>
                </c:pt>
                <c:pt idx="232">
                  <c:v>-5.7807545745234687E-3</c:v>
                </c:pt>
                <c:pt idx="233">
                  <c:v>2.165462318584788E-2</c:v>
                </c:pt>
                <c:pt idx="234">
                  <c:v>7.869048101302816E-4</c:v>
                </c:pt>
                <c:pt idx="235">
                  <c:v>5.7811605176556443E-4</c:v>
                </c:pt>
                <c:pt idx="236">
                  <c:v>6.3844617588619812E-3</c:v>
                </c:pt>
                <c:pt idx="237">
                  <c:v>1.5139580482454486E-2</c:v>
                </c:pt>
                <c:pt idx="238">
                  <c:v>-1.2135501114778322E-2</c:v>
                </c:pt>
                <c:pt idx="239">
                  <c:v>2.0128802288104188E-3</c:v>
                </c:pt>
                <c:pt idx="240">
                  <c:v>3.2396700931687154E-3</c:v>
                </c:pt>
                <c:pt idx="241">
                  <c:v>7.1044855454971655E-3</c:v>
                </c:pt>
                <c:pt idx="242">
                  <c:v>-2.9006608862939703E-3</c:v>
                </c:pt>
                <c:pt idx="243">
                  <c:v>-9.2763166783253609E-3</c:v>
                </c:pt>
                <c:pt idx="244">
                  <c:v>2.2971188091467032E-2</c:v>
                </c:pt>
                <c:pt idx="245">
                  <c:v>-4.0819465581788941E-3</c:v>
                </c:pt>
                <c:pt idx="246">
                  <c:v>1.0011994592678307E-2</c:v>
                </c:pt>
                <c:pt idx="247">
                  <c:v>2.1529125130478012E-3</c:v>
                </c:pt>
                <c:pt idx="248">
                  <c:v>-9.8809283062376175E-3</c:v>
                </c:pt>
                <c:pt idx="249">
                  <c:v>3.1754831967856236E-3</c:v>
                </c:pt>
                <c:pt idx="250">
                  <c:v>-1.136883015864072E-2</c:v>
                </c:pt>
                <c:pt idx="251">
                  <c:v>5.8329598801422225E-3</c:v>
                </c:pt>
                <c:pt idx="252">
                  <c:v>8.255865092968423E-2</c:v>
                </c:pt>
                <c:pt idx="253">
                  <c:v>1.7480078543590086E-2</c:v>
                </c:pt>
                <c:pt idx="254">
                  <c:v>-3.1629956583253759E-2</c:v>
                </c:pt>
                <c:pt idx="255">
                  <c:v>1.7911405296231787E-2</c:v>
                </c:pt>
                <c:pt idx="256">
                  <c:v>1.9959744788655077E-2</c:v>
                </c:pt>
                <c:pt idx="257">
                  <c:v>-1.0091257801839157E-2</c:v>
                </c:pt>
                <c:pt idx="258">
                  <c:v>3.4411747406405381E-2</c:v>
                </c:pt>
                <c:pt idx="259">
                  <c:v>-3.7445783140078626E-2</c:v>
                </c:pt>
                <c:pt idx="260">
                  <c:v>-2.785970064564481E-2</c:v>
                </c:pt>
                <c:pt idx="261">
                  <c:v>-6.1444903543724579E-4</c:v>
                </c:pt>
                <c:pt idx="262">
                  <c:v>-1.2817020503629701E-2</c:v>
                </c:pt>
                <c:pt idx="263">
                  <c:v>-1.7852201876984219E-2</c:v>
                </c:pt>
                <c:pt idx="264">
                  <c:v>-2.7765486960695477E-2</c:v>
                </c:pt>
                <c:pt idx="265">
                  <c:v>-1.7462826680101243E-2</c:v>
                </c:pt>
                <c:pt idx="266">
                  <c:v>1.5762575178699018E-2</c:v>
                </c:pt>
                <c:pt idx="267">
                  <c:v>-8.1223860524288101E-3</c:v>
                </c:pt>
                <c:pt idx="268">
                  <c:v>8.4316197875264429E-3</c:v>
                </c:pt>
                <c:pt idx="269">
                  <c:v>-2.5493094232592835E-2</c:v>
                </c:pt>
                <c:pt idx="270">
                  <c:v>-1.2703512160348089E-2</c:v>
                </c:pt>
                <c:pt idx="271">
                  <c:v>3.8258305504977407E-2</c:v>
                </c:pt>
                <c:pt idx="272">
                  <c:v>2.5627048705933841E-3</c:v>
                </c:pt>
                <c:pt idx="273">
                  <c:v>3.5977543459282023E-2</c:v>
                </c:pt>
                <c:pt idx="274">
                  <c:v>1.1296574907434508E-2</c:v>
                </c:pt>
                <c:pt idx="275">
                  <c:v>1.6726053730481581E-3</c:v>
                </c:pt>
                <c:pt idx="276">
                  <c:v>-5.2124211184103961E-3</c:v>
                </c:pt>
                <c:pt idx="277">
                  <c:v>6.8356479127652438E-3</c:v>
                </c:pt>
                <c:pt idx="278">
                  <c:v>-8.4643087746591981E-3</c:v>
                </c:pt>
                <c:pt idx="279">
                  <c:v>1.0084595669328794E-2</c:v>
                </c:pt>
                <c:pt idx="280">
                  <c:v>6.2101090428765661E-3</c:v>
                </c:pt>
                <c:pt idx="281">
                  <c:v>-3.2646045623281918E-3</c:v>
                </c:pt>
                <c:pt idx="282">
                  <c:v>1.5008428595637299E-2</c:v>
                </c:pt>
                <c:pt idx="283">
                  <c:v>-1.8710369340674951E-2</c:v>
                </c:pt>
                <c:pt idx="284">
                  <c:v>1.1682801621858521E-2</c:v>
                </c:pt>
                <c:pt idx="285">
                  <c:v>3.3246825784893172E-2</c:v>
                </c:pt>
                <c:pt idx="286">
                  <c:v>-1.028604994616363E-2</c:v>
                </c:pt>
                <c:pt idx="287">
                  <c:v>2.9114380762700089E-2</c:v>
                </c:pt>
                <c:pt idx="288">
                  <c:v>1.5588513594895187E-3</c:v>
                </c:pt>
                <c:pt idx="289">
                  <c:v>-1.8392266849684001E-2</c:v>
                </c:pt>
                <c:pt idx="290">
                  <c:v>3.1753321262654476E-2</c:v>
                </c:pt>
                <c:pt idx="291">
                  <c:v>1.0622671320687225E-2</c:v>
                </c:pt>
                <c:pt idx="292">
                  <c:v>2.2488282631910786E-2</c:v>
                </c:pt>
                <c:pt idx="293">
                  <c:v>-2.0148471329209786E-2</c:v>
                </c:pt>
                <c:pt idx="294">
                  <c:v>2.0340160069782054E-3</c:v>
                </c:pt>
                <c:pt idx="295">
                  <c:v>5.1099643341046247E-2</c:v>
                </c:pt>
                <c:pt idx="296">
                  <c:v>-7.1474409877774212E-3</c:v>
                </c:pt>
                <c:pt idx="297">
                  <c:v>1.2961081738290428E-2</c:v>
                </c:pt>
                <c:pt idx="298">
                  <c:v>1.1501231667103965E-2</c:v>
                </c:pt>
                <c:pt idx="299">
                  <c:v>1.0569723891760641E-2</c:v>
                </c:pt>
                <c:pt idx="300">
                  <c:v>-1.2280966239771094E-2</c:v>
                </c:pt>
                <c:pt idx="301">
                  <c:v>-3.6161224480532111E-3</c:v>
                </c:pt>
                <c:pt idx="302">
                  <c:v>9.2838872753705332E-4</c:v>
                </c:pt>
                <c:pt idx="303">
                  <c:v>3.1128664210659115E-2</c:v>
                </c:pt>
                <c:pt idx="304">
                  <c:v>-3.2358900629593589E-2</c:v>
                </c:pt>
                <c:pt idx="305">
                  <c:v>-1.9914088058565708E-2</c:v>
                </c:pt>
                <c:pt idx="306">
                  <c:v>3.5953566155868893E-3</c:v>
                </c:pt>
                <c:pt idx="307">
                  <c:v>6.1429163760967566E-4</c:v>
                </c:pt>
                <c:pt idx="308">
                  <c:v>-3.3544038009738195E-3</c:v>
                </c:pt>
                <c:pt idx="309">
                  <c:v>1.6873892968328225E-2</c:v>
                </c:pt>
                <c:pt idx="310">
                  <c:v>-2.3949322122316433E-2</c:v>
                </c:pt>
                <c:pt idx="311">
                  <c:v>3.6642914170662073E-2</c:v>
                </c:pt>
                <c:pt idx="312">
                  <c:v>-5.8528964980660205E-3</c:v>
                </c:pt>
                <c:pt idx="313">
                  <c:v>-6.93677784963132E-4</c:v>
                </c:pt>
                <c:pt idx="314">
                  <c:v>-1.193291550515055E-2</c:v>
                </c:pt>
                <c:pt idx="315">
                  <c:v>-5.1371695105394462E-3</c:v>
                </c:pt>
                <c:pt idx="316">
                  <c:v>-5.6597832482620566E-3</c:v>
                </c:pt>
                <c:pt idx="317">
                  <c:v>1.1476332665351916E-2</c:v>
                </c:pt>
                <c:pt idx="318">
                  <c:v>-4.6396124997596898E-3</c:v>
                </c:pt>
                <c:pt idx="319">
                  <c:v>-4.6608072270745496E-3</c:v>
                </c:pt>
                <c:pt idx="320">
                  <c:v>6.5390413925618153E-3</c:v>
                </c:pt>
                <c:pt idx="321">
                  <c:v>-1.4758653602998986E-2</c:v>
                </c:pt>
                <c:pt idx="322">
                  <c:v>1.6174653232668085E-3</c:v>
                </c:pt>
                <c:pt idx="323">
                  <c:v>3.9356573276933702E-3</c:v>
                </c:pt>
                <c:pt idx="324">
                  <c:v>-4.4919782656449317E-2</c:v>
                </c:pt>
                <c:pt idx="325">
                  <c:v>5.8247677103230892E-3</c:v>
                </c:pt>
                <c:pt idx="326">
                  <c:v>8.5255423116181606E-3</c:v>
                </c:pt>
                <c:pt idx="327">
                  <c:v>6.4194779100652773E-3</c:v>
                </c:pt>
                <c:pt idx="328">
                  <c:v>2.1264890603119969E-2</c:v>
                </c:pt>
                <c:pt idx="329">
                  <c:v>9.4925687425586702E-4</c:v>
                </c:pt>
                <c:pt idx="330">
                  <c:v>4.5104262695784113E-4</c:v>
                </c:pt>
                <c:pt idx="331">
                  <c:v>9.4777200756354326E-4</c:v>
                </c:pt>
                <c:pt idx="332">
                  <c:v>-1.3720145034313101E-2</c:v>
                </c:pt>
                <c:pt idx="333">
                  <c:v>3.3059044373248783E-3</c:v>
                </c:pt>
                <c:pt idx="334">
                  <c:v>-4.5747381961760824E-3</c:v>
                </c:pt>
                <c:pt idx="335">
                  <c:v>2.4527280148481736E-2</c:v>
                </c:pt>
                <c:pt idx="336">
                  <c:v>1.0071151207798707E-2</c:v>
                </c:pt>
                <c:pt idx="337">
                  <c:v>-3.9507771134600278E-3</c:v>
                </c:pt>
                <c:pt idx="338">
                  <c:v>2.6810536600779578E-2</c:v>
                </c:pt>
                <c:pt idx="339">
                  <c:v>-2.8045039468221237E-2</c:v>
                </c:pt>
                <c:pt idx="340">
                  <c:v>3.0171235383676925E-2</c:v>
                </c:pt>
                <c:pt idx="341">
                  <c:v>-1.5041126489378961E-2</c:v>
                </c:pt>
                <c:pt idx="342">
                  <c:v>8.5950078239122284E-3</c:v>
                </c:pt>
                <c:pt idx="343">
                  <c:v>8.6789381197748868E-3</c:v>
                </c:pt>
                <c:pt idx="344">
                  <c:v>-2.8936307479294396E-3</c:v>
                </c:pt>
                <c:pt idx="345">
                  <c:v>-2.0530422112465946E-2</c:v>
                </c:pt>
                <c:pt idx="346">
                  <c:v>1.0248016531064949E-2</c:v>
                </c:pt>
                <c:pt idx="347">
                  <c:v>1.7403252766897533E-2</c:v>
                </c:pt>
                <c:pt idx="348">
                  <c:v>4.9731898114452151E-3</c:v>
                </c:pt>
                <c:pt idx="349">
                  <c:v>-6.3248984187354515E-3</c:v>
                </c:pt>
                <c:pt idx="350">
                  <c:v>9.9802886753334423E-3</c:v>
                </c:pt>
                <c:pt idx="351">
                  <c:v>2.4446205136976719E-3</c:v>
                </c:pt>
                <c:pt idx="352">
                  <c:v>3.0586818259499531E-3</c:v>
                </c:pt>
                <c:pt idx="353">
                  <c:v>8.5969343913136851E-3</c:v>
                </c:pt>
                <c:pt idx="354">
                  <c:v>4.8592994948634316E-3</c:v>
                </c:pt>
                <c:pt idx="355">
                  <c:v>8.3294674989717599E-3</c:v>
                </c:pt>
                <c:pt idx="356">
                  <c:v>-1.5944042504969093E-2</c:v>
                </c:pt>
                <c:pt idx="357">
                  <c:v>7.2369083513568069E-4</c:v>
                </c:pt>
                <c:pt idx="358">
                  <c:v>-2.5129012261712364E-3</c:v>
                </c:pt>
                <c:pt idx="359">
                  <c:v>-5.152822646002822E-3</c:v>
                </c:pt>
                <c:pt idx="360">
                  <c:v>-1.0494866704856285E-2</c:v>
                </c:pt>
                <c:pt idx="361">
                  <c:v>-9.971677437851191E-3</c:v>
                </c:pt>
                <c:pt idx="362">
                  <c:v>-1.697162901943677E-2</c:v>
                </c:pt>
                <c:pt idx="363">
                  <c:v>-7.8059243423398688E-3</c:v>
                </c:pt>
                <c:pt idx="364">
                  <c:v>-4.9274858190645428E-2</c:v>
                </c:pt>
                <c:pt idx="365">
                  <c:v>-9.8109601162922437E-3</c:v>
                </c:pt>
                <c:pt idx="366">
                  <c:v>-1.6360570335050107E-2</c:v>
                </c:pt>
                <c:pt idx="367">
                  <c:v>6.9283163556433797E-3</c:v>
                </c:pt>
                <c:pt idx="368">
                  <c:v>2.5566097747338583E-3</c:v>
                </c:pt>
                <c:pt idx="369">
                  <c:v>4.2769677002782299E-3</c:v>
                </c:pt>
                <c:pt idx="370">
                  <c:v>2.7692948927946926E-2</c:v>
                </c:pt>
                <c:pt idx="371">
                  <c:v>2.1331347023363207E-3</c:v>
                </c:pt>
                <c:pt idx="372">
                  <c:v>5.1319008818913586E-3</c:v>
                </c:pt>
                <c:pt idx="373">
                  <c:v>-3.2170611817092542E-3</c:v>
                </c:pt>
                <c:pt idx="374">
                  <c:v>-7.4277739456000847E-3</c:v>
                </c:pt>
                <c:pt idx="375">
                  <c:v>4.3218579447276582E-3</c:v>
                </c:pt>
                <c:pt idx="376">
                  <c:v>-4.9199782562286982E-3</c:v>
                </c:pt>
                <c:pt idx="377">
                  <c:v>7.1713954622595524E-3</c:v>
                </c:pt>
                <c:pt idx="378">
                  <c:v>-3.6147743836920265E-2</c:v>
                </c:pt>
                <c:pt idx="379">
                  <c:v>1.6860735944243188E-3</c:v>
                </c:pt>
                <c:pt idx="380">
                  <c:v>-2.4224200545512081E-2</c:v>
                </c:pt>
                <c:pt idx="381">
                  <c:v>1.7008929900845595E-2</c:v>
                </c:pt>
                <c:pt idx="382">
                  <c:v>7.7681462315913616E-3</c:v>
                </c:pt>
                <c:pt idx="383">
                  <c:v>-3.5120359215215389E-3</c:v>
                </c:pt>
                <c:pt idx="384">
                  <c:v>-1.6098789029290012E-3</c:v>
                </c:pt>
                <c:pt idx="385">
                  <c:v>1.0502739729039283E-2</c:v>
                </c:pt>
                <c:pt idx="386">
                  <c:v>-1.9326226800161779E-2</c:v>
                </c:pt>
                <c:pt idx="387">
                  <c:v>-3.5025012341493314E-2</c:v>
                </c:pt>
                <c:pt idx="388">
                  <c:v>2.5239595398855497E-2</c:v>
                </c:pt>
                <c:pt idx="389">
                  <c:v>1.2098400805492711E-2</c:v>
                </c:pt>
                <c:pt idx="390">
                  <c:v>-8.3029532968828829E-3</c:v>
                </c:pt>
                <c:pt idx="391">
                  <c:v>2.7719632889042275E-3</c:v>
                </c:pt>
                <c:pt idx="392">
                  <c:v>4.3414678939908665E-3</c:v>
                </c:pt>
                <c:pt idx="393">
                  <c:v>4.8452653198255684E-3</c:v>
                </c:pt>
                <c:pt idx="394">
                  <c:v>5.8614947810228628E-3</c:v>
                </c:pt>
                <c:pt idx="395">
                  <c:v>1.2179294089246936E-2</c:v>
                </c:pt>
                <c:pt idx="396">
                  <c:v>-2.1147176857336823E-2</c:v>
                </c:pt>
                <c:pt idx="397">
                  <c:v>5.1837088737967316E-3</c:v>
                </c:pt>
                <c:pt idx="398">
                  <c:v>5.1564967972933251E-3</c:v>
                </c:pt>
                <c:pt idx="399">
                  <c:v>1.0621256900532285E-2</c:v>
                </c:pt>
                <c:pt idx="400">
                  <c:v>6.6060479880746372E-3</c:v>
                </c:pt>
                <c:pt idx="401">
                  <c:v>3.075614056315739E-2</c:v>
                </c:pt>
                <c:pt idx="402">
                  <c:v>7.0172558298121201E-3</c:v>
                </c:pt>
                <c:pt idx="403">
                  <c:v>2.1971621338482475E-2</c:v>
                </c:pt>
                <c:pt idx="404">
                  <c:v>7.928095347340975E-3</c:v>
                </c:pt>
                <c:pt idx="405">
                  <c:v>-2.0529742552407166E-4</c:v>
                </c:pt>
                <c:pt idx="406">
                  <c:v>-1.1873320462555492E-2</c:v>
                </c:pt>
                <c:pt idx="407">
                  <c:v>-2.0019488396837704E-2</c:v>
                </c:pt>
                <c:pt idx="408">
                  <c:v>3.3919702316041371E-3</c:v>
                </c:pt>
                <c:pt idx="409">
                  <c:v>6.9574277322933323E-3</c:v>
                </c:pt>
                <c:pt idx="410">
                  <c:v>-3.2208844511305519E-2</c:v>
                </c:pt>
                <c:pt idx="411">
                  <c:v>1.9629491977607581E-3</c:v>
                </c:pt>
                <c:pt idx="412">
                  <c:v>1.0105942892589335E-2</c:v>
                </c:pt>
                <c:pt idx="413">
                  <c:v>1.2132787149395712E-2</c:v>
                </c:pt>
                <c:pt idx="414">
                  <c:v>2.3076923624993119E-2</c:v>
                </c:pt>
                <c:pt idx="415">
                  <c:v>-7.7486489335209224E-3</c:v>
                </c:pt>
                <c:pt idx="416">
                  <c:v>-3.2732787415263869E-3</c:v>
                </c:pt>
                <c:pt idx="417">
                  <c:v>-1.1586581021820403E-2</c:v>
                </c:pt>
                <c:pt idx="418">
                  <c:v>3.0548552330987386E-3</c:v>
                </c:pt>
                <c:pt idx="419">
                  <c:v>-1.5153448225890554E-2</c:v>
                </c:pt>
                <c:pt idx="420">
                  <c:v>2.4322969809303851E-3</c:v>
                </c:pt>
                <c:pt idx="421">
                  <c:v>-1.4174478740362486E-2</c:v>
                </c:pt>
                <c:pt idx="422">
                  <c:v>4.9627654058688464E-3</c:v>
                </c:pt>
                <c:pt idx="423">
                  <c:v>6.0972188139599643E-3</c:v>
                </c:pt>
                <c:pt idx="424">
                  <c:v>-1.7917467859402562E-2</c:v>
                </c:pt>
                <c:pt idx="425">
                  <c:v>6.001976964452085E-3</c:v>
                </c:pt>
                <c:pt idx="426">
                  <c:v>-1.0147524557932506E-2</c:v>
                </c:pt>
                <c:pt idx="427">
                  <c:v>8.7137352664443113E-3</c:v>
                </c:pt>
                <c:pt idx="428">
                  <c:v>-1.1517539511805239E-2</c:v>
                </c:pt>
                <c:pt idx="429">
                  <c:v>1.0249889920331894E-2</c:v>
                </c:pt>
                <c:pt idx="430">
                  <c:v>5.312820564522913E-3</c:v>
                </c:pt>
                <c:pt idx="431">
                  <c:v>4.545316127143828E-4</c:v>
                </c:pt>
                <c:pt idx="432">
                  <c:v>-5.2482630463932319E-2</c:v>
                </c:pt>
                <c:pt idx="433">
                  <c:v>2.7645360342216569E-3</c:v>
                </c:pt>
                <c:pt idx="434">
                  <c:v>2.7637000176988294E-2</c:v>
                </c:pt>
                <c:pt idx="435">
                  <c:v>2.8219248603899103E-2</c:v>
                </c:pt>
                <c:pt idx="436">
                  <c:v>5.5780692999336792E-3</c:v>
                </c:pt>
                <c:pt idx="437">
                  <c:v>1.8422675307000896E-2</c:v>
                </c:pt>
                <c:pt idx="438">
                  <c:v>-3.2905514490526849E-3</c:v>
                </c:pt>
                <c:pt idx="439">
                  <c:v>1.1602776878754168E-4</c:v>
                </c:pt>
                <c:pt idx="440">
                  <c:v>-3.3005804831063566E-3</c:v>
                </c:pt>
                <c:pt idx="441">
                  <c:v>-3.9654407721642906E-3</c:v>
                </c:pt>
                <c:pt idx="442">
                  <c:v>5.3382625823502981E-3</c:v>
                </c:pt>
                <c:pt idx="443">
                  <c:v>1.7536087446222783E-2</c:v>
                </c:pt>
                <c:pt idx="444">
                  <c:v>-1.2596874884603112E-2</c:v>
                </c:pt>
                <c:pt idx="445">
                  <c:v>2.3476537782572509E-2</c:v>
                </c:pt>
                <c:pt idx="446">
                  <c:v>-9.2616192998731216E-3</c:v>
                </c:pt>
                <c:pt idx="447">
                  <c:v>1.1064796853642277E-2</c:v>
                </c:pt>
                <c:pt idx="448">
                  <c:v>-2.3039617807435901E-2</c:v>
                </c:pt>
                <c:pt idx="449">
                  <c:v>-2.5567198559028746E-2</c:v>
                </c:pt>
                <c:pt idx="450">
                  <c:v>3.7574294841221062E-3</c:v>
                </c:pt>
                <c:pt idx="451">
                  <c:v>3.2274695839752295E-2</c:v>
                </c:pt>
                <c:pt idx="452">
                  <c:v>-5.9773588365668855E-3</c:v>
                </c:pt>
                <c:pt idx="453">
                  <c:v>-8.2795850950151892E-3</c:v>
                </c:pt>
                <c:pt idx="454">
                  <c:v>3.8364431569936587E-3</c:v>
                </c:pt>
                <c:pt idx="455">
                  <c:v>-2.1756250446129357E-2</c:v>
                </c:pt>
                <c:pt idx="456">
                  <c:v>1.2253849510223114E-2</c:v>
                </c:pt>
                <c:pt idx="457">
                  <c:v>-6.5877438010685137E-3</c:v>
                </c:pt>
                <c:pt idx="458">
                  <c:v>-1.3757719613935487E-2</c:v>
                </c:pt>
                <c:pt idx="459">
                  <c:v>6.2543715805935219E-3</c:v>
                </c:pt>
                <c:pt idx="460">
                  <c:v>6.1450998534826355E-4</c:v>
                </c:pt>
                <c:pt idx="461">
                  <c:v>-7.340890623839233E-3</c:v>
                </c:pt>
                <c:pt idx="462">
                  <c:v>-8.7363228274542574E-3</c:v>
                </c:pt>
                <c:pt idx="463">
                  <c:v>-1.5581446567504275E-3</c:v>
                </c:pt>
                <c:pt idx="464">
                  <c:v>-2.5411649224823599E-2</c:v>
                </c:pt>
                <c:pt idx="465">
                  <c:v>6.6552031775983954E-3</c:v>
                </c:pt>
                <c:pt idx="466">
                  <c:v>1.8785241684709336E-2</c:v>
                </c:pt>
                <c:pt idx="467">
                  <c:v>-1.5629399723425218E-2</c:v>
                </c:pt>
                <c:pt idx="468">
                  <c:v>9.1295066689302817E-3</c:v>
                </c:pt>
                <c:pt idx="469">
                  <c:v>1.8886867159389583E-2</c:v>
                </c:pt>
                <c:pt idx="470">
                  <c:v>-5.5386617332288677E-3</c:v>
                </c:pt>
                <c:pt idx="471">
                  <c:v>3.9509118611916012E-3</c:v>
                </c:pt>
                <c:pt idx="472">
                  <c:v>-9.9020165724168566E-3</c:v>
                </c:pt>
                <c:pt idx="473">
                  <c:v>-3.5779213528996084E-3</c:v>
                </c:pt>
                <c:pt idx="474">
                  <c:v>-9.185094304704591E-3</c:v>
                </c:pt>
                <c:pt idx="475">
                  <c:v>-7.8976380426926691E-3</c:v>
                </c:pt>
                <c:pt idx="476">
                  <c:v>2.9499064825057146E-2</c:v>
                </c:pt>
                <c:pt idx="477">
                  <c:v>2.2799267482652135E-3</c:v>
                </c:pt>
                <c:pt idx="478">
                  <c:v>2.2745273776168958E-3</c:v>
                </c:pt>
                <c:pt idx="479">
                  <c:v>-5.3594080291682914E-3</c:v>
                </c:pt>
                <c:pt idx="480">
                  <c:v>-5.7782766699792168E-2</c:v>
                </c:pt>
                <c:pt idx="481">
                  <c:v>1.1875171248083705E-2</c:v>
                </c:pt>
                <c:pt idx="482">
                  <c:v>-1.1439067786171632E-2</c:v>
                </c:pt>
                <c:pt idx="483">
                  <c:v>9.0780425244446558E-3</c:v>
                </c:pt>
                <c:pt idx="484">
                  <c:v>-1.6601931739250418E-2</c:v>
                </c:pt>
                <c:pt idx="485">
                  <c:v>-2.713808120400158E-3</c:v>
                </c:pt>
                <c:pt idx="486">
                  <c:v>-2.0070387708153643E-3</c:v>
                </c:pt>
                <c:pt idx="487">
                  <c:v>-1.8321433316631039E-3</c:v>
                </c:pt>
                <c:pt idx="488">
                  <c:v>-1.2817534788271443E-2</c:v>
                </c:pt>
                <c:pt idx="489">
                  <c:v>-1.0235745256771216E-2</c:v>
                </c:pt>
                <c:pt idx="490">
                  <c:v>-1.9062971350469936E-2</c:v>
                </c:pt>
                <c:pt idx="491">
                  <c:v>-1.3179825600720466E-2</c:v>
                </c:pt>
                <c:pt idx="492">
                  <c:v>1.569307566630709E-2</c:v>
                </c:pt>
                <c:pt idx="493">
                  <c:v>-1.1451619041705991E-2</c:v>
                </c:pt>
                <c:pt idx="494">
                  <c:v>2.667130165925654E-2</c:v>
                </c:pt>
                <c:pt idx="495">
                  <c:v>-2.9588753467948776E-2</c:v>
                </c:pt>
                <c:pt idx="496">
                  <c:v>-3.4578921769356334E-2</c:v>
                </c:pt>
                <c:pt idx="497">
                  <c:v>2.8433464344576019E-2</c:v>
                </c:pt>
                <c:pt idx="498">
                  <c:v>-1.7553438263974435E-3</c:v>
                </c:pt>
                <c:pt idx="499">
                  <c:v>1.0351623332671899E-2</c:v>
                </c:pt>
                <c:pt idx="500">
                  <c:v>8.7543023258021251E-3</c:v>
                </c:pt>
                <c:pt idx="501">
                  <c:v>1.8161162024389228E-3</c:v>
                </c:pt>
                <c:pt idx="502">
                  <c:v>-8.267700586974961E-3</c:v>
                </c:pt>
                <c:pt idx="503">
                  <c:v>2.950950967545688E-3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60-4B3C-A4FE-CC0091D1A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156944"/>
        <c:axId val="701153336"/>
      </c:scatterChart>
      <c:valAx>
        <c:axId val="70115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00_);_(* \(#,##0.0000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3336"/>
        <c:crosses val="autoZero"/>
        <c:crossBetween val="midCat"/>
      </c:valAx>
      <c:valAx>
        <c:axId val="70115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00_);_(* \(#,##0.0000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5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Portfolio E(r</a:t>
            </a:r>
            <a:r>
              <a:rPr lang="en-US" b="1" baseline="-25000"/>
              <a:t>p</a:t>
            </a:r>
            <a:r>
              <a:rPr lang="en-US" b="1"/>
              <a:t>) and </a:t>
            </a:r>
            <a:r>
              <a:rPr lang="el-GR" b="1"/>
              <a:t>σ</a:t>
            </a:r>
            <a:r>
              <a:rPr lang="en-US" b="1" baseline="-25000"/>
              <a:t>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1737394003634"/>
          <c:y val="0.13373333333333334"/>
          <c:w val="0.80778662476607466"/>
          <c:h val="0.7186887139107611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'2.5.6. Build portfolio'!$B$17:$B$66</c:f>
              <c:numCache>
                <c:formatCode>_(* #,##0.00000_);_(* \(#,##0.00000\);_(* "-"??_);_(@_)</c:formatCode>
                <c:ptCount val="50"/>
                <c:pt idx="0">
                  <c:v>1.8334309192394347E-2</c:v>
                </c:pt>
                <c:pt idx="1">
                  <c:v>1.7999780198957305E-2</c:v>
                </c:pt>
                <c:pt idx="2">
                  <c:v>1.692240859804512E-2</c:v>
                </c:pt>
                <c:pt idx="3">
                  <c:v>1.6781462805866676E-2</c:v>
                </c:pt>
                <c:pt idx="4">
                  <c:v>1.6781462805866676E-2</c:v>
                </c:pt>
                <c:pt idx="5">
                  <c:v>1.6253521972535233E-2</c:v>
                </c:pt>
                <c:pt idx="6">
                  <c:v>1.6012289425007153E-2</c:v>
                </c:pt>
                <c:pt idx="7">
                  <c:v>1.6012289425007153E-2</c:v>
                </c:pt>
                <c:pt idx="8">
                  <c:v>1.5897666633603934E-2</c:v>
                </c:pt>
                <c:pt idx="9">
                  <c:v>1.5897666633603934E-2</c:v>
                </c:pt>
                <c:pt idx="10">
                  <c:v>1.5578821344929735E-2</c:v>
                </c:pt>
                <c:pt idx="11">
                  <c:v>1.5481166928570126E-2</c:v>
                </c:pt>
                <c:pt idx="12">
                  <c:v>1.5299300206996038E-2</c:v>
                </c:pt>
                <c:pt idx="13">
                  <c:v>1.5061292818774089E-2</c:v>
                </c:pt>
                <c:pt idx="14">
                  <c:v>1.5061292818774089E-2</c:v>
                </c:pt>
                <c:pt idx="15">
                  <c:v>1.4991533982914555E-2</c:v>
                </c:pt>
                <c:pt idx="16">
                  <c:v>1.4926679361177746E-2</c:v>
                </c:pt>
                <c:pt idx="17">
                  <c:v>1.4762162725630813E-2</c:v>
                </c:pt>
                <c:pt idx="18">
                  <c:v>1.4717526189497294E-2</c:v>
                </c:pt>
                <c:pt idx="19">
                  <c:v>1.4678072821102079E-2</c:v>
                </c:pt>
                <c:pt idx="20">
                  <c:v>1.4559834538698803E-2</c:v>
                </c:pt>
                <c:pt idx="21">
                  <c:v>1.4618679474328659E-2</c:v>
                </c:pt>
                <c:pt idx="22">
                  <c:v>1.4618679474328659E-2</c:v>
                </c:pt>
                <c:pt idx="23">
                  <c:v>1.4648397168588729E-2</c:v>
                </c:pt>
                <c:pt idx="24">
                  <c:v>1.4723565705607603E-2</c:v>
                </c:pt>
                <c:pt idx="25">
                  <c:v>1.4723565705607603E-2</c:v>
                </c:pt>
                <c:pt idx="26">
                  <c:v>1.4875013506684518E-2</c:v>
                </c:pt>
                <c:pt idx="27">
                  <c:v>1.4875013506684518E-2</c:v>
                </c:pt>
                <c:pt idx="28">
                  <c:v>1.4875013506684518E-2</c:v>
                </c:pt>
                <c:pt idx="29">
                  <c:v>1.493561085709647E-2</c:v>
                </c:pt>
                <c:pt idx="30">
                  <c:v>1.5071619315231714E-2</c:v>
                </c:pt>
                <c:pt idx="31">
                  <c:v>1.5146897406444074E-2</c:v>
                </c:pt>
                <c:pt idx="32">
                  <c:v>1.5311643705526875E-2</c:v>
                </c:pt>
                <c:pt idx="33">
                  <c:v>1.5400960120414009E-2</c:v>
                </c:pt>
                <c:pt idx="34">
                  <c:v>1.5400960120414009E-2</c:v>
                </c:pt>
                <c:pt idx="35">
                  <c:v>1.5400960120414009E-2</c:v>
                </c:pt>
                <c:pt idx="36">
                  <c:v>1.5494800034161992E-2</c:v>
                </c:pt>
                <c:pt idx="37">
                  <c:v>1.6148151372826151E-2</c:v>
                </c:pt>
                <c:pt idx="38">
                  <c:v>1.6271289403280355E-2</c:v>
                </c:pt>
                <c:pt idx="39">
                  <c:v>1.6271289403280355E-2</c:v>
                </c:pt>
                <c:pt idx="40">
                  <c:v>1.6398263345043643E-2</c:v>
                </c:pt>
                <c:pt idx="41">
                  <c:v>1.6663365563928067E-2</c:v>
                </c:pt>
                <c:pt idx="42">
                  <c:v>1.6801317841547651E-2</c:v>
                </c:pt>
                <c:pt idx="43">
                  <c:v>1.8704535956689552E-2</c:v>
                </c:pt>
                <c:pt idx="44">
                  <c:v>1.8881358533834887E-2</c:v>
                </c:pt>
                <c:pt idx="45">
                  <c:v>1.9800949743923459E-2</c:v>
                </c:pt>
                <c:pt idx="46">
                  <c:v>2.097416804208781E-2</c:v>
                </c:pt>
                <c:pt idx="47">
                  <c:v>2.1176287432311793E-2</c:v>
                </c:pt>
                <c:pt idx="48">
                  <c:v>2.1380147089684325E-2</c:v>
                </c:pt>
                <c:pt idx="49">
                  <c:v>2.1792891439764112E-2</c:v>
                </c:pt>
              </c:numCache>
            </c:numRef>
          </c:xVal>
          <c:yVal>
            <c:numRef>
              <c:f>'2.5.6. Build portfolio'!$C$17:$C$66</c:f>
              <c:numCache>
                <c:formatCode>_(* #,##0.00000_);_(* \(#,##0.00000\);_(* "-"??_);_(@_)</c:formatCode>
                <c:ptCount val="50"/>
                <c:pt idx="0">
                  <c:v>-1.892689546317633E-3</c:v>
                </c:pt>
                <c:pt idx="1">
                  <c:v>-1.8920832095528244E-3</c:v>
                </c:pt>
                <c:pt idx="2">
                  <c:v>-1.8899610308759946E-3</c:v>
                </c:pt>
                <c:pt idx="3">
                  <c:v>-1.8896578624935905E-3</c:v>
                </c:pt>
                <c:pt idx="4">
                  <c:v>-1.8896578624935905E-3</c:v>
                </c:pt>
                <c:pt idx="5">
                  <c:v>-1.8884451889639733E-3</c:v>
                </c:pt>
                <c:pt idx="6">
                  <c:v>-1.8878388521991647E-3</c:v>
                </c:pt>
                <c:pt idx="7">
                  <c:v>-1.8878388521991647E-3</c:v>
                </c:pt>
                <c:pt idx="8">
                  <c:v>-1.8875356838167607E-3</c:v>
                </c:pt>
                <c:pt idx="9">
                  <c:v>-1.8875356838167607E-3</c:v>
                </c:pt>
                <c:pt idx="10">
                  <c:v>-1.8866261786695479E-3</c:v>
                </c:pt>
                <c:pt idx="11">
                  <c:v>-1.8863230102871436E-3</c:v>
                </c:pt>
                <c:pt idx="12">
                  <c:v>-1.8857166735223351E-3</c:v>
                </c:pt>
                <c:pt idx="13">
                  <c:v>-1.8848071683751225E-3</c:v>
                </c:pt>
                <c:pt idx="14">
                  <c:v>-1.8848071683751225E-3</c:v>
                </c:pt>
                <c:pt idx="15">
                  <c:v>-1.884503999992718E-3</c:v>
                </c:pt>
                <c:pt idx="16">
                  <c:v>-1.8842008316103135E-3</c:v>
                </c:pt>
                <c:pt idx="17">
                  <c:v>-1.883291326463101E-3</c:v>
                </c:pt>
                <c:pt idx="18">
                  <c:v>-1.8829881580806965E-3</c:v>
                </c:pt>
                <c:pt idx="19">
                  <c:v>-1.8826849896982924E-3</c:v>
                </c:pt>
                <c:pt idx="20">
                  <c:v>-1.8811691477862713E-3</c:v>
                </c:pt>
                <c:pt idx="21">
                  <c:v>-1.8790469691094415E-3</c:v>
                </c:pt>
                <c:pt idx="22">
                  <c:v>-1.8790469691094415E-3</c:v>
                </c:pt>
                <c:pt idx="23">
                  <c:v>-1.8787438007270372E-3</c:v>
                </c:pt>
                <c:pt idx="24">
                  <c:v>-1.8781374639622287E-3</c:v>
                </c:pt>
                <c:pt idx="25">
                  <c:v>-1.8781374639622287E-3</c:v>
                </c:pt>
                <c:pt idx="26">
                  <c:v>-1.8772279588150159E-3</c:v>
                </c:pt>
                <c:pt idx="27">
                  <c:v>-1.8772279588150159E-3</c:v>
                </c:pt>
                <c:pt idx="28">
                  <c:v>-1.8772279588150159E-3</c:v>
                </c:pt>
                <c:pt idx="29">
                  <c:v>-1.8769247904326116E-3</c:v>
                </c:pt>
                <c:pt idx="30">
                  <c:v>-1.8763184536678031E-3</c:v>
                </c:pt>
                <c:pt idx="31">
                  <c:v>-1.8760152852853988E-3</c:v>
                </c:pt>
                <c:pt idx="32">
                  <c:v>-1.8754089485205905E-3</c:v>
                </c:pt>
                <c:pt idx="33">
                  <c:v>-1.875105780138186E-3</c:v>
                </c:pt>
                <c:pt idx="34">
                  <c:v>-1.875105780138186E-3</c:v>
                </c:pt>
                <c:pt idx="35">
                  <c:v>-1.875105780138186E-3</c:v>
                </c:pt>
                <c:pt idx="36">
                  <c:v>-1.8748026117557817E-3</c:v>
                </c:pt>
                <c:pt idx="37">
                  <c:v>-1.8729836014613564E-3</c:v>
                </c:pt>
                <c:pt idx="38">
                  <c:v>-1.8726804330789521E-3</c:v>
                </c:pt>
                <c:pt idx="39">
                  <c:v>-1.8726804330789521E-3</c:v>
                </c:pt>
                <c:pt idx="40">
                  <c:v>-1.8723772646965478E-3</c:v>
                </c:pt>
                <c:pt idx="41">
                  <c:v>-1.8717709279317393E-3</c:v>
                </c:pt>
                <c:pt idx="42">
                  <c:v>-1.8714677595493348E-3</c:v>
                </c:pt>
                <c:pt idx="43">
                  <c:v>-1.8678297389604841E-3</c:v>
                </c:pt>
                <c:pt idx="44">
                  <c:v>-1.8675265705780796E-3</c:v>
                </c:pt>
                <c:pt idx="45">
                  <c:v>-1.8660107286660582E-3</c:v>
                </c:pt>
                <c:pt idx="46">
                  <c:v>-1.8641917183716329E-3</c:v>
                </c:pt>
                <c:pt idx="47">
                  <c:v>-1.8638885499892286E-3</c:v>
                </c:pt>
                <c:pt idx="48">
                  <c:v>-1.8635853816068243E-3</c:v>
                </c:pt>
                <c:pt idx="49">
                  <c:v>-1.8629790448420158E-3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F2-4A5A-BAA2-AF7087DEE911}"/>
            </c:ext>
          </c:extLst>
        </c:ser>
        <c:ser>
          <c:idx val="1"/>
          <c:order val="1"/>
          <c:tx>
            <c:strRef>
              <c:f>'2.5.6. Build portfolio'!$B$2</c:f>
              <c:strCache>
                <c:ptCount val="1"/>
                <c:pt idx="0">
                  <c:v>BAC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'2.5.6. Build portfolio'!$B$5</c:f>
              <c:numCache>
                <c:formatCode>_(* #,##0.0000_);_(* \(#,##0.0000\);_(* "-"??_);_(@_)</c:formatCode>
                <c:ptCount val="1"/>
                <c:pt idx="0">
                  <c:v>2.2001681864655256E-2</c:v>
                </c:pt>
              </c:numCache>
            </c:numRef>
          </c:xVal>
          <c:yVal>
            <c:numRef>
              <c:f>'2.5.6. Build portfolio'!$B$3</c:f>
              <c:numCache>
                <c:formatCode>_(* #,##0.0000_);_(* \(#,##0.0000\);_(* "-"??_);_(@_)</c:formatCode>
                <c:ptCount val="1"/>
                <c:pt idx="0">
                  <c:v>-1.8626758764596115E-3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F2-4A5A-BAA2-AF7087DEE911}"/>
            </c:ext>
          </c:extLst>
        </c:ser>
        <c:ser>
          <c:idx val="2"/>
          <c:order val="2"/>
          <c:tx>
            <c:v>CITI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'2.5.6. Build portfolio'!$C$5</c:f>
              <c:numCache>
                <c:formatCode>_(* #,##0.0000_);_(* \(#,##0.0000\);_(* "-"??_);_(@_)</c:formatCode>
                <c:ptCount val="1"/>
                <c:pt idx="0">
                  <c:v>1.8505633478534008E-2</c:v>
                </c:pt>
              </c:numCache>
            </c:numRef>
          </c:xVal>
          <c:yVal>
            <c:numRef>
              <c:f>'2.5.6. Build portfolio'!$C$3</c:f>
              <c:numCache>
                <c:formatCode>_(* #,##0.0000_);_(* \(#,##0.0000\);_(* "-"??_);_(@_)</c:formatCode>
                <c:ptCount val="1"/>
                <c:pt idx="0">
                  <c:v>-1.8929927147000372E-3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F2-4A5A-BAA2-AF7087DEE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885520"/>
        <c:axId val="476885912"/>
      </c:scatterChart>
      <c:valAx>
        <c:axId val="476885520"/>
        <c:scaling>
          <c:orientation val="minMax"/>
          <c:max val="2.3000000000000007E-2"/>
          <c:min val="1.4000000000000002E-2"/>
        </c:scaling>
        <c:delete val="0"/>
        <c:axPos val="t"/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85912"/>
        <c:crossesAt val="-3.0000000000000008E-4"/>
        <c:crossBetween val="midCat"/>
        <c:majorUnit val="8.0000000000000026E-4"/>
      </c:valAx>
      <c:valAx>
        <c:axId val="476885912"/>
        <c:scaling>
          <c:orientation val="maxMin"/>
          <c:max val="-1.8400000000000005E-3"/>
          <c:min val="-1.9000000000000006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Portfolio mean return E(r</a:t>
                </a:r>
                <a:r>
                  <a:rPr lang="en-US" baseline="-25000"/>
                  <a:t>p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85520"/>
        <c:crossesAt val="2.0000000000000004E-2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BAC Q1_2022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153244733297231E-2"/>
          <c:y val="0.18836428731259788"/>
          <c:w val="0.87710425085753174"/>
          <c:h val="0.730193476318928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'7.BAC_2022_Q1'!$A$9:$A$259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'7.BAC_2022_Q1'!$B$9:$B$259</c:f>
              <c:numCache>
                <c:formatCode>#,##0.00</c:formatCode>
                <c:ptCount val="251"/>
                <c:pt idx="0">
                  <c:v>46.18</c:v>
                </c:pt>
                <c:pt idx="1">
                  <c:v>46.349762121819758</c:v>
                </c:pt>
                <c:pt idx="2">
                  <c:v>46.381484582206767</c:v>
                </c:pt>
                <c:pt idx="3">
                  <c:v>46.384649487222092</c:v>
                </c:pt>
                <c:pt idx="4">
                  <c:v>46.543453049665061</c:v>
                </c:pt>
                <c:pt idx="5">
                  <c:v>46.593649983762262</c:v>
                </c:pt>
                <c:pt idx="6">
                  <c:v>46.910088427175268</c:v>
                </c:pt>
                <c:pt idx="7">
                  <c:v>47.095127017424154</c:v>
                </c:pt>
                <c:pt idx="8">
                  <c:v>47.129726622204714</c:v>
                </c:pt>
                <c:pt idx="9">
                  <c:v>47.331709739321767</c:v>
                </c:pt>
                <c:pt idx="10">
                  <c:v>47.665437224899627</c:v>
                </c:pt>
                <c:pt idx="11">
                  <c:v>47.773820624397246</c:v>
                </c:pt>
                <c:pt idx="12">
                  <c:v>47.799554222600371</c:v>
                </c:pt>
                <c:pt idx="13">
                  <c:v>47.881136335875304</c:v>
                </c:pt>
                <c:pt idx="14">
                  <c:v>48.030105739315793</c:v>
                </c:pt>
                <c:pt idx="15">
                  <c:v>47.918418738773937</c:v>
                </c:pt>
                <c:pt idx="16">
                  <c:v>47.893618336559882</c:v>
                </c:pt>
                <c:pt idx="17">
                  <c:v>48.03670885067762</c:v>
                </c:pt>
                <c:pt idx="18">
                  <c:v>48.101415697439954</c:v>
                </c:pt>
                <c:pt idx="19">
                  <c:v>48.195875624983813</c:v>
                </c:pt>
                <c:pt idx="20">
                  <c:v>48.370340172127761</c:v>
                </c:pt>
                <c:pt idx="21">
                  <c:v>48.361803286348902</c:v>
                </c:pt>
                <c:pt idx="22">
                  <c:v>48.569042910598384</c:v>
                </c:pt>
                <c:pt idx="23">
                  <c:v>48.818946222562623</c:v>
                </c:pt>
                <c:pt idx="24">
                  <c:v>48.902973602851993</c:v>
                </c:pt>
                <c:pt idx="25">
                  <c:v>49.138487602348206</c:v>
                </c:pt>
                <c:pt idx="26">
                  <c:v>49.344974851177334</c:v>
                </c:pt>
                <c:pt idx="27">
                  <c:v>49.585155249716607</c:v>
                </c:pt>
                <c:pt idx="28">
                  <c:v>49.721133608016238</c:v>
                </c:pt>
                <c:pt idx="29">
                  <c:v>49.755028042761332</c:v>
                </c:pt>
                <c:pt idx="30">
                  <c:v>50.003570782332091</c:v>
                </c:pt>
                <c:pt idx="31">
                  <c:v>50.164767996615844</c:v>
                </c:pt>
                <c:pt idx="32">
                  <c:v>50.143121819028508</c:v>
                </c:pt>
                <c:pt idx="33">
                  <c:v>50.175926077399922</c:v>
                </c:pt>
                <c:pt idx="34">
                  <c:v>50.385717669898014</c:v>
                </c:pt>
                <c:pt idx="35">
                  <c:v>50.56095713717486</c:v>
                </c:pt>
                <c:pt idx="36">
                  <c:v>50.938290639752559</c:v>
                </c:pt>
                <c:pt idx="37">
                  <c:v>51.111655299300963</c:v>
                </c:pt>
                <c:pt idx="38">
                  <c:v>51.506605476755801</c:v>
                </c:pt>
                <c:pt idx="39">
                  <c:v>51.721496543563681</c:v>
                </c:pt>
                <c:pt idx="40">
                  <c:v>51.722566452298672</c:v>
                </c:pt>
                <c:pt idx="41">
                  <c:v>51.936005930654161</c:v>
                </c:pt>
                <c:pt idx="42">
                  <c:v>52.222441932910165</c:v>
                </c:pt>
                <c:pt idx="43">
                  <c:v>52.75417545710404</c:v>
                </c:pt>
                <c:pt idx="44">
                  <c:v>53.000862891795002</c:v>
                </c:pt>
                <c:pt idx="45">
                  <c:v>53.262277580953651</c:v>
                </c:pt>
                <c:pt idx="46">
                  <c:v>53.561143500398096</c:v>
                </c:pt>
                <c:pt idx="47">
                  <c:v>53.665878837656386</c:v>
                </c:pt>
                <c:pt idx="48">
                  <c:v>53.707928729916766</c:v>
                </c:pt>
                <c:pt idx="49">
                  <c:v>53.80508927243892</c:v>
                </c:pt>
                <c:pt idx="50">
                  <c:v>53.889964295417712</c:v>
                </c:pt>
                <c:pt idx="51">
                  <c:v>54.094001074799415</c:v>
                </c:pt>
                <c:pt idx="52">
                  <c:v>54.029208342595986</c:v>
                </c:pt>
                <c:pt idx="53">
                  <c:v>54.028420876600151</c:v>
                </c:pt>
                <c:pt idx="54">
                  <c:v>54.08610197549622</c:v>
                </c:pt>
                <c:pt idx="55">
                  <c:v>54.019026650201361</c:v>
                </c:pt>
                <c:pt idx="56">
                  <c:v>54.036012840676577</c:v>
                </c:pt>
                <c:pt idx="57">
                  <c:v>54.402656453261422</c:v>
                </c:pt>
                <c:pt idx="58">
                  <c:v>54.560298173813244</c:v>
                </c:pt>
                <c:pt idx="59">
                  <c:v>54.736393052484814</c:v>
                </c:pt>
                <c:pt idx="60">
                  <c:v>54.9350934470461</c:v>
                </c:pt>
                <c:pt idx="61">
                  <c:v>54.957027342239904</c:v>
                </c:pt>
                <c:pt idx="62">
                  <c:v>54.897828161299181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73-47BF-883D-8E69850338CF}"/>
            </c:ext>
          </c:extLst>
        </c:ser>
        <c:ser>
          <c:idx val="1"/>
          <c:order val="1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'7.BAC_2022_Q1'!$A$9:$A$259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'7.BAC_2022_Q1'!$C$9:$C$259</c:f>
              <c:numCache>
                <c:formatCode>#,##0.00</c:formatCode>
                <c:ptCount val="251"/>
                <c:pt idx="0">
                  <c:v>46.18</c:v>
                </c:pt>
                <c:pt idx="1">
                  <c:v>46.310858133911758</c:v>
                </c:pt>
                <c:pt idx="2">
                  <c:v>46.317961832171854</c:v>
                </c:pt>
                <c:pt idx="3">
                  <c:v>46.311152053917112</c:v>
                </c:pt>
                <c:pt idx="4">
                  <c:v>46.367860975959985</c:v>
                </c:pt>
                <c:pt idx="5">
                  <c:v>46.26961042433944</c:v>
                </c:pt>
                <c:pt idx="6">
                  <c:v>46.503479895142711</c:v>
                </c:pt>
                <c:pt idx="7">
                  <c:v>46.478275870056208</c:v>
                </c:pt>
                <c:pt idx="8">
                  <c:v>46.547960443923998</c:v>
                </c:pt>
                <c:pt idx="9">
                  <c:v>46.499822092725154</c:v>
                </c:pt>
                <c:pt idx="10">
                  <c:v>46.641408720582071</c:v>
                </c:pt>
                <c:pt idx="11">
                  <c:v>46.664738968006837</c:v>
                </c:pt>
                <c:pt idx="12">
                  <c:v>46.706769687940039</c:v>
                </c:pt>
                <c:pt idx="13">
                  <c:v>46.881751436270285</c:v>
                </c:pt>
                <c:pt idx="14">
                  <c:v>46.853733906331243</c:v>
                </c:pt>
                <c:pt idx="15">
                  <c:v>46.948645744580077</c:v>
                </c:pt>
                <c:pt idx="16">
                  <c:v>47.178946455336657</c:v>
                </c:pt>
                <c:pt idx="17">
                  <c:v>47.19604248328573</c:v>
                </c:pt>
                <c:pt idx="18">
                  <c:v>47.30826705474162</c:v>
                </c:pt>
                <c:pt idx="19">
                  <c:v>47.403805475079018</c:v>
                </c:pt>
                <c:pt idx="20">
                  <c:v>47.579665944073881</c:v>
                </c:pt>
                <c:pt idx="21">
                  <c:v>47.778181094446722</c:v>
                </c:pt>
                <c:pt idx="22">
                  <c:v>47.859353403417678</c:v>
                </c:pt>
                <c:pt idx="23">
                  <c:v>47.867277142453773</c:v>
                </c:pt>
                <c:pt idx="24">
                  <c:v>48.084202412824126</c:v>
                </c:pt>
                <c:pt idx="25">
                  <c:v>48.197093976412155</c:v>
                </c:pt>
                <c:pt idx="26">
                  <c:v>48.27952896604446</c:v>
                </c:pt>
                <c:pt idx="27">
                  <c:v>48.36126539289512</c:v>
                </c:pt>
                <c:pt idx="28">
                  <c:v>48.456003536799102</c:v>
                </c:pt>
                <c:pt idx="29">
                  <c:v>48.549136103527147</c:v>
                </c:pt>
                <c:pt idx="30">
                  <c:v>48.860299164219654</c:v>
                </c:pt>
                <c:pt idx="31">
                  <c:v>48.922603704876309</c:v>
                </c:pt>
                <c:pt idx="32">
                  <c:v>49.093186852281924</c:v>
                </c:pt>
                <c:pt idx="33">
                  <c:v>49.323105674602367</c:v>
                </c:pt>
                <c:pt idx="34">
                  <c:v>49.400087550740061</c:v>
                </c:pt>
                <c:pt idx="35">
                  <c:v>49.547396045088171</c:v>
                </c:pt>
                <c:pt idx="36">
                  <c:v>49.554740159748007</c:v>
                </c:pt>
                <c:pt idx="37">
                  <c:v>49.568285453380668</c:v>
                </c:pt>
                <c:pt idx="38">
                  <c:v>49.684310908245877</c:v>
                </c:pt>
                <c:pt idx="39">
                  <c:v>49.504371170926412</c:v>
                </c:pt>
                <c:pt idx="40">
                  <c:v>49.652624685396468</c:v>
                </c:pt>
                <c:pt idx="41">
                  <c:v>49.808229389846424</c:v>
                </c:pt>
                <c:pt idx="42">
                  <c:v>50.083529952267746</c:v>
                </c:pt>
                <c:pt idx="43">
                  <c:v>50.340410287639109</c:v>
                </c:pt>
                <c:pt idx="44">
                  <c:v>50.308972288068006</c:v>
                </c:pt>
                <c:pt idx="45">
                  <c:v>50.478679514792361</c:v>
                </c:pt>
                <c:pt idx="46">
                  <c:v>50.384239357283562</c:v>
                </c:pt>
                <c:pt idx="47">
                  <c:v>50.266769045643571</c:v>
                </c:pt>
                <c:pt idx="48">
                  <c:v>50.285302590917311</c:v>
                </c:pt>
                <c:pt idx="49">
                  <c:v>50.443892449775888</c:v>
                </c:pt>
                <c:pt idx="50">
                  <c:v>50.683572616380026</c:v>
                </c:pt>
                <c:pt idx="51">
                  <c:v>50.746479895014375</c:v>
                </c:pt>
                <c:pt idx="52">
                  <c:v>50.843743177102098</c:v>
                </c:pt>
                <c:pt idx="53">
                  <c:v>51.24413182145021</c:v>
                </c:pt>
                <c:pt idx="54">
                  <c:v>51.460754176600673</c:v>
                </c:pt>
                <c:pt idx="55">
                  <c:v>51.503484256527877</c:v>
                </c:pt>
                <c:pt idx="56">
                  <c:v>51.518556525164129</c:v>
                </c:pt>
                <c:pt idx="57">
                  <c:v>51.502870342940774</c:v>
                </c:pt>
                <c:pt idx="58">
                  <c:v>51.458082463814492</c:v>
                </c:pt>
                <c:pt idx="59">
                  <c:v>51.460212396844206</c:v>
                </c:pt>
                <c:pt idx="60">
                  <c:v>51.567275728992605</c:v>
                </c:pt>
                <c:pt idx="61">
                  <c:v>51.633788869144766</c:v>
                </c:pt>
                <c:pt idx="62">
                  <c:v>51.62316477217685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73-47BF-883D-8E69850338CF}"/>
            </c:ext>
          </c:extLst>
        </c:ser>
        <c:ser>
          <c:idx val="2"/>
          <c:order val="2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'7.BAC_2022_Q1'!$A$9:$A$259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'7.BAC_2022_Q1'!$D$9:$D$259</c:f>
              <c:numCache>
                <c:formatCode>#,##0.00</c:formatCode>
                <c:ptCount val="251"/>
                <c:pt idx="0">
                  <c:v>46.18</c:v>
                </c:pt>
                <c:pt idx="1">
                  <c:v>46.314801002421419</c:v>
                </c:pt>
                <c:pt idx="2">
                  <c:v>46.460365224128594</c:v>
                </c:pt>
                <c:pt idx="3">
                  <c:v>46.492918027233927</c:v>
                </c:pt>
                <c:pt idx="4">
                  <c:v>46.459379174044692</c:v>
                </c:pt>
                <c:pt idx="5">
                  <c:v>46.640238543167527</c:v>
                </c:pt>
                <c:pt idx="6">
                  <c:v>46.901905452862231</c:v>
                </c:pt>
                <c:pt idx="7">
                  <c:v>46.868917488802502</c:v>
                </c:pt>
                <c:pt idx="8">
                  <c:v>47.026392624886242</c:v>
                </c:pt>
                <c:pt idx="9">
                  <c:v>47.101469836094168</c:v>
                </c:pt>
                <c:pt idx="10">
                  <c:v>47.216825576073624</c:v>
                </c:pt>
                <c:pt idx="11">
                  <c:v>47.210497279957849</c:v>
                </c:pt>
                <c:pt idx="12">
                  <c:v>47.423449032766982</c:v>
                </c:pt>
                <c:pt idx="13">
                  <c:v>47.593489491102865</c:v>
                </c:pt>
                <c:pt idx="14">
                  <c:v>47.533609638177253</c:v>
                </c:pt>
                <c:pt idx="15">
                  <c:v>47.698747380246417</c:v>
                </c:pt>
                <c:pt idx="16">
                  <c:v>47.951112777330948</c:v>
                </c:pt>
                <c:pt idx="17">
                  <c:v>47.979788178364778</c:v>
                </c:pt>
                <c:pt idx="18">
                  <c:v>47.990757500165508</c:v>
                </c:pt>
                <c:pt idx="19">
                  <c:v>48.158618633085197</c:v>
                </c:pt>
                <c:pt idx="20">
                  <c:v>48.240855987042941</c:v>
                </c:pt>
                <c:pt idx="21">
                  <c:v>48.348485796415567</c:v>
                </c:pt>
                <c:pt idx="22">
                  <c:v>48.387403344003751</c:v>
                </c:pt>
                <c:pt idx="23">
                  <c:v>48.39103907051453</c:v>
                </c:pt>
                <c:pt idx="24">
                  <c:v>48.426591150492541</c:v>
                </c:pt>
                <c:pt idx="25">
                  <c:v>48.497389849449242</c:v>
                </c:pt>
                <c:pt idx="26">
                  <c:v>49.018898085218247</c:v>
                </c:pt>
                <c:pt idx="27">
                  <c:v>49.133518674480655</c:v>
                </c:pt>
                <c:pt idx="28">
                  <c:v>49.200306367453791</c:v>
                </c:pt>
                <c:pt idx="29">
                  <c:v>49.289090629375089</c:v>
                </c:pt>
                <c:pt idx="30">
                  <c:v>49.434446564618455</c:v>
                </c:pt>
                <c:pt idx="31">
                  <c:v>49.596407419881182</c:v>
                </c:pt>
                <c:pt idx="32">
                  <c:v>49.784506254431349</c:v>
                </c:pt>
                <c:pt idx="33">
                  <c:v>49.897446283998569</c:v>
                </c:pt>
                <c:pt idx="34">
                  <c:v>50.06637880382852</c:v>
                </c:pt>
                <c:pt idx="35">
                  <c:v>50.099407059284559</c:v>
                </c:pt>
                <c:pt idx="36">
                  <c:v>50.497222646004786</c:v>
                </c:pt>
                <c:pt idx="37">
                  <c:v>50.704608263204811</c:v>
                </c:pt>
                <c:pt idx="38">
                  <c:v>50.673609412407728</c:v>
                </c:pt>
                <c:pt idx="39">
                  <c:v>50.6562876455368</c:v>
                </c:pt>
                <c:pt idx="40">
                  <c:v>50.737746218179225</c:v>
                </c:pt>
                <c:pt idx="41">
                  <c:v>50.936767745266707</c:v>
                </c:pt>
                <c:pt idx="42">
                  <c:v>51.137179369895819</c:v>
                </c:pt>
                <c:pt idx="43">
                  <c:v>50.96443063358101</c:v>
                </c:pt>
                <c:pt idx="44">
                  <c:v>50.947743841216493</c:v>
                </c:pt>
                <c:pt idx="45">
                  <c:v>51.246354129730555</c:v>
                </c:pt>
                <c:pt idx="46">
                  <c:v>51.43749585509584</c:v>
                </c:pt>
                <c:pt idx="47">
                  <c:v>51.452542730895061</c:v>
                </c:pt>
                <c:pt idx="48">
                  <c:v>51.360699130124964</c:v>
                </c:pt>
                <c:pt idx="49">
                  <c:v>51.428532925731041</c:v>
                </c:pt>
                <c:pt idx="50">
                  <c:v>51.445522377584197</c:v>
                </c:pt>
                <c:pt idx="51">
                  <c:v>51.51531998490438</c:v>
                </c:pt>
                <c:pt idx="52">
                  <c:v>51.633690887822134</c:v>
                </c:pt>
                <c:pt idx="53">
                  <c:v>51.828551220508182</c:v>
                </c:pt>
                <c:pt idx="54">
                  <c:v>52.017993967045683</c:v>
                </c:pt>
                <c:pt idx="55">
                  <c:v>52.124750617541544</c:v>
                </c:pt>
                <c:pt idx="56">
                  <c:v>52.123066420508714</c:v>
                </c:pt>
                <c:pt idx="57">
                  <c:v>52.110049532203128</c:v>
                </c:pt>
                <c:pt idx="58">
                  <c:v>52.141017922274848</c:v>
                </c:pt>
                <c:pt idx="59">
                  <c:v>52.283928187424529</c:v>
                </c:pt>
                <c:pt idx="60">
                  <c:v>52.601792584897225</c:v>
                </c:pt>
                <c:pt idx="61">
                  <c:v>52.618559016906246</c:v>
                </c:pt>
                <c:pt idx="62">
                  <c:v>52.84083145365112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73-47BF-883D-8E69850338CF}"/>
            </c:ext>
          </c:extLst>
        </c:ser>
        <c:ser>
          <c:idx val="3"/>
          <c:order val="3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'7.BAC_2022_Q1'!$A$9:$A$259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'7.BAC_2022_Q1'!$E$9:$E$259</c:f>
              <c:numCache>
                <c:formatCode>#,##0.00</c:formatCode>
                <c:ptCount val="251"/>
                <c:pt idx="0">
                  <c:v>46.18</c:v>
                </c:pt>
                <c:pt idx="1">
                  <c:v>46.133196500220336</c:v>
                </c:pt>
                <c:pt idx="2">
                  <c:v>46.290346400730655</c:v>
                </c:pt>
                <c:pt idx="3">
                  <c:v>46.6254967387123</c:v>
                </c:pt>
                <c:pt idx="4">
                  <c:v>46.809151449956993</c:v>
                </c:pt>
                <c:pt idx="5">
                  <c:v>47.226412556275172</c:v>
                </c:pt>
                <c:pt idx="6">
                  <c:v>47.282942695426385</c:v>
                </c:pt>
                <c:pt idx="7">
                  <c:v>47.432972533492233</c:v>
                </c:pt>
                <c:pt idx="8">
                  <c:v>47.481367754163834</c:v>
                </c:pt>
                <c:pt idx="9">
                  <c:v>47.618286987957795</c:v>
                </c:pt>
                <c:pt idx="10">
                  <c:v>47.697375611974842</c:v>
                </c:pt>
                <c:pt idx="11">
                  <c:v>47.922426110167471</c:v>
                </c:pt>
                <c:pt idx="12">
                  <c:v>47.980144579448165</c:v>
                </c:pt>
                <c:pt idx="13">
                  <c:v>48.205344156529982</c:v>
                </c:pt>
                <c:pt idx="14">
                  <c:v>48.193908016584842</c:v>
                </c:pt>
                <c:pt idx="15">
                  <c:v>48.427013269819092</c:v>
                </c:pt>
                <c:pt idx="16">
                  <c:v>48.578905071601518</c:v>
                </c:pt>
                <c:pt idx="17">
                  <c:v>48.517478364812582</c:v>
                </c:pt>
                <c:pt idx="18">
                  <c:v>48.489593435238092</c:v>
                </c:pt>
                <c:pt idx="19">
                  <c:v>48.531598688844085</c:v>
                </c:pt>
                <c:pt idx="20">
                  <c:v>48.566137821820384</c:v>
                </c:pt>
                <c:pt idx="21">
                  <c:v>48.632373928252633</c:v>
                </c:pt>
                <c:pt idx="22">
                  <c:v>48.742235962263699</c:v>
                </c:pt>
                <c:pt idx="23">
                  <c:v>48.903652488932678</c:v>
                </c:pt>
                <c:pt idx="24">
                  <c:v>48.955337444196232</c:v>
                </c:pt>
                <c:pt idx="25">
                  <c:v>49.147552738136653</c:v>
                </c:pt>
                <c:pt idx="26">
                  <c:v>49.455285557897511</c:v>
                </c:pt>
                <c:pt idx="27">
                  <c:v>49.623597280682063</c:v>
                </c:pt>
                <c:pt idx="28">
                  <c:v>49.704090585012288</c:v>
                </c:pt>
                <c:pt idx="29">
                  <c:v>49.949851751167223</c:v>
                </c:pt>
                <c:pt idx="30">
                  <c:v>49.83574324072066</c:v>
                </c:pt>
                <c:pt idx="31">
                  <c:v>49.776311640621131</c:v>
                </c:pt>
                <c:pt idx="32">
                  <c:v>49.906871584000179</c:v>
                </c:pt>
                <c:pt idx="33">
                  <c:v>49.90044659350518</c:v>
                </c:pt>
                <c:pt idx="34">
                  <c:v>50.185956067680557</c:v>
                </c:pt>
                <c:pt idx="35">
                  <c:v>50.453086935535211</c:v>
                </c:pt>
                <c:pt idx="36">
                  <c:v>50.55976769047659</c:v>
                </c:pt>
                <c:pt idx="37">
                  <c:v>50.81499079544664</c:v>
                </c:pt>
                <c:pt idx="38">
                  <c:v>50.898598018483419</c:v>
                </c:pt>
                <c:pt idx="39">
                  <c:v>50.858712145409577</c:v>
                </c:pt>
                <c:pt idx="40">
                  <c:v>50.915853770699876</c:v>
                </c:pt>
                <c:pt idx="41">
                  <c:v>51.316913348400107</c:v>
                </c:pt>
                <c:pt idx="42">
                  <c:v>51.512115085450937</c:v>
                </c:pt>
                <c:pt idx="43">
                  <c:v>51.522289810914621</c:v>
                </c:pt>
                <c:pt idx="44">
                  <c:v>51.828700482658213</c:v>
                </c:pt>
                <c:pt idx="45">
                  <c:v>51.879612495049095</c:v>
                </c:pt>
                <c:pt idx="46">
                  <c:v>51.977062499349529</c:v>
                </c:pt>
                <c:pt idx="47">
                  <c:v>52.154755869164518</c:v>
                </c:pt>
                <c:pt idx="48">
                  <c:v>52.344968160816649</c:v>
                </c:pt>
                <c:pt idx="49">
                  <c:v>52.388038569683481</c:v>
                </c:pt>
                <c:pt idx="50">
                  <c:v>52.481222253940828</c:v>
                </c:pt>
                <c:pt idx="51">
                  <c:v>52.798867471029595</c:v>
                </c:pt>
                <c:pt idx="52">
                  <c:v>52.838069073069867</c:v>
                </c:pt>
                <c:pt idx="53">
                  <c:v>52.927766125435198</c:v>
                </c:pt>
                <c:pt idx="54">
                  <c:v>53.142386755411621</c:v>
                </c:pt>
                <c:pt idx="55">
                  <c:v>53.366520913010739</c:v>
                </c:pt>
                <c:pt idx="56">
                  <c:v>53.39025439359667</c:v>
                </c:pt>
                <c:pt idx="57">
                  <c:v>53.60508778426118</c:v>
                </c:pt>
                <c:pt idx="58">
                  <c:v>53.642278832268111</c:v>
                </c:pt>
                <c:pt idx="59">
                  <c:v>53.752895447423995</c:v>
                </c:pt>
                <c:pt idx="60">
                  <c:v>54.037833671780476</c:v>
                </c:pt>
                <c:pt idx="61">
                  <c:v>54.395647954073915</c:v>
                </c:pt>
                <c:pt idx="62">
                  <c:v>54.613599793440422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73-47BF-883D-8E69850338CF}"/>
            </c:ext>
          </c:extLst>
        </c:ser>
        <c:ser>
          <c:idx val="4"/>
          <c:order val="4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'7.BAC_2022_Q1'!$A$9:$A$259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'7.BAC_2022_Q1'!$F$9:$F$259</c:f>
              <c:numCache>
                <c:formatCode>#,##0.00</c:formatCode>
                <c:ptCount val="251"/>
                <c:pt idx="0">
                  <c:v>46.18</c:v>
                </c:pt>
                <c:pt idx="1">
                  <c:v>46.25265187329866</c:v>
                </c:pt>
                <c:pt idx="2">
                  <c:v>46.370638007321311</c:v>
                </c:pt>
                <c:pt idx="3">
                  <c:v>46.500155453551933</c:v>
                </c:pt>
                <c:pt idx="4">
                  <c:v>46.639517630560661</c:v>
                </c:pt>
                <c:pt idx="5">
                  <c:v>46.841648951205777</c:v>
                </c:pt>
                <c:pt idx="6">
                  <c:v>46.872073412521665</c:v>
                </c:pt>
                <c:pt idx="7">
                  <c:v>46.930804865068907</c:v>
                </c:pt>
                <c:pt idx="8">
                  <c:v>46.978085459843939</c:v>
                </c:pt>
                <c:pt idx="9">
                  <c:v>47.161172564234676</c:v>
                </c:pt>
                <c:pt idx="10">
                  <c:v>47.169448858659749</c:v>
                </c:pt>
                <c:pt idx="11">
                  <c:v>47.279682844728214</c:v>
                </c:pt>
                <c:pt idx="12">
                  <c:v>47.152749367487708</c:v>
                </c:pt>
                <c:pt idx="13">
                  <c:v>47.306263189984911</c:v>
                </c:pt>
                <c:pt idx="14">
                  <c:v>47.476235300935102</c:v>
                </c:pt>
                <c:pt idx="15">
                  <c:v>47.558813686367628</c:v>
                </c:pt>
                <c:pt idx="16">
                  <c:v>47.626026820772751</c:v>
                </c:pt>
                <c:pt idx="17">
                  <c:v>47.671246618959664</c:v>
                </c:pt>
                <c:pt idx="18">
                  <c:v>47.622011159816715</c:v>
                </c:pt>
                <c:pt idx="19">
                  <c:v>47.771939147036342</c:v>
                </c:pt>
                <c:pt idx="20">
                  <c:v>47.961282698765409</c:v>
                </c:pt>
                <c:pt idx="21">
                  <c:v>48.172413965511602</c:v>
                </c:pt>
                <c:pt idx="22">
                  <c:v>48.214405642965112</c:v>
                </c:pt>
                <c:pt idx="23">
                  <c:v>48.381937716821213</c:v>
                </c:pt>
                <c:pt idx="24">
                  <c:v>48.402452928523651</c:v>
                </c:pt>
                <c:pt idx="25">
                  <c:v>48.441261409933141</c:v>
                </c:pt>
                <c:pt idx="26">
                  <c:v>48.422596512157376</c:v>
                </c:pt>
                <c:pt idx="27">
                  <c:v>48.518547382044183</c:v>
                </c:pt>
                <c:pt idx="28">
                  <c:v>48.514133654641817</c:v>
                </c:pt>
                <c:pt idx="29">
                  <c:v>48.567125399983858</c:v>
                </c:pt>
                <c:pt idx="30">
                  <c:v>48.797126852643032</c:v>
                </c:pt>
                <c:pt idx="31">
                  <c:v>48.890019324176301</c:v>
                </c:pt>
                <c:pt idx="32">
                  <c:v>48.884049440384224</c:v>
                </c:pt>
                <c:pt idx="33">
                  <c:v>49.143657577804547</c:v>
                </c:pt>
                <c:pt idx="34">
                  <c:v>49.18221417992546</c:v>
                </c:pt>
                <c:pt idx="35">
                  <c:v>49.319703988227836</c:v>
                </c:pt>
                <c:pt idx="36">
                  <c:v>49.446363583672316</c:v>
                </c:pt>
                <c:pt idx="37">
                  <c:v>49.731566375240398</c:v>
                </c:pt>
                <c:pt idx="38">
                  <c:v>49.876107413482856</c:v>
                </c:pt>
                <c:pt idx="39">
                  <c:v>49.996736170941347</c:v>
                </c:pt>
                <c:pt idx="40">
                  <c:v>50.181040272916178</c:v>
                </c:pt>
                <c:pt idx="41">
                  <c:v>50.382048009648202</c:v>
                </c:pt>
                <c:pt idx="42">
                  <c:v>50.451648171546843</c:v>
                </c:pt>
                <c:pt idx="43">
                  <c:v>50.556592221263266</c:v>
                </c:pt>
                <c:pt idx="44">
                  <c:v>50.876804916991482</c:v>
                </c:pt>
                <c:pt idx="45">
                  <c:v>50.874747604988372</c:v>
                </c:pt>
                <c:pt idx="46">
                  <c:v>51.095364910038995</c:v>
                </c:pt>
                <c:pt idx="47">
                  <c:v>51.090529396324641</c:v>
                </c:pt>
                <c:pt idx="48">
                  <c:v>51.134949005478056</c:v>
                </c:pt>
                <c:pt idx="49">
                  <c:v>51.189760226300976</c:v>
                </c:pt>
                <c:pt idx="50">
                  <c:v>50.976492868242886</c:v>
                </c:pt>
                <c:pt idx="51">
                  <c:v>51.124051901467197</c:v>
                </c:pt>
                <c:pt idx="52">
                  <c:v>51.382632220090727</c:v>
                </c:pt>
                <c:pt idx="53">
                  <c:v>51.569774728126568</c:v>
                </c:pt>
                <c:pt idx="54">
                  <c:v>51.813476015917857</c:v>
                </c:pt>
                <c:pt idx="55">
                  <c:v>52.032246469159567</c:v>
                </c:pt>
                <c:pt idx="56">
                  <c:v>52.130709548608259</c:v>
                </c:pt>
                <c:pt idx="57">
                  <c:v>52.148134502841081</c:v>
                </c:pt>
                <c:pt idx="58">
                  <c:v>52.354284408534426</c:v>
                </c:pt>
                <c:pt idx="59">
                  <c:v>52.478847563906463</c:v>
                </c:pt>
                <c:pt idx="60">
                  <c:v>52.664717146522548</c:v>
                </c:pt>
                <c:pt idx="61">
                  <c:v>52.656630885762659</c:v>
                </c:pt>
                <c:pt idx="62">
                  <c:v>52.566285116847169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E73-47BF-883D-8E69850338CF}"/>
            </c:ext>
          </c:extLst>
        </c:ser>
        <c:ser>
          <c:idx val="5"/>
          <c:order val="5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'7.BAC_2022_Q1'!$A$9:$A$259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'7.BAC_2022_Q1'!$G$9:$G$259</c:f>
              <c:numCache>
                <c:formatCode>#,##0.00</c:formatCode>
                <c:ptCount val="251"/>
                <c:pt idx="0">
                  <c:v>46.18</c:v>
                </c:pt>
                <c:pt idx="1">
                  <c:v>46.264281703266064</c:v>
                </c:pt>
                <c:pt idx="2">
                  <c:v>46.352067907761025</c:v>
                </c:pt>
                <c:pt idx="3">
                  <c:v>46.455335274819411</c:v>
                </c:pt>
                <c:pt idx="4">
                  <c:v>46.465737436037585</c:v>
                </c:pt>
                <c:pt idx="5">
                  <c:v>46.594561941488131</c:v>
                </c:pt>
                <c:pt idx="6">
                  <c:v>46.895575799900833</c:v>
                </c:pt>
                <c:pt idx="7">
                  <c:v>46.992106777591879</c:v>
                </c:pt>
                <c:pt idx="8">
                  <c:v>47.193877985739867</c:v>
                </c:pt>
                <c:pt idx="9">
                  <c:v>47.169544488225782</c:v>
                </c:pt>
                <c:pt idx="10">
                  <c:v>47.219099357352249</c:v>
                </c:pt>
                <c:pt idx="11">
                  <c:v>47.263541581112555</c:v>
                </c:pt>
                <c:pt idx="12">
                  <c:v>47.372699290496541</c:v>
                </c:pt>
                <c:pt idx="13">
                  <c:v>47.311763559467323</c:v>
                </c:pt>
                <c:pt idx="14">
                  <c:v>47.425183490795803</c:v>
                </c:pt>
                <c:pt idx="15">
                  <c:v>47.494737278347287</c:v>
                </c:pt>
                <c:pt idx="16">
                  <c:v>47.808713049069517</c:v>
                </c:pt>
                <c:pt idx="17">
                  <c:v>47.87637021107215</c:v>
                </c:pt>
                <c:pt idx="18">
                  <c:v>48.037807126361997</c:v>
                </c:pt>
                <c:pt idx="19">
                  <c:v>48.144712672996718</c:v>
                </c:pt>
                <c:pt idx="20">
                  <c:v>48.164566568251274</c:v>
                </c:pt>
                <c:pt idx="21">
                  <c:v>48.301337290936146</c:v>
                </c:pt>
                <c:pt idx="22">
                  <c:v>48.490066256771271</c:v>
                </c:pt>
                <c:pt idx="23">
                  <c:v>48.505710748285289</c:v>
                </c:pt>
                <c:pt idx="24">
                  <c:v>48.650090108008207</c:v>
                </c:pt>
                <c:pt idx="25">
                  <c:v>48.653538441078837</c:v>
                </c:pt>
                <c:pt idx="26">
                  <c:v>48.687071169639324</c:v>
                </c:pt>
                <c:pt idx="27">
                  <c:v>48.627816628073063</c:v>
                </c:pt>
                <c:pt idx="28">
                  <c:v>48.557232789224116</c:v>
                </c:pt>
                <c:pt idx="29">
                  <c:v>48.573224095680487</c:v>
                </c:pt>
                <c:pt idx="30">
                  <c:v>48.615133440829915</c:v>
                </c:pt>
                <c:pt idx="31">
                  <c:v>48.62652205627812</c:v>
                </c:pt>
                <c:pt idx="32">
                  <c:v>48.854167601626315</c:v>
                </c:pt>
                <c:pt idx="33">
                  <c:v>48.922676394623721</c:v>
                </c:pt>
                <c:pt idx="34">
                  <c:v>48.929265361717206</c:v>
                </c:pt>
                <c:pt idx="35">
                  <c:v>48.96416522388553</c:v>
                </c:pt>
                <c:pt idx="36">
                  <c:v>49.176598004495133</c:v>
                </c:pt>
                <c:pt idx="37">
                  <c:v>49.076375119084219</c:v>
                </c:pt>
                <c:pt idx="38">
                  <c:v>49.155167066258201</c:v>
                </c:pt>
                <c:pt idx="39">
                  <c:v>49.281483871160056</c:v>
                </c:pt>
                <c:pt idx="40">
                  <c:v>49.327589245545099</c:v>
                </c:pt>
                <c:pt idx="41">
                  <c:v>49.459199180044109</c:v>
                </c:pt>
                <c:pt idx="42">
                  <c:v>49.326373518261839</c:v>
                </c:pt>
                <c:pt idx="43">
                  <c:v>49.637466145281515</c:v>
                </c:pt>
                <c:pt idx="44">
                  <c:v>49.643361906579393</c:v>
                </c:pt>
                <c:pt idx="45">
                  <c:v>49.903196803072461</c:v>
                </c:pt>
                <c:pt idx="46">
                  <c:v>49.916839044093642</c:v>
                </c:pt>
                <c:pt idx="47">
                  <c:v>50.020375921514926</c:v>
                </c:pt>
                <c:pt idx="48">
                  <c:v>50.19361781325685</c:v>
                </c:pt>
                <c:pt idx="49">
                  <c:v>50.171128772472407</c:v>
                </c:pt>
                <c:pt idx="50">
                  <c:v>50.373712828778764</c:v>
                </c:pt>
                <c:pt idx="51">
                  <c:v>50.372562797711637</c:v>
                </c:pt>
                <c:pt idx="52">
                  <c:v>50.624976272048983</c:v>
                </c:pt>
                <c:pt idx="53">
                  <c:v>50.790499587115477</c:v>
                </c:pt>
                <c:pt idx="54">
                  <c:v>50.92805948056774</c:v>
                </c:pt>
                <c:pt idx="55">
                  <c:v>51.01873123342493</c:v>
                </c:pt>
                <c:pt idx="56">
                  <c:v>51.052702650823591</c:v>
                </c:pt>
                <c:pt idx="57">
                  <c:v>51.199777394776774</c:v>
                </c:pt>
                <c:pt idx="58">
                  <c:v>51.183327606858533</c:v>
                </c:pt>
                <c:pt idx="59">
                  <c:v>51.117530311230126</c:v>
                </c:pt>
                <c:pt idx="60">
                  <c:v>51.19697508293045</c:v>
                </c:pt>
                <c:pt idx="61">
                  <c:v>51.230375388441317</c:v>
                </c:pt>
                <c:pt idx="62">
                  <c:v>51.279397567151875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73-47BF-883D-8E69850338CF}"/>
            </c:ext>
          </c:extLst>
        </c:ser>
        <c:ser>
          <c:idx val="6"/>
          <c:order val="6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'7.BAC_2022_Q1'!$A$9:$A$259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'7.BAC_2022_Q1'!$H$9:$H$259</c:f>
              <c:numCache>
                <c:formatCode>#,##0.00</c:formatCode>
                <c:ptCount val="251"/>
                <c:pt idx="0">
                  <c:v>46.18</c:v>
                </c:pt>
                <c:pt idx="1">
                  <c:v>46.329764060955718</c:v>
                </c:pt>
                <c:pt idx="2">
                  <c:v>46.437383297288427</c:v>
                </c:pt>
                <c:pt idx="3">
                  <c:v>46.654235787346167</c:v>
                </c:pt>
                <c:pt idx="4">
                  <c:v>46.783004237857114</c:v>
                </c:pt>
                <c:pt idx="5">
                  <c:v>46.841089746493999</c:v>
                </c:pt>
                <c:pt idx="6">
                  <c:v>46.79048098391273</c:v>
                </c:pt>
                <c:pt idx="7">
                  <c:v>46.910638752901761</c:v>
                </c:pt>
                <c:pt idx="8">
                  <c:v>47.217767550451576</c:v>
                </c:pt>
                <c:pt idx="9">
                  <c:v>47.302746669735505</c:v>
                </c:pt>
                <c:pt idx="10">
                  <c:v>47.491811839826646</c:v>
                </c:pt>
                <c:pt idx="11">
                  <c:v>47.623837203063857</c:v>
                </c:pt>
                <c:pt idx="12">
                  <c:v>47.895197478095582</c:v>
                </c:pt>
                <c:pt idx="13">
                  <c:v>47.808121306063349</c:v>
                </c:pt>
                <c:pt idx="14">
                  <c:v>47.975101066078032</c:v>
                </c:pt>
                <c:pt idx="15">
                  <c:v>47.99621324364167</c:v>
                </c:pt>
                <c:pt idx="16">
                  <c:v>48.164876962011881</c:v>
                </c:pt>
                <c:pt idx="17">
                  <c:v>48.388337004351506</c:v>
                </c:pt>
                <c:pt idx="18">
                  <c:v>48.402787823048754</c:v>
                </c:pt>
                <c:pt idx="19">
                  <c:v>48.519879206210931</c:v>
                </c:pt>
                <c:pt idx="20">
                  <c:v>48.582997567184869</c:v>
                </c:pt>
                <c:pt idx="21">
                  <c:v>48.636063646357741</c:v>
                </c:pt>
                <c:pt idx="22">
                  <c:v>48.83836804889377</c:v>
                </c:pt>
                <c:pt idx="23">
                  <c:v>49.020629161777322</c:v>
                </c:pt>
                <c:pt idx="24">
                  <c:v>49.262005037246624</c:v>
                </c:pt>
                <c:pt idx="25">
                  <c:v>49.461656706402444</c:v>
                </c:pt>
                <c:pt idx="26">
                  <c:v>49.52159646166119</c:v>
                </c:pt>
                <c:pt idx="27">
                  <c:v>49.612878211758115</c:v>
                </c:pt>
                <c:pt idx="28">
                  <c:v>49.506017206487414</c:v>
                </c:pt>
                <c:pt idx="29">
                  <c:v>49.600229375182181</c:v>
                </c:pt>
                <c:pt idx="30">
                  <c:v>49.642843945443211</c:v>
                </c:pt>
                <c:pt idx="31">
                  <c:v>49.76652396829838</c:v>
                </c:pt>
                <c:pt idx="32">
                  <c:v>49.869760571292232</c:v>
                </c:pt>
                <c:pt idx="33">
                  <c:v>49.902166538324778</c:v>
                </c:pt>
                <c:pt idx="34">
                  <c:v>50.079879370361972</c:v>
                </c:pt>
                <c:pt idx="35">
                  <c:v>50.432822017425281</c:v>
                </c:pt>
                <c:pt idx="36">
                  <c:v>50.544694034658448</c:v>
                </c:pt>
                <c:pt idx="37">
                  <c:v>50.82449718771398</c:v>
                </c:pt>
                <c:pt idx="38">
                  <c:v>50.862941404598168</c:v>
                </c:pt>
                <c:pt idx="39">
                  <c:v>50.996906805201668</c:v>
                </c:pt>
                <c:pt idx="40">
                  <c:v>51.273225281062189</c:v>
                </c:pt>
                <c:pt idx="41">
                  <c:v>51.233432881691762</c:v>
                </c:pt>
                <c:pt idx="42">
                  <c:v>51.509792741603704</c:v>
                </c:pt>
                <c:pt idx="43">
                  <c:v>51.627937336088024</c:v>
                </c:pt>
                <c:pt idx="44">
                  <c:v>51.815910108171614</c:v>
                </c:pt>
                <c:pt idx="45">
                  <c:v>51.952325538942098</c:v>
                </c:pt>
                <c:pt idx="46">
                  <c:v>52.080668152812272</c:v>
                </c:pt>
                <c:pt idx="47">
                  <c:v>52.263861831258332</c:v>
                </c:pt>
                <c:pt idx="48">
                  <c:v>52.363326977805613</c:v>
                </c:pt>
                <c:pt idx="49">
                  <c:v>52.434356320989238</c:v>
                </c:pt>
                <c:pt idx="50">
                  <c:v>52.734696790984472</c:v>
                </c:pt>
                <c:pt idx="51">
                  <c:v>52.821791604429492</c:v>
                </c:pt>
                <c:pt idx="52">
                  <c:v>52.701527507749617</c:v>
                </c:pt>
                <c:pt idx="53">
                  <c:v>52.7392922807676</c:v>
                </c:pt>
                <c:pt idx="54">
                  <c:v>52.840890477747486</c:v>
                </c:pt>
                <c:pt idx="55">
                  <c:v>52.824110647556445</c:v>
                </c:pt>
                <c:pt idx="56">
                  <c:v>53.086002021563701</c:v>
                </c:pt>
                <c:pt idx="57">
                  <c:v>53.354119065595619</c:v>
                </c:pt>
                <c:pt idx="58">
                  <c:v>53.346034023380092</c:v>
                </c:pt>
                <c:pt idx="59">
                  <c:v>53.445114662739726</c:v>
                </c:pt>
                <c:pt idx="60">
                  <c:v>53.587276884071095</c:v>
                </c:pt>
                <c:pt idx="61">
                  <c:v>53.783373444915405</c:v>
                </c:pt>
                <c:pt idx="62">
                  <c:v>53.864333980035063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73-47BF-883D-8E69850338CF}"/>
            </c:ext>
          </c:extLst>
        </c:ser>
        <c:ser>
          <c:idx val="7"/>
          <c:order val="7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'7.BAC_2022_Q1'!$A$9:$A$259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'7.BAC_2022_Q1'!$I$9:$I$259</c:f>
              <c:numCache>
                <c:formatCode>#,##0.00</c:formatCode>
                <c:ptCount val="251"/>
                <c:pt idx="0">
                  <c:v>46.18</c:v>
                </c:pt>
                <c:pt idx="1">
                  <c:v>46.306350944507017</c:v>
                </c:pt>
                <c:pt idx="2">
                  <c:v>46.449015788908952</c:v>
                </c:pt>
                <c:pt idx="3">
                  <c:v>46.545000320762853</c:v>
                </c:pt>
                <c:pt idx="4">
                  <c:v>46.766653734090838</c:v>
                </c:pt>
                <c:pt idx="5">
                  <c:v>46.763724046873413</c:v>
                </c:pt>
                <c:pt idx="6">
                  <c:v>46.914740717178098</c:v>
                </c:pt>
                <c:pt idx="7">
                  <c:v>47.038036031886413</c:v>
                </c:pt>
                <c:pt idx="8">
                  <c:v>47.228314603985361</c:v>
                </c:pt>
                <c:pt idx="9">
                  <c:v>47.487056251484844</c:v>
                </c:pt>
                <c:pt idx="10">
                  <c:v>47.747942474389326</c:v>
                </c:pt>
                <c:pt idx="11">
                  <c:v>47.905621244159761</c:v>
                </c:pt>
                <c:pt idx="12">
                  <c:v>48.319574975791916</c:v>
                </c:pt>
                <c:pt idx="13">
                  <c:v>48.343581557911619</c:v>
                </c:pt>
                <c:pt idx="14">
                  <c:v>48.247075611261671</c:v>
                </c:pt>
                <c:pt idx="15">
                  <c:v>48.543668445420366</c:v>
                </c:pt>
                <c:pt idx="16">
                  <c:v>48.469435192182218</c:v>
                </c:pt>
                <c:pt idx="17">
                  <c:v>48.870200772628657</c:v>
                </c:pt>
                <c:pt idx="18">
                  <c:v>48.957802485064441</c:v>
                </c:pt>
                <c:pt idx="19">
                  <c:v>49.130747909699878</c:v>
                </c:pt>
                <c:pt idx="20">
                  <c:v>49.274177875833814</c:v>
                </c:pt>
                <c:pt idx="21">
                  <c:v>49.245868203842214</c:v>
                </c:pt>
                <c:pt idx="22">
                  <c:v>49.329189915763443</c:v>
                </c:pt>
                <c:pt idx="23">
                  <c:v>49.396626893799969</c:v>
                </c:pt>
                <c:pt idx="24">
                  <c:v>49.534415142872668</c:v>
                </c:pt>
                <c:pt idx="25">
                  <c:v>49.630090397400195</c:v>
                </c:pt>
                <c:pt idx="26">
                  <c:v>49.813240660333499</c:v>
                </c:pt>
                <c:pt idx="27">
                  <c:v>49.755838123857743</c:v>
                </c:pt>
                <c:pt idx="28">
                  <c:v>49.770506328426407</c:v>
                </c:pt>
                <c:pt idx="29">
                  <c:v>50.099681397270317</c:v>
                </c:pt>
                <c:pt idx="30">
                  <c:v>50.15662165782944</c:v>
                </c:pt>
                <c:pt idx="31">
                  <c:v>50.363134624649426</c:v>
                </c:pt>
                <c:pt idx="32">
                  <c:v>50.496745429044928</c:v>
                </c:pt>
                <c:pt idx="33">
                  <c:v>50.52356588467817</c:v>
                </c:pt>
                <c:pt idx="34">
                  <c:v>50.732469001080254</c:v>
                </c:pt>
                <c:pt idx="35">
                  <c:v>50.843736248437231</c:v>
                </c:pt>
                <c:pt idx="36">
                  <c:v>51.055787742275818</c:v>
                </c:pt>
                <c:pt idx="37">
                  <c:v>51.053375392838369</c:v>
                </c:pt>
                <c:pt idx="38">
                  <c:v>51.293854218944013</c:v>
                </c:pt>
                <c:pt idx="39">
                  <c:v>51.481780493065067</c:v>
                </c:pt>
                <c:pt idx="40">
                  <c:v>51.622286423694185</c:v>
                </c:pt>
                <c:pt idx="41">
                  <c:v>51.732207882252311</c:v>
                </c:pt>
                <c:pt idx="42">
                  <c:v>52.036220915335321</c:v>
                </c:pt>
                <c:pt idx="43">
                  <c:v>52.24563960754184</c:v>
                </c:pt>
                <c:pt idx="44">
                  <c:v>52.38829021735463</c:v>
                </c:pt>
                <c:pt idx="45">
                  <c:v>52.586115411969274</c:v>
                </c:pt>
                <c:pt idx="46">
                  <c:v>52.616341085606159</c:v>
                </c:pt>
                <c:pt idx="47">
                  <c:v>52.793886442954779</c:v>
                </c:pt>
                <c:pt idx="48">
                  <c:v>53.088133198519401</c:v>
                </c:pt>
                <c:pt idx="49">
                  <c:v>53.120690000236841</c:v>
                </c:pt>
                <c:pt idx="50">
                  <c:v>53.115375282065514</c:v>
                </c:pt>
                <c:pt idx="51">
                  <c:v>53.312736993942863</c:v>
                </c:pt>
                <c:pt idx="52">
                  <c:v>53.623630689796762</c:v>
                </c:pt>
                <c:pt idx="53">
                  <c:v>53.746164576023688</c:v>
                </c:pt>
                <c:pt idx="54">
                  <c:v>53.851399055442016</c:v>
                </c:pt>
                <c:pt idx="55">
                  <c:v>54.116844265121777</c:v>
                </c:pt>
                <c:pt idx="56">
                  <c:v>54.05481945320313</c:v>
                </c:pt>
                <c:pt idx="57">
                  <c:v>54.024510611922437</c:v>
                </c:pt>
                <c:pt idx="58">
                  <c:v>54.299174407041114</c:v>
                </c:pt>
                <c:pt idx="59">
                  <c:v>54.437150186127255</c:v>
                </c:pt>
                <c:pt idx="60">
                  <c:v>54.61620272051308</c:v>
                </c:pt>
                <c:pt idx="61">
                  <c:v>54.832988209799197</c:v>
                </c:pt>
                <c:pt idx="62">
                  <c:v>55.000559693544197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3-47BF-883D-8E69850338CF}"/>
            </c:ext>
          </c:extLst>
        </c:ser>
        <c:ser>
          <c:idx val="8"/>
          <c:order val="8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'7.BAC_2022_Q1'!$A$9:$A$259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'7.BAC_2022_Q1'!$J$9:$J$259</c:f>
              <c:numCache>
                <c:formatCode>#,##0.00</c:formatCode>
                <c:ptCount val="251"/>
                <c:pt idx="0">
                  <c:v>46.18</c:v>
                </c:pt>
                <c:pt idx="1">
                  <c:v>46.239425241737308</c:v>
                </c:pt>
                <c:pt idx="2">
                  <c:v>46.286753501166878</c:v>
                </c:pt>
                <c:pt idx="3">
                  <c:v>46.277305640452646</c:v>
                </c:pt>
                <c:pt idx="4">
                  <c:v>46.367554803518196</c:v>
                </c:pt>
                <c:pt idx="5">
                  <c:v>46.452124211095402</c:v>
                </c:pt>
                <c:pt idx="6">
                  <c:v>46.579392734034116</c:v>
                </c:pt>
                <c:pt idx="7">
                  <c:v>46.89242095654901</c:v>
                </c:pt>
                <c:pt idx="8">
                  <c:v>46.938928597577124</c:v>
                </c:pt>
                <c:pt idx="9">
                  <c:v>47.183168252781499</c:v>
                </c:pt>
                <c:pt idx="10">
                  <c:v>47.311495114473232</c:v>
                </c:pt>
                <c:pt idx="11">
                  <c:v>47.497453188428949</c:v>
                </c:pt>
                <c:pt idx="12">
                  <c:v>47.660506260229027</c:v>
                </c:pt>
                <c:pt idx="13">
                  <c:v>47.700093106418109</c:v>
                </c:pt>
                <c:pt idx="14">
                  <c:v>48.027786699533742</c:v>
                </c:pt>
                <c:pt idx="15">
                  <c:v>48.319789667236527</c:v>
                </c:pt>
                <c:pt idx="16">
                  <c:v>48.429121839741093</c:v>
                </c:pt>
                <c:pt idx="17">
                  <c:v>48.393323832583761</c:v>
                </c:pt>
                <c:pt idx="18">
                  <c:v>48.346005310713878</c:v>
                </c:pt>
                <c:pt idx="19">
                  <c:v>48.358233027308721</c:v>
                </c:pt>
                <c:pt idx="20">
                  <c:v>48.491168547507947</c:v>
                </c:pt>
                <c:pt idx="21">
                  <c:v>48.85806885641982</c:v>
                </c:pt>
                <c:pt idx="22">
                  <c:v>49.006298404890245</c:v>
                </c:pt>
                <c:pt idx="23">
                  <c:v>49.268401012568937</c:v>
                </c:pt>
                <c:pt idx="24">
                  <c:v>49.40496079029932</c:v>
                </c:pt>
                <c:pt idx="25">
                  <c:v>49.605467212175128</c:v>
                </c:pt>
                <c:pt idx="26">
                  <c:v>49.870871658961406</c:v>
                </c:pt>
                <c:pt idx="27">
                  <c:v>50.19695045506316</c:v>
                </c:pt>
                <c:pt idx="28">
                  <c:v>50.403137737798772</c:v>
                </c:pt>
                <c:pt idx="29">
                  <c:v>50.632860742729662</c:v>
                </c:pt>
                <c:pt idx="30">
                  <c:v>50.615359838649539</c:v>
                </c:pt>
                <c:pt idx="31">
                  <c:v>50.831524831146247</c:v>
                </c:pt>
                <c:pt idx="32">
                  <c:v>51.022789409245192</c:v>
                </c:pt>
                <c:pt idx="33">
                  <c:v>51.266717740829087</c:v>
                </c:pt>
                <c:pt idx="34">
                  <c:v>51.43627707243747</c:v>
                </c:pt>
                <c:pt idx="35">
                  <c:v>51.35912041097594</c:v>
                </c:pt>
                <c:pt idx="36">
                  <c:v>51.557252093859084</c:v>
                </c:pt>
                <c:pt idx="37">
                  <c:v>51.636577907749526</c:v>
                </c:pt>
                <c:pt idx="38">
                  <c:v>51.634054373923156</c:v>
                </c:pt>
                <c:pt idx="39">
                  <c:v>51.593065116681778</c:v>
                </c:pt>
                <c:pt idx="40">
                  <c:v>51.67016849771889</c:v>
                </c:pt>
                <c:pt idx="41">
                  <c:v>51.927358750350415</c:v>
                </c:pt>
                <c:pt idx="42">
                  <c:v>51.833001627531914</c:v>
                </c:pt>
                <c:pt idx="43">
                  <c:v>52.109374147695185</c:v>
                </c:pt>
                <c:pt idx="44">
                  <c:v>52.338167686516321</c:v>
                </c:pt>
                <c:pt idx="45">
                  <c:v>52.414138839988638</c:v>
                </c:pt>
                <c:pt idx="46">
                  <c:v>52.698624785108912</c:v>
                </c:pt>
                <c:pt idx="47">
                  <c:v>52.807583738734799</c:v>
                </c:pt>
                <c:pt idx="48">
                  <c:v>53.140974647599634</c:v>
                </c:pt>
                <c:pt idx="49">
                  <c:v>53.313851826965994</c:v>
                </c:pt>
                <c:pt idx="50">
                  <c:v>53.213939607864539</c:v>
                </c:pt>
                <c:pt idx="51">
                  <c:v>53.558922445326978</c:v>
                </c:pt>
                <c:pt idx="52">
                  <c:v>53.7801371327539</c:v>
                </c:pt>
                <c:pt idx="53">
                  <c:v>53.904944365170934</c:v>
                </c:pt>
                <c:pt idx="54">
                  <c:v>54.026830011338205</c:v>
                </c:pt>
                <c:pt idx="55">
                  <c:v>54.260986611177955</c:v>
                </c:pt>
                <c:pt idx="56">
                  <c:v>54.335529862250226</c:v>
                </c:pt>
                <c:pt idx="57">
                  <c:v>54.36972726103631</c:v>
                </c:pt>
                <c:pt idx="58">
                  <c:v>54.472509236044587</c:v>
                </c:pt>
                <c:pt idx="59">
                  <c:v>54.721030499344643</c:v>
                </c:pt>
                <c:pt idx="60">
                  <c:v>54.698466964944494</c:v>
                </c:pt>
                <c:pt idx="61">
                  <c:v>54.816414026324381</c:v>
                </c:pt>
                <c:pt idx="62">
                  <c:v>55.085143985904566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73-47BF-883D-8E69850338CF}"/>
            </c:ext>
          </c:extLst>
        </c:ser>
        <c:ser>
          <c:idx val="9"/>
          <c:order val="9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'7.BAC_2022_Q1'!$A$9:$A$259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'7.BAC_2022_Q1'!$K$9:$K$259</c:f>
              <c:numCache>
                <c:formatCode>#,##0.00</c:formatCode>
                <c:ptCount val="251"/>
                <c:pt idx="0">
                  <c:v>46.18</c:v>
                </c:pt>
                <c:pt idx="1">
                  <c:v>46.292918082152056</c:v>
                </c:pt>
                <c:pt idx="2">
                  <c:v>46.283828668045949</c:v>
                </c:pt>
                <c:pt idx="3">
                  <c:v>46.470113296061221</c:v>
                </c:pt>
                <c:pt idx="4">
                  <c:v>46.340575406418758</c:v>
                </c:pt>
                <c:pt idx="5">
                  <c:v>46.484694856226689</c:v>
                </c:pt>
                <c:pt idx="6">
                  <c:v>46.534850303415773</c:v>
                </c:pt>
                <c:pt idx="7">
                  <c:v>46.600932971356983</c:v>
                </c:pt>
                <c:pt idx="8">
                  <c:v>46.8131192963153</c:v>
                </c:pt>
                <c:pt idx="9">
                  <c:v>46.964926008877327</c:v>
                </c:pt>
                <c:pt idx="10">
                  <c:v>47.265650648238527</c:v>
                </c:pt>
                <c:pt idx="11">
                  <c:v>47.301694953402055</c:v>
                </c:pt>
                <c:pt idx="12">
                  <c:v>47.405249332289969</c:v>
                </c:pt>
                <c:pt idx="13">
                  <c:v>47.581282584311531</c:v>
                </c:pt>
                <c:pt idx="14">
                  <c:v>47.726431654872904</c:v>
                </c:pt>
                <c:pt idx="15">
                  <c:v>47.877999274969724</c:v>
                </c:pt>
                <c:pt idx="16">
                  <c:v>48.282485948950026</c:v>
                </c:pt>
                <c:pt idx="17">
                  <c:v>48.452343323783317</c:v>
                </c:pt>
                <c:pt idx="18">
                  <c:v>48.517668731466713</c:v>
                </c:pt>
                <c:pt idx="19">
                  <c:v>48.358216799772038</c:v>
                </c:pt>
                <c:pt idx="20">
                  <c:v>48.534982816719484</c:v>
                </c:pt>
                <c:pt idx="21">
                  <c:v>48.700696771523297</c:v>
                </c:pt>
                <c:pt idx="22">
                  <c:v>48.831466158643508</c:v>
                </c:pt>
                <c:pt idx="23">
                  <c:v>48.933339872929402</c:v>
                </c:pt>
                <c:pt idx="24">
                  <c:v>49.073920319300058</c:v>
                </c:pt>
                <c:pt idx="25">
                  <c:v>49.163628421193678</c:v>
                </c:pt>
                <c:pt idx="26">
                  <c:v>49.297045974400923</c:v>
                </c:pt>
                <c:pt idx="27">
                  <c:v>49.272903809301646</c:v>
                </c:pt>
                <c:pt idx="28">
                  <c:v>49.303861397988356</c:v>
                </c:pt>
                <c:pt idx="29">
                  <c:v>49.293393342103485</c:v>
                </c:pt>
                <c:pt idx="30">
                  <c:v>49.411305899730927</c:v>
                </c:pt>
                <c:pt idx="31">
                  <c:v>49.269123287996862</c:v>
                </c:pt>
                <c:pt idx="32">
                  <c:v>49.400479722916216</c:v>
                </c:pt>
                <c:pt idx="33">
                  <c:v>49.359304071487166</c:v>
                </c:pt>
                <c:pt idx="34">
                  <c:v>49.789548450635891</c:v>
                </c:pt>
                <c:pt idx="35">
                  <c:v>49.980522921532646</c:v>
                </c:pt>
                <c:pt idx="36">
                  <c:v>50.025257687042355</c:v>
                </c:pt>
                <c:pt idx="37">
                  <c:v>50.249516604803468</c:v>
                </c:pt>
                <c:pt idx="38">
                  <c:v>50.484900483232273</c:v>
                </c:pt>
                <c:pt idx="39">
                  <c:v>50.602776462483298</c:v>
                </c:pt>
                <c:pt idx="40">
                  <c:v>50.63180358719287</c:v>
                </c:pt>
                <c:pt idx="41">
                  <c:v>50.81188140317677</c:v>
                </c:pt>
                <c:pt idx="42">
                  <c:v>51.095018719803491</c:v>
                </c:pt>
                <c:pt idx="43">
                  <c:v>51.387103969876286</c:v>
                </c:pt>
                <c:pt idx="44">
                  <c:v>51.482265950131598</c:v>
                </c:pt>
                <c:pt idx="45">
                  <c:v>51.567774416431085</c:v>
                </c:pt>
                <c:pt idx="46">
                  <c:v>51.519319369470374</c:v>
                </c:pt>
                <c:pt idx="47">
                  <c:v>51.499933062643763</c:v>
                </c:pt>
                <c:pt idx="48">
                  <c:v>51.707599216226257</c:v>
                </c:pt>
                <c:pt idx="49">
                  <c:v>51.864329200052083</c:v>
                </c:pt>
                <c:pt idx="50">
                  <c:v>52.089292560186024</c:v>
                </c:pt>
                <c:pt idx="51">
                  <c:v>52.431113235443476</c:v>
                </c:pt>
                <c:pt idx="52">
                  <c:v>52.632908571499243</c:v>
                </c:pt>
                <c:pt idx="53">
                  <c:v>52.802187152098163</c:v>
                </c:pt>
                <c:pt idx="54">
                  <c:v>53.019762767241275</c:v>
                </c:pt>
                <c:pt idx="55">
                  <c:v>53.114067556538494</c:v>
                </c:pt>
                <c:pt idx="56">
                  <c:v>53.156805174136501</c:v>
                </c:pt>
                <c:pt idx="57">
                  <c:v>53.12571905081797</c:v>
                </c:pt>
                <c:pt idx="58">
                  <c:v>53.300689660667963</c:v>
                </c:pt>
                <c:pt idx="59">
                  <c:v>53.388228962831924</c:v>
                </c:pt>
                <c:pt idx="60">
                  <c:v>53.35792913289572</c:v>
                </c:pt>
                <c:pt idx="61">
                  <c:v>53.644245878809727</c:v>
                </c:pt>
                <c:pt idx="62">
                  <c:v>53.930527024705256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73-47BF-883D-8E6985033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58912"/>
        <c:axId val="490208288"/>
      </c:scatterChart>
      <c:valAx>
        <c:axId val="489458912"/>
        <c:scaling>
          <c:orientation val="minMax"/>
          <c:max val="60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08288"/>
        <c:crosses val="autoZero"/>
        <c:crossBetween val="midCat"/>
        <c:majorUnit val="10"/>
      </c:valAx>
      <c:valAx>
        <c:axId val="490208288"/>
        <c:scaling>
          <c:orientation val="minMax"/>
          <c:max val="53"/>
          <c:min val="45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5891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CITI Q1_2022</a:t>
            </a:r>
          </a:p>
        </c:rich>
      </c:tx>
      <c:layout>
        <c:manualLayout>
          <c:xMode val="edge"/>
          <c:yMode val="edge"/>
          <c:x val="0.38799974417913485"/>
          <c:y val="6.37958532695374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153244733297231E-2"/>
          <c:y val="0.18836428731259788"/>
          <c:w val="0.87710425085753174"/>
          <c:h val="0.730193476318928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'7.CITI_2022Q1 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'7.CITI_2022Q1 '!$B$9:$B$259</c:f>
              <c:numCache>
                <c:formatCode>#,##0.00</c:formatCode>
                <c:ptCount val="251"/>
                <c:pt idx="0">
                  <c:v>55.66</c:v>
                </c:pt>
                <c:pt idx="1">
                  <c:v>55.767739683285726</c:v>
                </c:pt>
                <c:pt idx="2">
                  <c:v>55.659529839837901</c:v>
                </c:pt>
                <c:pt idx="3">
                  <c:v>55.854498423810952</c:v>
                </c:pt>
                <c:pt idx="4">
                  <c:v>56.054488022728961</c:v>
                </c:pt>
                <c:pt idx="5">
                  <c:v>56.096126456412328</c:v>
                </c:pt>
                <c:pt idx="6">
                  <c:v>56.259436203922924</c:v>
                </c:pt>
                <c:pt idx="7">
                  <c:v>56.347058556664514</c:v>
                </c:pt>
                <c:pt idx="8">
                  <c:v>56.533944379068252</c:v>
                </c:pt>
                <c:pt idx="9">
                  <c:v>56.413724891572073</c:v>
                </c:pt>
                <c:pt idx="10">
                  <c:v>56.521754498707715</c:v>
                </c:pt>
                <c:pt idx="11">
                  <c:v>56.631497244887676</c:v>
                </c:pt>
                <c:pt idx="12">
                  <c:v>56.712390839042932</c:v>
                </c:pt>
                <c:pt idx="13">
                  <c:v>56.75057021535477</c:v>
                </c:pt>
                <c:pt idx="14">
                  <c:v>56.765464502298322</c:v>
                </c:pt>
                <c:pt idx="15">
                  <c:v>56.729980824193227</c:v>
                </c:pt>
                <c:pt idx="16">
                  <c:v>56.817792129853572</c:v>
                </c:pt>
                <c:pt idx="17">
                  <c:v>56.956801125527463</c:v>
                </c:pt>
                <c:pt idx="18">
                  <c:v>57.188000225199715</c:v>
                </c:pt>
                <c:pt idx="19">
                  <c:v>57.219281716999582</c:v>
                </c:pt>
                <c:pt idx="20">
                  <c:v>57.357711474336057</c:v>
                </c:pt>
                <c:pt idx="21">
                  <c:v>57.49508066948529</c:v>
                </c:pt>
                <c:pt idx="22">
                  <c:v>57.615914513162465</c:v>
                </c:pt>
                <c:pt idx="23">
                  <c:v>57.810622103995129</c:v>
                </c:pt>
                <c:pt idx="24">
                  <c:v>57.8557622683796</c:v>
                </c:pt>
                <c:pt idx="25">
                  <c:v>57.897251075169379</c:v>
                </c:pt>
                <c:pt idx="26">
                  <c:v>57.846252513853187</c:v>
                </c:pt>
                <c:pt idx="27">
                  <c:v>57.837299440155917</c:v>
                </c:pt>
                <c:pt idx="28">
                  <c:v>57.882564521470982</c:v>
                </c:pt>
                <c:pt idx="29">
                  <c:v>58.077249959081776</c:v>
                </c:pt>
                <c:pt idx="30">
                  <c:v>58.088559259810928</c:v>
                </c:pt>
                <c:pt idx="31">
                  <c:v>58.289104353141788</c:v>
                </c:pt>
                <c:pt idx="32">
                  <c:v>58.373239441615404</c:v>
                </c:pt>
                <c:pt idx="33">
                  <c:v>58.54043412376928</c:v>
                </c:pt>
                <c:pt idx="34">
                  <c:v>58.594655940364547</c:v>
                </c:pt>
                <c:pt idx="35">
                  <c:v>58.77438060510466</c:v>
                </c:pt>
                <c:pt idx="36">
                  <c:v>59.081160766673484</c:v>
                </c:pt>
                <c:pt idx="37">
                  <c:v>58.994660993181135</c:v>
                </c:pt>
                <c:pt idx="38">
                  <c:v>59.09339754044462</c:v>
                </c:pt>
                <c:pt idx="39">
                  <c:v>59.367481869540313</c:v>
                </c:pt>
                <c:pt idx="40">
                  <c:v>59.459763127130678</c:v>
                </c:pt>
                <c:pt idx="41">
                  <c:v>59.26187302109409</c:v>
                </c:pt>
                <c:pt idx="42">
                  <c:v>59.26729991088019</c:v>
                </c:pt>
                <c:pt idx="43">
                  <c:v>59.162842393944416</c:v>
                </c:pt>
                <c:pt idx="44">
                  <c:v>59.398660180488868</c:v>
                </c:pt>
                <c:pt idx="45">
                  <c:v>59.432663539669768</c:v>
                </c:pt>
                <c:pt idx="46">
                  <c:v>59.543529226680647</c:v>
                </c:pt>
                <c:pt idx="47">
                  <c:v>59.66046476874196</c:v>
                </c:pt>
                <c:pt idx="48">
                  <c:v>59.624400565876982</c:v>
                </c:pt>
                <c:pt idx="49">
                  <c:v>59.901698595572384</c:v>
                </c:pt>
                <c:pt idx="50">
                  <c:v>60.20954758083279</c:v>
                </c:pt>
                <c:pt idx="51">
                  <c:v>60.270079172749575</c:v>
                </c:pt>
                <c:pt idx="52">
                  <c:v>60.382529079747734</c:v>
                </c:pt>
                <c:pt idx="53">
                  <c:v>60.45516568947032</c:v>
                </c:pt>
                <c:pt idx="54">
                  <c:v>60.382117805817067</c:v>
                </c:pt>
                <c:pt idx="55">
                  <c:v>60.22458916467798</c:v>
                </c:pt>
                <c:pt idx="56">
                  <c:v>60.385092420835107</c:v>
                </c:pt>
                <c:pt idx="57">
                  <c:v>60.531492756260349</c:v>
                </c:pt>
                <c:pt idx="58">
                  <c:v>60.576807789461498</c:v>
                </c:pt>
                <c:pt idx="59">
                  <c:v>60.713150195087955</c:v>
                </c:pt>
                <c:pt idx="60">
                  <c:v>60.752429288681775</c:v>
                </c:pt>
                <c:pt idx="61">
                  <c:v>60.809401750778022</c:v>
                </c:pt>
                <c:pt idx="62">
                  <c:v>61.061705923443284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3E-4639-BFBB-D6D67A253F05}"/>
            </c:ext>
          </c:extLst>
        </c:ser>
        <c:ser>
          <c:idx val="1"/>
          <c:order val="1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'7.CITI_2022Q1 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'7.CITI_2022Q1 '!$C$9:$C$259</c:f>
              <c:numCache>
                <c:formatCode>#,##0.00</c:formatCode>
                <c:ptCount val="251"/>
                <c:pt idx="0">
                  <c:v>55.66</c:v>
                </c:pt>
                <c:pt idx="1">
                  <c:v>55.850634275166364</c:v>
                </c:pt>
                <c:pt idx="2">
                  <c:v>56.139226176501701</c:v>
                </c:pt>
                <c:pt idx="3">
                  <c:v>56.169390970222445</c:v>
                </c:pt>
                <c:pt idx="4">
                  <c:v>56.202844508268726</c:v>
                </c:pt>
                <c:pt idx="5">
                  <c:v>56.284610228045914</c:v>
                </c:pt>
                <c:pt idx="6">
                  <c:v>56.415763404045968</c:v>
                </c:pt>
                <c:pt idx="7">
                  <c:v>56.506943643651233</c:v>
                </c:pt>
                <c:pt idx="8">
                  <c:v>56.701748071488879</c:v>
                </c:pt>
                <c:pt idx="9">
                  <c:v>56.555572703709743</c:v>
                </c:pt>
                <c:pt idx="10">
                  <c:v>56.661064571921486</c:v>
                </c:pt>
                <c:pt idx="11">
                  <c:v>56.790495941330839</c:v>
                </c:pt>
                <c:pt idx="12">
                  <c:v>56.815833336080487</c:v>
                </c:pt>
                <c:pt idx="13">
                  <c:v>57.095524901787194</c:v>
                </c:pt>
                <c:pt idx="14">
                  <c:v>57.357211513913597</c:v>
                </c:pt>
                <c:pt idx="15">
                  <c:v>57.512126618676902</c:v>
                </c:pt>
                <c:pt idx="16">
                  <c:v>57.507208419651292</c:v>
                </c:pt>
                <c:pt idx="17">
                  <c:v>57.676797585784492</c:v>
                </c:pt>
                <c:pt idx="18">
                  <c:v>57.702244664371264</c:v>
                </c:pt>
                <c:pt idx="19">
                  <c:v>57.618175877645612</c:v>
                </c:pt>
                <c:pt idx="20">
                  <c:v>57.848073661863232</c:v>
                </c:pt>
                <c:pt idx="21">
                  <c:v>57.887992855074273</c:v>
                </c:pt>
                <c:pt idx="22">
                  <c:v>58.161177322407063</c:v>
                </c:pt>
                <c:pt idx="23">
                  <c:v>58.132269927114429</c:v>
                </c:pt>
                <c:pt idx="24">
                  <c:v>58.229861372782977</c:v>
                </c:pt>
                <c:pt idx="25">
                  <c:v>58.171828395364351</c:v>
                </c:pt>
                <c:pt idx="26">
                  <c:v>58.341570765317329</c:v>
                </c:pt>
                <c:pt idx="27">
                  <c:v>58.502910609950284</c:v>
                </c:pt>
                <c:pt idx="28">
                  <c:v>58.522641509559357</c:v>
                </c:pt>
                <c:pt idx="29">
                  <c:v>58.676362601886154</c:v>
                </c:pt>
                <c:pt idx="30">
                  <c:v>58.839375134148106</c:v>
                </c:pt>
                <c:pt idx="31">
                  <c:v>58.932920487128207</c:v>
                </c:pt>
                <c:pt idx="32">
                  <c:v>59.26681284573305</c:v>
                </c:pt>
                <c:pt idx="33">
                  <c:v>59.312976527871058</c:v>
                </c:pt>
                <c:pt idx="34">
                  <c:v>59.434976000270552</c:v>
                </c:pt>
                <c:pt idx="35">
                  <c:v>59.453948829934852</c:v>
                </c:pt>
                <c:pt idx="36">
                  <c:v>59.381233503728602</c:v>
                </c:pt>
                <c:pt idx="37">
                  <c:v>59.303314429720167</c:v>
                </c:pt>
                <c:pt idx="38">
                  <c:v>59.217888161711187</c:v>
                </c:pt>
                <c:pt idx="39">
                  <c:v>59.372233797174296</c:v>
                </c:pt>
                <c:pt idx="40">
                  <c:v>59.633561611553439</c:v>
                </c:pt>
                <c:pt idx="41">
                  <c:v>59.730565450745715</c:v>
                </c:pt>
                <c:pt idx="42">
                  <c:v>59.964517879320688</c:v>
                </c:pt>
                <c:pt idx="43">
                  <c:v>60.279279358977028</c:v>
                </c:pt>
                <c:pt idx="44">
                  <c:v>60.5156760096733</c:v>
                </c:pt>
                <c:pt idx="45">
                  <c:v>60.633707331022364</c:v>
                </c:pt>
                <c:pt idx="46">
                  <c:v>60.832397954477393</c:v>
                </c:pt>
                <c:pt idx="47">
                  <c:v>60.88036534470745</c:v>
                </c:pt>
                <c:pt idx="48">
                  <c:v>60.888674903012742</c:v>
                </c:pt>
                <c:pt idx="49">
                  <c:v>61.032957597077441</c:v>
                </c:pt>
                <c:pt idx="50">
                  <c:v>61.10713080368577</c:v>
                </c:pt>
                <c:pt idx="51">
                  <c:v>61.47753580683613</c:v>
                </c:pt>
                <c:pt idx="52">
                  <c:v>61.622568343143946</c:v>
                </c:pt>
                <c:pt idx="53">
                  <c:v>61.813484585772166</c:v>
                </c:pt>
                <c:pt idx="54">
                  <c:v>62.069050378562231</c:v>
                </c:pt>
                <c:pt idx="55">
                  <c:v>62.154096629032203</c:v>
                </c:pt>
                <c:pt idx="56">
                  <c:v>62.161337219457323</c:v>
                </c:pt>
                <c:pt idx="57">
                  <c:v>62.05581126090572</c:v>
                </c:pt>
                <c:pt idx="58">
                  <c:v>62.008941433261725</c:v>
                </c:pt>
                <c:pt idx="59">
                  <c:v>62.048400533000553</c:v>
                </c:pt>
                <c:pt idx="60">
                  <c:v>62.354294737686672</c:v>
                </c:pt>
                <c:pt idx="61">
                  <c:v>62.361742303976648</c:v>
                </c:pt>
                <c:pt idx="62">
                  <c:v>62.4001984842103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3E-4639-BFBB-D6D67A253F05}"/>
            </c:ext>
          </c:extLst>
        </c:ser>
        <c:ser>
          <c:idx val="2"/>
          <c:order val="2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'7.CITI_2022Q1 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'7.CITI_2022Q1 '!$D$9:$D$259</c:f>
              <c:numCache>
                <c:formatCode>#,##0.00</c:formatCode>
                <c:ptCount val="251"/>
                <c:pt idx="0">
                  <c:v>55.66</c:v>
                </c:pt>
                <c:pt idx="1">
                  <c:v>55.753543456832496</c:v>
                </c:pt>
                <c:pt idx="2">
                  <c:v>55.781885628458475</c:v>
                </c:pt>
                <c:pt idx="3">
                  <c:v>55.807742336999276</c:v>
                </c:pt>
                <c:pt idx="4">
                  <c:v>55.749969273514985</c:v>
                </c:pt>
                <c:pt idx="5">
                  <c:v>55.711572348497462</c:v>
                </c:pt>
                <c:pt idx="6">
                  <c:v>55.669210693472806</c:v>
                </c:pt>
                <c:pt idx="7">
                  <c:v>55.669552405529913</c:v>
                </c:pt>
                <c:pt idx="8">
                  <c:v>55.851159212578658</c:v>
                </c:pt>
                <c:pt idx="9">
                  <c:v>56.081315754178306</c:v>
                </c:pt>
                <c:pt idx="10">
                  <c:v>56.015138851847702</c:v>
                </c:pt>
                <c:pt idx="11">
                  <c:v>56.207071854326749</c:v>
                </c:pt>
                <c:pt idx="12">
                  <c:v>56.248819651978103</c:v>
                </c:pt>
                <c:pt idx="13">
                  <c:v>56.474557707565786</c:v>
                </c:pt>
                <c:pt idx="14">
                  <c:v>56.301220695019005</c:v>
                </c:pt>
                <c:pt idx="15">
                  <c:v>56.394746608855492</c:v>
                </c:pt>
                <c:pt idx="16">
                  <c:v>56.556955353264115</c:v>
                </c:pt>
                <c:pt idx="17">
                  <c:v>56.818560632365177</c:v>
                </c:pt>
                <c:pt idx="18">
                  <c:v>57.055869451642749</c:v>
                </c:pt>
                <c:pt idx="19">
                  <c:v>57.004912038146244</c:v>
                </c:pt>
                <c:pt idx="20">
                  <c:v>57.178960007652215</c:v>
                </c:pt>
                <c:pt idx="21">
                  <c:v>57.465287439553627</c:v>
                </c:pt>
                <c:pt idx="22">
                  <c:v>57.645898725510563</c:v>
                </c:pt>
                <c:pt idx="23">
                  <c:v>57.801245164403717</c:v>
                </c:pt>
                <c:pt idx="24">
                  <c:v>58.07281492234798</c:v>
                </c:pt>
                <c:pt idx="25">
                  <c:v>58.343843694949683</c:v>
                </c:pt>
                <c:pt idx="26">
                  <c:v>58.556610743939125</c:v>
                </c:pt>
                <c:pt idx="27">
                  <c:v>58.568393841499571</c:v>
                </c:pt>
                <c:pt idx="28">
                  <c:v>58.490057794058373</c:v>
                </c:pt>
                <c:pt idx="29">
                  <c:v>58.5168237386006</c:v>
                </c:pt>
                <c:pt idx="30">
                  <c:v>58.490992345837576</c:v>
                </c:pt>
                <c:pt idx="31">
                  <c:v>58.820481559984778</c:v>
                </c:pt>
                <c:pt idx="32">
                  <c:v>58.8597582840653</c:v>
                </c:pt>
                <c:pt idx="33">
                  <c:v>58.855839820786478</c:v>
                </c:pt>
                <c:pt idx="34">
                  <c:v>59.070290428127322</c:v>
                </c:pt>
                <c:pt idx="35">
                  <c:v>59.172162179167664</c:v>
                </c:pt>
                <c:pt idx="36">
                  <c:v>59.354046626492085</c:v>
                </c:pt>
                <c:pt idx="37">
                  <c:v>59.561206390533876</c:v>
                </c:pt>
                <c:pt idx="38">
                  <c:v>59.600209711028654</c:v>
                </c:pt>
                <c:pt idx="39">
                  <c:v>59.807840071499292</c:v>
                </c:pt>
                <c:pt idx="40">
                  <c:v>59.749847897345809</c:v>
                </c:pt>
                <c:pt idx="41">
                  <c:v>59.730093672928845</c:v>
                </c:pt>
                <c:pt idx="42">
                  <c:v>59.813509898999875</c:v>
                </c:pt>
                <c:pt idx="43">
                  <c:v>59.839037782395636</c:v>
                </c:pt>
                <c:pt idx="44">
                  <c:v>59.99394097856019</c:v>
                </c:pt>
                <c:pt idx="45">
                  <c:v>60.065506015357691</c:v>
                </c:pt>
                <c:pt idx="46">
                  <c:v>60.122805753617506</c:v>
                </c:pt>
                <c:pt idx="47">
                  <c:v>60.311922786985711</c:v>
                </c:pt>
                <c:pt idx="48">
                  <c:v>60.320226291977306</c:v>
                </c:pt>
                <c:pt idx="49">
                  <c:v>60.340586981713493</c:v>
                </c:pt>
                <c:pt idx="50">
                  <c:v>60.450538226556198</c:v>
                </c:pt>
                <c:pt idx="51">
                  <c:v>60.520990753929041</c:v>
                </c:pt>
                <c:pt idx="52">
                  <c:v>60.58372657914952</c:v>
                </c:pt>
                <c:pt idx="53">
                  <c:v>60.742530028658699</c:v>
                </c:pt>
                <c:pt idx="54">
                  <c:v>60.658332153008963</c:v>
                </c:pt>
                <c:pt idx="55">
                  <c:v>60.692655750254303</c:v>
                </c:pt>
                <c:pt idx="56">
                  <c:v>60.79029061916988</c:v>
                </c:pt>
                <c:pt idx="57">
                  <c:v>60.792272715039545</c:v>
                </c:pt>
                <c:pt idx="58">
                  <c:v>60.735045024689171</c:v>
                </c:pt>
                <c:pt idx="59">
                  <c:v>60.762865163312888</c:v>
                </c:pt>
                <c:pt idx="60">
                  <c:v>60.763601658614952</c:v>
                </c:pt>
                <c:pt idx="61">
                  <c:v>60.56399086838892</c:v>
                </c:pt>
                <c:pt idx="62">
                  <c:v>60.63044963808693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3E-4639-BFBB-D6D67A253F05}"/>
            </c:ext>
          </c:extLst>
        </c:ser>
        <c:ser>
          <c:idx val="3"/>
          <c:order val="3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'7.CITI_2022Q1 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'7.CITI_2022Q1 '!$E$9:$E$259</c:f>
              <c:numCache>
                <c:formatCode>#,##0.00</c:formatCode>
                <c:ptCount val="251"/>
                <c:pt idx="0">
                  <c:v>55.66</c:v>
                </c:pt>
                <c:pt idx="1">
                  <c:v>55.849442301631015</c:v>
                </c:pt>
                <c:pt idx="2">
                  <c:v>55.856242332134379</c:v>
                </c:pt>
                <c:pt idx="3">
                  <c:v>55.760001071817797</c:v>
                </c:pt>
                <c:pt idx="4">
                  <c:v>55.755127623830447</c:v>
                </c:pt>
                <c:pt idx="5">
                  <c:v>55.911430418235703</c:v>
                </c:pt>
                <c:pt idx="6">
                  <c:v>55.838211286200867</c:v>
                </c:pt>
                <c:pt idx="7">
                  <c:v>56.027730647724717</c:v>
                </c:pt>
                <c:pt idx="8">
                  <c:v>56.226504268723041</c:v>
                </c:pt>
                <c:pt idx="9">
                  <c:v>56.407373865879187</c:v>
                </c:pt>
                <c:pt idx="10">
                  <c:v>56.675707069766858</c:v>
                </c:pt>
                <c:pt idx="11">
                  <c:v>56.86239193596343</c:v>
                </c:pt>
                <c:pt idx="12">
                  <c:v>56.855858386264629</c:v>
                </c:pt>
                <c:pt idx="13">
                  <c:v>56.729974867103692</c:v>
                </c:pt>
                <c:pt idx="14">
                  <c:v>56.873528774600807</c:v>
                </c:pt>
                <c:pt idx="15">
                  <c:v>57.124322002301213</c:v>
                </c:pt>
                <c:pt idx="16">
                  <c:v>57.16420068688015</c:v>
                </c:pt>
                <c:pt idx="17">
                  <c:v>57.254004430565608</c:v>
                </c:pt>
                <c:pt idx="18">
                  <c:v>57.398362032526364</c:v>
                </c:pt>
                <c:pt idx="19">
                  <c:v>57.466277345724031</c:v>
                </c:pt>
                <c:pt idx="20">
                  <c:v>57.726564934814078</c:v>
                </c:pt>
                <c:pt idx="21">
                  <c:v>57.737795729925487</c:v>
                </c:pt>
                <c:pt idx="22">
                  <c:v>57.851867803025939</c:v>
                </c:pt>
                <c:pt idx="23">
                  <c:v>57.917109340117065</c:v>
                </c:pt>
                <c:pt idx="24">
                  <c:v>58.165602205538384</c:v>
                </c:pt>
                <c:pt idx="25">
                  <c:v>58.305615084530082</c:v>
                </c:pt>
                <c:pt idx="26">
                  <c:v>58.539770851946017</c:v>
                </c:pt>
                <c:pt idx="27">
                  <c:v>58.664784070455234</c:v>
                </c:pt>
                <c:pt idx="28">
                  <c:v>58.762254512462079</c:v>
                </c:pt>
                <c:pt idx="29">
                  <c:v>59.023579819204237</c:v>
                </c:pt>
                <c:pt idx="30">
                  <c:v>59.235557068980853</c:v>
                </c:pt>
                <c:pt idx="31">
                  <c:v>59.356439717295736</c:v>
                </c:pt>
                <c:pt idx="32">
                  <c:v>59.315897047940645</c:v>
                </c:pt>
                <c:pt idx="33">
                  <c:v>59.301891894676906</c:v>
                </c:pt>
                <c:pt idx="34">
                  <c:v>59.446008756638157</c:v>
                </c:pt>
                <c:pt idx="35">
                  <c:v>59.351863694856299</c:v>
                </c:pt>
                <c:pt idx="36">
                  <c:v>59.287046182693942</c:v>
                </c:pt>
                <c:pt idx="37">
                  <c:v>59.280638044302421</c:v>
                </c:pt>
                <c:pt idx="38">
                  <c:v>59.548926617222492</c:v>
                </c:pt>
                <c:pt idx="39">
                  <c:v>59.657669795989612</c:v>
                </c:pt>
                <c:pt idx="40">
                  <c:v>59.639184999644378</c:v>
                </c:pt>
                <c:pt idx="41">
                  <c:v>59.66397962886991</c:v>
                </c:pt>
                <c:pt idx="42">
                  <c:v>59.611205066602921</c:v>
                </c:pt>
                <c:pt idx="43">
                  <c:v>59.57554519455217</c:v>
                </c:pt>
                <c:pt idx="44">
                  <c:v>59.342245293462355</c:v>
                </c:pt>
                <c:pt idx="45">
                  <c:v>59.51601022975828</c:v>
                </c:pt>
                <c:pt idx="46">
                  <c:v>59.731528356541091</c:v>
                </c:pt>
                <c:pt idx="47">
                  <c:v>59.859527007217842</c:v>
                </c:pt>
                <c:pt idx="48">
                  <c:v>59.737547693420005</c:v>
                </c:pt>
                <c:pt idx="49">
                  <c:v>59.903316598574627</c:v>
                </c:pt>
                <c:pt idx="50">
                  <c:v>60.093151817021877</c:v>
                </c:pt>
                <c:pt idx="51">
                  <c:v>60.376504291449656</c:v>
                </c:pt>
                <c:pt idx="52">
                  <c:v>60.525290930297011</c:v>
                </c:pt>
                <c:pt idx="53">
                  <c:v>60.656091498250049</c:v>
                </c:pt>
                <c:pt idx="54">
                  <c:v>60.863937150562997</c:v>
                </c:pt>
                <c:pt idx="55">
                  <c:v>60.877399670480933</c:v>
                </c:pt>
                <c:pt idx="56">
                  <c:v>60.972805840499753</c:v>
                </c:pt>
                <c:pt idx="57">
                  <c:v>61.045907940032023</c:v>
                </c:pt>
                <c:pt idx="58">
                  <c:v>61.194917033715335</c:v>
                </c:pt>
                <c:pt idx="59">
                  <c:v>61.564107990828177</c:v>
                </c:pt>
                <c:pt idx="60">
                  <c:v>61.561469868895173</c:v>
                </c:pt>
                <c:pt idx="61">
                  <c:v>61.458490223663453</c:v>
                </c:pt>
                <c:pt idx="62">
                  <c:v>61.419767892621671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3E-4639-BFBB-D6D67A253F05}"/>
            </c:ext>
          </c:extLst>
        </c:ser>
        <c:ser>
          <c:idx val="4"/>
          <c:order val="4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'7.CITI_2022Q1 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'7.CITI_2022Q1 '!$F$9:$F$259</c:f>
              <c:numCache>
                <c:formatCode>#,##0.00</c:formatCode>
                <c:ptCount val="251"/>
                <c:pt idx="0">
                  <c:v>55.66</c:v>
                </c:pt>
                <c:pt idx="1">
                  <c:v>55.663486166589834</c:v>
                </c:pt>
                <c:pt idx="2">
                  <c:v>55.714601782334505</c:v>
                </c:pt>
                <c:pt idx="3">
                  <c:v>55.788539082781611</c:v>
                </c:pt>
                <c:pt idx="4">
                  <c:v>56.120590351634391</c:v>
                </c:pt>
                <c:pt idx="5">
                  <c:v>56.257843847898059</c:v>
                </c:pt>
                <c:pt idx="6">
                  <c:v>56.172277917207921</c:v>
                </c:pt>
                <c:pt idx="7">
                  <c:v>56.552548243573547</c:v>
                </c:pt>
                <c:pt idx="8">
                  <c:v>56.529310057381146</c:v>
                </c:pt>
                <c:pt idx="9">
                  <c:v>56.70274486167709</c:v>
                </c:pt>
                <c:pt idx="10">
                  <c:v>56.717963257173523</c:v>
                </c:pt>
                <c:pt idx="11">
                  <c:v>56.884921796919819</c:v>
                </c:pt>
                <c:pt idx="12">
                  <c:v>56.916223907824453</c:v>
                </c:pt>
                <c:pt idx="13">
                  <c:v>57.078449363149446</c:v>
                </c:pt>
                <c:pt idx="14">
                  <c:v>57.314162751291292</c:v>
                </c:pt>
                <c:pt idx="15">
                  <c:v>57.461751143221839</c:v>
                </c:pt>
                <c:pt idx="16">
                  <c:v>57.413101777302323</c:v>
                </c:pt>
                <c:pt idx="17">
                  <c:v>57.829778245181416</c:v>
                </c:pt>
                <c:pt idx="18">
                  <c:v>57.902208111468973</c:v>
                </c:pt>
                <c:pt idx="19">
                  <c:v>58.016555945328712</c:v>
                </c:pt>
                <c:pt idx="20">
                  <c:v>58.088630454107594</c:v>
                </c:pt>
                <c:pt idx="21">
                  <c:v>58.092771164872659</c:v>
                </c:pt>
                <c:pt idx="22">
                  <c:v>57.914930197330825</c:v>
                </c:pt>
                <c:pt idx="23">
                  <c:v>58.057734899718014</c:v>
                </c:pt>
                <c:pt idx="24">
                  <c:v>58.20796214652529</c:v>
                </c:pt>
                <c:pt idx="25">
                  <c:v>58.364661934999489</c:v>
                </c:pt>
                <c:pt idx="26">
                  <c:v>58.536353716205141</c:v>
                </c:pt>
                <c:pt idx="27">
                  <c:v>58.71579658679974</c:v>
                </c:pt>
                <c:pt idx="28">
                  <c:v>58.708427892270912</c:v>
                </c:pt>
                <c:pt idx="29">
                  <c:v>58.84448845982967</c:v>
                </c:pt>
                <c:pt idx="30">
                  <c:v>58.868744883188775</c:v>
                </c:pt>
                <c:pt idx="31">
                  <c:v>59.003340533924494</c:v>
                </c:pt>
                <c:pt idx="32">
                  <c:v>59.216857705131311</c:v>
                </c:pt>
                <c:pt idx="33">
                  <c:v>59.282705558910969</c:v>
                </c:pt>
                <c:pt idx="34">
                  <c:v>59.364470950966634</c:v>
                </c:pt>
                <c:pt idx="35">
                  <c:v>59.397491726750246</c:v>
                </c:pt>
                <c:pt idx="36">
                  <c:v>59.611929285623901</c:v>
                </c:pt>
                <c:pt idx="37">
                  <c:v>59.650906466017986</c:v>
                </c:pt>
                <c:pt idx="38">
                  <c:v>59.556207953192306</c:v>
                </c:pt>
                <c:pt idx="39">
                  <c:v>59.754636262106757</c:v>
                </c:pt>
                <c:pt idx="40">
                  <c:v>59.991501245956854</c:v>
                </c:pt>
                <c:pt idx="41">
                  <c:v>60.38422306954881</c:v>
                </c:pt>
                <c:pt idx="42">
                  <c:v>60.148649571190106</c:v>
                </c:pt>
                <c:pt idx="43">
                  <c:v>60.309106550318035</c:v>
                </c:pt>
                <c:pt idx="44">
                  <c:v>60.175095247794175</c:v>
                </c:pt>
                <c:pt idx="45">
                  <c:v>60.179689684630375</c:v>
                </c:pt>
                <c:pt idx="46">
                  <c:v>60.263801448713117</c:v>
                </c:pt>
                <c:pt idx="47">
                  <c:v>60.495318830895499</c:v>
                </c:pt>
                <c:pt idx="48">
                  <c:v>60.580905696488024</c:v>
                </c:pt>
                <c:pt idx="49">
                  <c:v>60.542619074332649</c:v>
                </c:pt>
                <c:pt idx="50">
                  <c:v>60.662825982061911</c:v>
                </c:pt>
                <c:pt idx="51">
                  <c:v>60.733979638051409</c:v>
                </c:pt>
                <c:pt idx="52">
                  <c:v>60.871611806100958</c:v>
                </c:pt>
                <c:pt idx="53">
                  <c:v>60.931716632703946</c:v>
                </c:pt>
                <c:pt idx="54">
                  <c:v>61.135569568614557</c:v>
                </c:pt>
                <c:pt idx="55">
                  <c:v>61.330734873944166</c:v>
                </c:pt>
                <c:pt idx="56">
                  <c:v>61.56234663746762</c:v>
                </c:pt>
                <c:pt idx="57">
                  <c:v>61.455891169269641</c:v>
                </c:pt>
                <c:pt idx="58">
                  <c:v>61.729016315968394</c:v>
                </c:pt>
                <c:pt idx="59">
                  <c:v>61.998160563826083</c:v>
                </c:pt>
                <c:pt idx="60">
                  <c:v>62.228422909172885</c:v>
                </c:pt>
                <c:pt idx="61">
                  <c:v>62.233628346740318</c:v>
                </c:pt>
                <c:pt idx="62">
                  <c:v>62.491959729038854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3E-4639-BFBB-D6D67A253F05}"/>
            </c:ext>
          </c:extLst>
        </c:ser>
        <c:ser>
          <c:idx val="5"/>
          <c:order val="5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'7.CITI_2022Q1 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'7.CITI_2022Q1 '!$G$9:$G$259</c:f>
              <c:numCache>
                <c:formatCode>#,##0.00</c:formatCode>
                <c:ptCount val="251"/>
                <c:pt idx="0">
                  <c:v>55.66</c:v>
                </c:pt>
                <c:pt idx="1">
                  <c:v>55.704905095158011</c:v>
                </c:pt>
                <c:pt idx="2">
                  <c:v>55.692316462814887</c:v>
                </c:pt>
                <c:pt idx="3">
                  <c:v>55.922840837552442</c:v>
                </c:pt>
                <c:pt idx="4">
                  <c:v>55.953108146607406</c:v>
                </c:pt>
                <c:pt idx="5">
                  <c:v>56.106768591217055</c:v>
                </c:pt>
                <c:pt idx="6">
                  <c:v>56.152931194571657</c:v>
                </c:pt>
                <c:pt idx="7">
                  <c:v>56.284445825692949</c:v>
                </c:pt>
                <c:pt idx="8">
                  <c:v>56.22378037831114</c:v>
                </c:pt>
                <c:pt idx="9">
                  <c:v>56.508587014608189</c:v>
                </c:pt>
                <c:pt idx="10">
                  <c:v>56.415296077018866</c:v>
                </c:pt>
                <c:pt idx="11">
                  <c:v>56.634170277620413</c:v>
                </c:pt>
                <c:pt idx="12">
                  <c:v>56.770061659106617</c:v>
                </c:pt>
                <c:pt idx="13">
                  <c:v>56.885639013179613</c:v>
                </c:pt>
                <c:pt idx="14">
                  <c:v>56.770393847131366</c:v>
                </c:pt>
                <c:pt idx="15">
                  <c:v>56.784973315976785</c:v>
                </c:pt>
                <c:pt idx="16">
                  <c:v>56.969206439839361</c:v>
                </c:pt>
                <c:pt idx="17">
                  <c:v>57.045658540451264</c:v>
                </c:pt>
                <c:pt idx="18">
                  <c:v>57.257807970340011</c:v>
                </c:pt>
                <c:pt idx="19">
                  <c:v>57.284115861369933</c:v>
                </c:pt>
                <c:pt idx="20">
                  <c:v>57.244399840253124</c:v>
                </c:pt>
                <c:pt idx="21">
                  <c:v>57.427527592079883</c:v>
                </c:pt>
                <c:pt idx="22">
                  <c:v>57.337898531961798</c:v>
                </c:pt>
                <c:pt idx="23">
                  <c:v>57.474227281630171</c:v>
                </c:pt>
                <c:pt idx="24">
                  <c:v>57.65785997022153</c:v>
                </c:pt>
                <c:pt idx="25">
                  <c:v>57.696172408662157</c:v>
                </c:pt>
                <c:pt idx="26">
                  <c:v>57.786763207363471</c:v>
                </c:pt>
                <c:pt idx="27">
                  <c:v>57.851633368415399</c:v>
                </c:pt>
                <c:pt idx="28">
                  <c:v>57.84171939429784</c:v>
                </c:pt>
                <c:pt idx="29">
                  <c:v>58.02007699037123</c:v>
                </c:pt>
                <c:pt idx="30">
                  <c:v>58.086695058795691</c:v>
                </c:pt>
                <c:pt idx="31">
                  <c:v>58.249738666454242</c:v>
                </c:pt>
                <c:pt idx="32">
                  <c:v>58.332703060258289</c:v>
                </c:pt>
                <c:pt idx="33">
                  <c:v>58.369375409872276</c:v>
                </c:pt>
                <c:pt idx="34">
                  <c:v>58.51692973074244</c:v>
                </c:pt>
                <c:pt idx="35">
                  <c:v>58.656854683427191</c:v>
                </c:pt>
                <c:pt idx="36">
                  <c:v>58.571882541251043</c:v>
                </c:pt>
                <c:pt idx="37">
                  <c:v>58.355347600766947</c:v>
                </c:pt>
                <c:pt idx="38">
                  <c:v>58.505709567373337</c:v>
                </c:pt>
                <c:pt idx="39">
                  <c:v>58.702140525602992</c:v>
                </c:pt>
                <c:pt idx="40">
                  <c:v>58.758804073952987</c:v>
                </c:pt>
                <c:pt idx="41">
                  <c:v>58.866279225612921</c:v>
                </c:pt>
                <c:pt idx="42">
                  <c:v>58.877943902029031</c:v>
                </c:pt>
                <c:pt idx="43">
                  <c:v>58.88717887413317</c:v>
                </c:pt>
                <c:pt idx="44">
                  <c:v>58.933936003530164</c:v>
                </c:pt>
                <c:pt idx="45">
                  <c:v>59.007074840996829</c:v>
                </c:pt>
                <c:pt idx="46">
                  <c:v>59.234381299638606</c:v>
                </c:pt>
                <c:pt idx="47">
                  <c:v>59.163793993763001</c:v>
                </c:pt>
                <c:pt idx="48">
                  <c:v>59.249756515568045</c:v>
                </c:pt>
                <c:pt idx="49">
                  <c:v>59.492394719458424</c:v>
                </c:pt>
                <c:pt idx="50">
                  <c:v>59.656238516198144</c:v>
                </c:pt>
                <c:pt idx="51">
                  <c:v>59.771770938025597</c:v>
                </c:pt>
                <c:pt idx="52">
                  <c:v>59.882889194537697</c:v>
                </c:pt>
                <c:pt idx="53">
                  <c:v>59.761666535579828</c:v>
                </c:pt>
                <c:pt idx="54">
                  <c:v>59.898359826728068</c:v>
                </c:pt>
                <c:pt idx="55">
                  <c:v>59.955169076614183</c:v>
                </c:pt>
                <c:pt idx="56">
                  <c:v>60.162008645469854</c:v>
                </c:pt>
                <c:pt idx="57">
                  <c:v>60.181523701754855</c:v>
                </c:pt>
                <c:pt idx="58">
                  <c:v>60.275642821567018</c:v>
                </c:pt>
                <c:pt idx="59">
                  <c:v>60.423776725651052</c:v>
                </c:pt>
                <c:pt idx="60">
                  <c:v>60.420649696785524</c:v>
                </c:pt>
                <c:pt idx="61">
                  <c:v>60.66801216153884</c:v>
                </c:pt>
                <c:pt idx="62">
                  <c:v>60.579862937907798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3E-4639-BFBB-D6D67A253F05}"/>
            </c:ext>
          </c:extLst>
        </c:ser>
        <c:ser>
          <c:idx val="6"/>
          <c:order val="6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'7.CITI_2022Q1 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'7.CITI_2022Q1 '!$H$9:$H$259</c:f>
              <c:numCache>
                <c:formatCode>#,##0.00</c:formatCode>
                <c:ptCount val="251"/>
                <c:pt idx="0">
                  <c:v>55.66</c:v>
                </c:pt>
                <c:pt idx="1">
                  <c:v>55.981116026034535</c:v>
                </c:pt>
                <c:pt idx="2">
                  <c:v>55.981852045423594</c:v>
                </c:pt>
                <c:pt idx="3">
                  <c:v>56.124744227361234</c:v>
                </c:pt>
                <c:pt idx="4">
                  <c:v>56.211167910836821</c:v>
                </c:pt>
                <c:pt idx="5">
                  <c:v>56.406001134007028</c:v>
                </c:pt>
                <c:pt idx="6">
                  <c:v>56.524944585380823</c:v>
                </c:pt>
                <c:pt idx="7">
                  <c:v>56.429544753383873</c:v>
                </c:pt>
                <c:pt idx="8">
                  <c:v>56.479403104642607</c:v>
                </c:pt>
                <c:pt idx="9">
                  <c:v>56.524439812304557</c:v>
                </c:pt>
                <c:pt idx="10">
                  <c:v>56.496871138155221</c:v>
                </c:pt>
                <c:pt idx="11">
                  <c:v>56.422026553342036</c:v>
                </c:pt>
                <c:pt idx="12">
                  <c:v>56.369627216060586</c:v>
                </c:pt>
                <c:pt idx="13">
                  <c:v>56.530286073819866</c:v>
                </c:pt>
                <c:pt idx="14">
                  <c:v>56.762795945665864</c:v>
                </c:pt>
                <c:pt idx="15">
                  <c:v>56.914578131620914</c:v>
                </c:pt>
                <c:pt idx="16">
                  <c:v>56.887616806025044</c:v>
                </c:pt>
                <c:pt idx="17">
                  <c:v>57.194881446729063</c:v>
                </c:pt>
                <c:pt idx="18">
                  <c:v>57.296932693756773</c:v>
                </c:pt>
                <c:pt idx="19">
                  <c:v>57.326902209728253</c:v>
                </c:pt>
                <c:pt idx="20">
                  <c:v>57.512905929243701</c:v>
                </c:pt>
                <c:pt idx="21">
                  <c:v>57.352147786389231</c:v>
                </c:pt>
                <c:pt idx="22">
                  <c:v>57.367384580838426</c:v>
                </c:pt>
                <c:pt idx="23">
                  <c:v>57.438344510429907</c:v>
                </c:pt>
                <c:pt idx="24">
                  <c:v>57.421120074844801</c:v>
                </c:pt>
                <c:pt idx="25">
                  <c:v>57.402644603234897</c:v>
                </c:pt>
                <c:pt idx="26">
                  <c:v>57.390749425627696</c:v>
                </c:pt>
                <c:pt idx="27">
                  <c:v>57.466939287719406</c:v>
                </c:pt>
                <c:pt idx="28">
                  <c:v>57.590293912261615</c:v>
                </c:pt>
                <c:pt idx="29">
                  <c:v>57.697642408499568</c:v>
                </c:pt>
                <c:pt idx="30">
                  <c:v>57.871412450444396</c:v>
                </c:pt>
                <c:pt idx="31">
                  <c:v>57.904097180894688</c:v>
                </c:pt>
                <c:pt idx="32">
                  <c:v>57.999144604108238</c:v>
                </c:pt>
                <c:pt idx="33">
                  <c:v>58.055226472567128</c:v>
                </c:pt>
                <c:pt idx="34">
                  <c:v>58.217201979171236</c:v>
                </c:pt>
                <c:pt idx="35">
                  <c:v>58.296478369942292</c:v>
                </c:pt>
                <c:pt idx="36">
                  <c:v>58.325871285587148</c:v>
                </c:pt>
                <c:pt idx="37">
                  <c:v>58.147110425269211</c:v>
                </c:pt>
                <c:pt idx="38">
                  <c:v>58.366094623674407</c:v>
                </c:pt>
                <c:pt idx="39">
                  <c:v>58.437950957733818</c:v>
                </c:pt>
                <c:pt idx="40">
                  <c:v>58.474731195262869</c:v>
                </c:pt>
                <c:pt idx="41">
                  <c:v>58.701389465134604</c:v>
                </c:pt>
                <c:pt idx="42">
                  <c:v>58.981872773563374</c:v>
                </c:pt>
                <c:pt idx="43">
                  <c:v>59.167434580327637</c:v>
                </c:pt>
                <c:pt idx="44">
                  <c:v>59.117984970142032</c:v>
                </c:pt>
                <c:pt idx="45">
                  <c:v>59.176698901027727</c:v>
                </c:pt>
                <c:pt idx="46">
                  <c:v>59.018206933980494</c:v>
                </c:pt>
                <c:pt idx="47">
                  <c:v>58.955719703366249</c:v>
                </c:pt>
                <c:pt idx="48">
                  <c:v>59.356380791466229</c:v>
                </c:pt>
                <c:pt idx="49">
                  <c:v>59.513733293387169</c:v>
                </c:pt>
                <c:pt idx="50">
                  <c:v>59.440169503612893</c:v>
                </c:pt>
                <c:pt idx="51">
                  <c:v>59.627590238899764</c:v>
                </c:pt>
                <c:pt idx="52">
                  <c:v>59.795213316233472</c:v>
                </c:pt>
                <c:pt idx="53">
                  <c:v>59.862757018902911</c:v>
                </c:pt>
                <c:pt idx="54">
                  <c:v>59.952859446953873</c:v>
                </c:pt>
                <c:pt idx="55">
                  <c:v>59.962562275178257</c:v>
                </c:pt>
                <c:pt idx="56">
                  <c:v>60.012079124906947</c:v>
                </c:pt>
                <c:pt idx="57">
                  <c:v>60.058578667060878</c:v>
                </c:pt>
                <c:pt idx="58">
                  <c:v>60.391718653229404</c:v>
                </c:pt>
                <c:pt idx="59">
                  <c:v>60.612283957645424</c:v>
                </c:pt>
                <c:pt idx="60">
                  <c:v>60.611560450129936</c:v>
                </c:pt>
                <c:pt idx="61">
                  <c:v>60.892265083353657</c:v>
                </c:pt>
                <c:pt idx="62">
                  <c:v>61.066543410468043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3E-4639-BFBB-D6D67A253F05}"/>
            </c:ext>
          </c:extLst>
        </c:ser>
        <c:ser>
          <c:idx val="7"/>
          <c:order val="7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'7.CITI_2022Q1 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'7.CITI_2022Q1 '!$I$9:$I$259</c:f>
              <c:numCache>
                <c:formatCode>#,##0.00</c:formatCode>
                <c:ptCount val="251"/>
                <c:pt idx="0">
                  <c:v>55.66</c:v>
                </c:pt>
                <c:pt idx="1">
                  <c:v>55.709071668703736</c:v>
                </c:pt>
                <c:pt idx="2">
                  <c:v>55.729346439719961</c:v>
                </c:pt>
                <c:pt idx="3">
                  <c:v>55.807138599334117</c:v>
                </c:pt>
                <c:pt idx="4">
                  <c:v>55.886467151082421</c:v>
                </c:pt>
                <c:pt idx="5">
                  <c:v>55.921213079824064</c:v>
                </c:pt>
                <c:pt idx="6">
                  <c:v>55.813861779101082</c:v>
                </c:pt>
                <c:pt idx="7">
                  <c:v>56.098581568516806</c:v>
                </c:pt>
                <c:pt idx="8">
                  <c:v>56.099259146621137</c:v>
                </c:pt>
                <c:pt idx="9">
                  <c:v>56.38539498969638</c:v>
                </c:pt>
                <c:pt idx="10">
                  <c:v>56.440426904305603</c:v>
                </c:pt>
                <c:pt idx="11">
                  <c:v>56.470354032919332</c:v>
                </c:pt>
                <c:pt idx="12">
                  <c:v>56.806803442357619</c:v>
                </c:pt>
                <c:pt idx="13">
                  <c:v>56.703925872529013</c:v>
                </c:pt>
                <c:pt idx="14">
                  <c:v>57.109700578968642</c:v>
                </c:pt>
                <c:pt idx="15">
                  <c:v>57.162876890233449</c:v>
                </c:pt>
                <c:pt idx="16">
                  <c:v>57.265226165716911</c:v>
                </c:pt>
                <c:pt idx="17">
                  <c:v>57.278342217907692</c:v>
                </c:pt>
                <c:pt idx="18">
                  <c:v>57.319412685401822</c:v>
                </c:pt>
                <c:pt idx="19">
                  <c:v>57.348869189467678</c:v>
                </c:pt>
                <c:pt idx="20">
                  <c:v>57.400306831023009</c:v>
                </c:pt>
                <c:pt idx="21">
                  <c:v>57.332217382585227</c:v>
                </c:pt>
                <c:pt idx="22">
                  <c:v>57.580945329888181</c:v>
                </c:pt>
                <c:pt idx="23">
                  <c:v>57.565289479344749</c:v>
                </c:pt>
                <c:pt idx="24">
                  <c:v>57.875504221779408</c:v>
                </c:pt>
                <c:pt idx="25">
                  <c:v>57.95922064272218</c:v>
                </c:pt>
                <c:pt idx="26">
                  <c:v>57.914196384160469</c:v>
                </c:pt>
                <c:pt idx="27">
                  <c:v>57.824711973752031</c:v>
                </c:pt>
                <c:pt idx="28">
                  <c:v>57.804378651511207</c:v>
                </c:pt>
                <c:pt idx="29">
                  <c:v>58.116934835966561</c:v>
                </c:pt>
                <c:pt idx="30">
                  <c:v>58.280733537880671</c:v>
                </c:pt>
                <c:pt idx="31">
                  <c:v>58.601617484222139</c:v>
                </c:pt>
                <c:pt idx="32">
                  <c:v>58.624518820415396</c:v>
                </c:pt>
                <c:pt idx="33">
                  <c:v>58.678757853372389</c:v>
                </c:pt>
                <c:pt idx="34">
                  <c:v>58.855546362273891</c:v>
                </c:pt>
                <c:pt idx="35">
                  <c:v>59.023034182693671</c:v>
                </c:pt>
                <c:pt idx="36">
                  <c:v>59.285753262164825</c:v>
                </c:pt>
                <c:pt idx="37">
                  <c:v>59.212556380706644</c:v>
                </c:pt>
                <c:pt idx="38">
                  <c:v>59.185198997349815</c:v>
                </c:pt>
                <c:pt idx="39">
                  <c:v>58.974530661482746</c:v>
                </c:pt>
                <c:pt idx="40">
                  <c:v>59.11020914632477</c:v>
                </c:pt>
                <c:pt idx="41">
                  <c:v>59.240846322979849</c:v>
                </c:pt>
                <c:pt idx="42">
                  <c:v>59.308038448386604</c:v>
                </c:pt>
                <c:pt idx="43">
                  <c:v>59.261086611873374</c:v>
                </c:pt>
                <c:pt idx="44">
                  <c:v>59.452696463647534</c:v>
                </c:pt>
                <c:pt idx="45">
                  <c:v>59.437476328218501</c:v>
                </c:pt>
                <c:pt idx="46">
                  <c:v>59.63513359330075</c:v>
                </c:pt>
                <c:pt idx="47">
                  <c:v>59.738421992958855</c:v>
                </c:pt>
                <c:pt idx="48">
                  <c:v>59.904019520688657</c:v>
                </c:pt>
                <c:pt idx="49">
                  <c:v>59.911287125008322</c:v>
                </c:pt>
                <c:pt idx="50">
                  <c:v>60.098430088713094</c:v>
                </c:pt>
                <c:pt idx="51">
                  <c:v>60.343895349779082</c:v>
                </c:pt>
                <c:pt idx="52">
                  <c:v>60.201346010186136</c:v>
                </c:pt>
                <c:pt idx="53">
                  <c:v>60.246688642536263</c:v>
                </c:pt>
                <c:pt idx="54">
                  <c:v>60.322253834045291</c:v>
                </c:pt>
                <c:pt idx="55">
                  <c:v>60.508041745493934</c:v>
                </c:pt>
                <c:pt idx="56">
                  <c:v>60.600716175397643</c:v>
                </c:pt>
                <c:pt idx="57">
                  <c:v>60.750935962572619</c:v>
                </c:pt>
                <c:pt idx="58">
                  <c:v>60.791162913843323</c:v>
                </c:pt>
                <c:pt idx="59">
                  <c:v>60.859878082566262</c:v>
                </c:pt>
                <c:pt idx="60">
                  <c:v>60.988700076114128</c:v>
                </c:pt>
                <c:pt idx="61">
                  <c:v>61.277620113131938</c:v>
                </c:pt>
                <c:pt idx="62">
                  <c:v>61.341853984110905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E-4639-BFBB-D6D67A253F05}"/>
            </c:ext>
          </c:extLst>
        </c:ser>
        <c:ser>
          <c:idx val="8"/>
          <c:order val="8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'7.CITI_2022Q1 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'7.CITI_2022Q1 '!$J$9:$J$259</c:f>
              <c:numCache>
                <c:formatCode>#,##0.00</c:formatCode>
                <c:ptCount val="251"/>
                <c:pt idx="0">
                  <c:v>55.66</c:v>
                </c:pt>
                <c:pt idx="1">
                  <c:v>55.8127140604728</c:v>
                </c:pt>
                <c:pt idx="2">
                  <c:v>56.11659261026621</c:v>
                </c:pt>
                <c:pt idx="3">
                  <c:v>56.078833959805209</c:v>
                </c:pt>
                <c:pt idx="4">
                  <c:v>56.060482494401214</c:v>
                </c:pt>
                <c:pt idx="5">
                  <c:v>56.103408459171433</c:v>
                </c:pt>
                <c:pt idx="6">
                  <c:v>56.242112066952181</c:v>
                </c:pt>
                <c:pt idx="7">
                  <c:v>56.349426419110841</c:v>
                </c:pt>
                <c:pt idx="8">
                  <c:v>56.460412419033759</c:v>
                </c:pt>
                <c:pt idx="9">
                  <c:v>56.500630384829549</c:v>
                </c:pt>
                <c:pt idx="10">
                  <c:v>56.58116689927413</c:v>
                </c:pt>
                <c:pt idx="11">
                  <c:v>56.737140568080022</c:v>
                </c:pt>
                <c:pt idx="12">
                  <c:v>56.767941419268801</c:v>
                </c:pt>
                <c:pt idx="13">
                  <c:v>56.750632564513424</c:v>
                </c:pt>
                <c:pt idx="14">
                  <c:v>56.765401204209681</c:v>
                </c:pt>
                <c:pt idx="15">
                  <c:v>56.948848215653626</c:v>
                </c:pt>
                <c:pt idx="16">
                  <c:v>57.097781327039151</c:v>
                </c:pt>
                <c:pt idx="17">
                  <c:v>57.125267826606766</c:v>
                </c:pt>
                <c:pt idx="18">
                  <c:v>57.044500130460918</c:v>
                </c:pt>
                <c:pt idx="19">
                  <c:v>57.156646588445852</c:v>
                </c:pt>
                <c:pt idx="20">
                  <c:v>57.187018094099621</c:v>
                </c:pt>
                <c:pt idx="21">
                  <c:v>57.417106116732683</c:v>
                </c:pt>
                <c:pt idx="22">
                  <c:v>57.550809407897034</c:v>
                </c:pt>
                <c:pt idx="23">
                  <c:v>57.765492145965972</c:v>
                </c:pt>
                <c:pt idx="24">
                  <c:v>57.827237510800231</c:v>
                </c:pt>
                <c:pt idx="25">
                  <c:v>57.887873971221488</c:v>
                </c:pt>
                <c:pt idx="26">
                  <c:v>58.02807510625825</c:v>
                </c:pt>
                <c:pt idx="27">
                  <c:v>58.24013512500693</c:v>
                </c:pt>
                <c:pt idx="28">
                  <c:v>58.159592713271245</c:v>
                </c:pt>
                <c:pt idx="29">
                  <c:v>58.256990708921151</c:v>
                </c:pt>
                <c:pt idx="30">
                  <c:v>58.421308373432844</c:v>
                </c:pt>
                <c:pt idx="31">
                  <c:v>58.698093428970665</c:v>
                </c:pt>
                <c:pt idx="32">
                  <c:v>58.72521005916979</c:v>
                </c:pt>
                <c:pt idx="33">
                  <c:v>59.079676362259214</c:v>
                </c:pt>
                <c:pt idx="34">
                  <c:v>59.193449562514353</c:v>
                </c:pt>
                <c:pt idx="35">
                  <c:v>59.278956040875393</c:v>
                </c:pt>
                <c:pt idx="36">
                  <c:v>59.500424242843884</c:v>
                </c:pt>
                <c:pt idx="37">
                  <c:v>59.673873769500112</c:v>
                </c:pt>
                <c:pt idx="38">
                  <c:v>59.930883589196753</c:v>
                </c:pt>
                <c:pt idx="39">
                  <c:v>60.101703386369714</c:v>
                </c:pt>
                <c:pt idx="40">
                  <c:v>60.388623837845849</c:v>
                </c:pt>
                <c:pt idx="41">
                  <c:v>60.616842584788117</c:v>
                </c:pt>
                <c:pt idx="42">
                  <c:v>60.670045378580149</c:v>
                </c:pt>
                <c:pt idx="43">
                  <c:v>60.622661943050161</c:v>
                </c:pt>
                <c:pt idx="44">
                  <c:v>60.688880317667035</c:v>
                </c:pt>
                <c:pt idx="45">
                  <c:v>60.616041621217491</c:v>
                </c:pt>
                <c:pt idx="46">
                  <c:v>60.704613882103594</c:v>
                </c:pt>
                <c:pt idx="47">
                  <c:v>60.796045173026165</c:v>
                </c:pt>
                <c:pt idx="48">
                  <c:v>60.949633528818715</c:v>
                </c:pt>
                <c:pt idx="49">
                  <c:v>61.039036234295786</c:v>
                </c:pt>
                <c:pt idx="50">
                  <c:v>61.296626871340386</c:v>
                </c:pt>
                <c:pt idx="51">
                  <c:v>61.469519720281461</c:v>
                </c:pt>
                <c:pt idx="52">
                  <c:v>61.496796312164527</c:v>
                </c:pt>
                <c:pt idx="53">
                  <c:v>61.531150239016995</c:v>
                </c:pt>
                <c:pt idx="54">
                  <c:v>61.588840058481651</c:v>
                </c:pt>
                <c:pt idx="55">
                  <c:v>61.548248461226251</c:v>
                </c:pt>
                <c:pt idx="56">
                  <c:v>61.585728260693571</c:v>
                </c:pt>
                <c:pt idx="57">
                  <c:v>61.818802040925092</c:v>
                </c:pt>
                <c:pt idx="58">
                  <c:v>61.840180690804544</c:v>
                </c:pt>
                <c:pt idx="59">
                  <c:v>61.831785577207448</c:v>
                </c:pt>
                <c:pt idx="60">
                  <c:v>62.189773324713379</c:v>
                </c:pt>
                <c:pt idx="61">
                  <c:v>62.200440166449631</c:v>
                </c:pt>
                <c:pt idx="62">
                  <c:v>62.207341997503192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3E-4639-BFBB-D6D67A253F05}"/>
            </c:ext>
          </c:extLst>
        </c:ser>
        <c:ser>
          <c:idx val="9"/>
          <c:order val="9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'7.CITI_2022Q1 '!$A$9:$A$259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xVal>
          <c:yVal>
            <c:numRef>
              <c:f>'7.CITI_2022Q1 '!$K$9:$K$259</c:f>
              <c:numCache>
                <c:formatCode>#,##0.00</c:formatCode>
                <c:ptCount val="251"/>
                <c:pt idx="0">
                  <c:v>55.66</c:v>
                </c:pt>
                <c:pt idx="1">
                  <c:v>55.419943602324395</c:v>
                </c:pt>
                <c:pt idx="2">
                  <c:v>55.212525221529532</c:v>
                </c:pt>
                <c:pt idx="3">
                  <c:v>55.30303997807966</c:v>
                </c:pt>
                <c:pt idx="4">
                  <c:v>55.246975245285626</c:v>
                </c:pt>
                <c:pt idx="5">
                  <c:v>55.380896521124527</c:v>
                </c:pt>
                <c:pt idx="6">
                  <c:v>55.384478032521741</c:v>
                </c:pt>
                <c:pt idx="7">
                  <c:v>55.459955651263421</c:v>
                </c:pt>
                <c:pt idx="8">
                  <c:v>55.761331551763291</c:v>
                </c:pt>
                <c:pt idx="9">
                  <c:v>55.94754705319923</c:v>
                </c:pt>
                <c:pt idx="10">
                  <c:v>56.267523912113646</c:v>
                </c:pt>
                <c:pt idx="11">
                  <c:v>56.302218369342704</c:v>
                </c:pt>
                <c:pt idx="12">
                  <c:v>56.364906109601591</c:v>
                </c:pt>
                <c:pt idx="13">
                  <c:v>56.448927560101822</c:v>
                </c:pt>
                <c:pt idx="14">
                  <c:v>56.500034013195638</c:v>
                </c:pt>
                <c:pt idx="15">
                  <c:v>56.513884457055497</c:v>
                </c:pt>
                <c:pt idx="16">
                  <c:v>56.682441821013619</c:v>
                </c:pt>
                <c:pt idx="17">
                  <c:v>56.81549925063316</c:v>
                </c:pt>
                <c:pt idx="18">
                  <c:v>56.902488684351873</c:v>
                </c:pt>
                <c:pt idx="19">
                  <c:v>57.12780877334044</c:v>
                </c:pt>
                <c:pt idx="20">
                  <c:v>57.177060275106157</c:v>
                </c:pt>
                <c:pt idx="21">
                  <c:v>57.33572805397467</c:v>
                </c:pt>
                <c:pt idx="22">
                  <c:v>57.431045585266965</c:v>
                </c:pt>
                <c:pt idx="23">
                  <c:v>57.539644415309951</c:v>
                </c:pt>
                <c:pt idx="24">
                  <c:v>57.764457647925759</c:v>
                </c:pt>
                <c:pt idx="25">
                  <c:v>58.038749964896112</c:v>
                </c:pt>
                <c:pt idx="26">
                  <c:v>57.801022175627821</c:v>
                </c:pt>
                <c:pt idx="27">
                  <c:v>57.746123785357881</c:v>
                </c:pt>
                <c:pt idx="28">
                  <c:v>57.778981735907735</c:v>
                </c:pt>
                <c:pt idx="29">
                  <c:v>57.929680057636403</c:v>
                </c:pt>
                <c:pt idx="30">
                  <c:v>58.161994413262263</c:v>
                </c:pt>
                <c:pt idx="31">
                  <c:v>58.190088877046463</c:v>
                </c:pt>
                <c:pt idx="32">
                  <c:v>58.1070149990978</c:v>
                </c:pt>
                <c:pt idx="33">
                  <c:v>58.176587162774283</c:v>
                </c:pt>
                <c:pt idx="34">
                  <c:v>58.256835463362208</c:v>
                </c:pt>
                <c:pt idx="35">
                  <c:v>58.233064785724835</c:v>
                </c:pt>
                <c:pt idx="36">
                  <c:v>58.327392445739321</c:v>
                </c:pt>
                <c:pt idx="37">
                  <c:v>58.412812148210229</c:v>
                </c:pt>
                <c:pt idx="38">
                  <c:v>58.526718746425942</c:v>
                </c:pt>
                <c:pt idx="39">
                  <c:v>58.654387774982844</c:v>
                </c:pt>
                <c:pt idx="40">
                  <c:v>58.770391889981823</c:v>
                </c:pt>
                <c:pt idx="41">
                  <c:v>58.897559354224448</c:v>
                </c:pt>
                <c:pt idx="42">
                  <c:v>59.218226045955156</c:v>
                </c:pt>
                <c:pt idx="43">
                  <c:v>59.32441631945786</c:v>
                </c:pt>
                <c:pt idx="44">
                  <c:v>59.567208772750007</c:v>
                </c:pt>
                <c:pt idx="45">
                  <c:v>59.709888026608816</c:v>
                </c:pt>
                <c:pt idx="46">
                  <c:v>59.826794652552067</c:v>
                </c:pt>
                <c:pt idx="47">
                  <c:v>59.936379405013838</c:v>
                </c:pt>
                <c:pt idx="48">
                  <c:v>60.053954545408253</c:v>
                </c:pt>
                <c:pt idx="49">
                  <c:v>60.3861223715531</c:v>
                </c:pt>
                <c:pt idx="50">
                  <c:v>60.539967590591282</c:v>
                </c:pt>
                <c:pt idx="51">
                  <c:v>60.322469553510018</c:v>
                </c:pt>
                <c:pt idx="52">
                  <c:v>60.395601734803712</c:v>
                </c:pt>
                <c:pt idx="53">
                  <c:v>60.476678751909873</c:v>
                </c:pt>
                <c:pt idx="54">
                  <c:v>60.5379121244058</c:v>
                </c:pt>
                <c:pt idx="55">
                  <c:v>60.644530730179639</c:v>
                </c:pt>
                <c:pt idx="56">
                  <c:v>60.963643221794428</c:v>
                </c:pt>
                <c:pt idx="57">
                  <c:v>60.900977562590036</c:v>
                </c:pt>
                <c:pt idx="58">
                  <c:v>60.951543937931717</c:v>
                </c:pt>
                <c:pt idx="59">
                  <c:v>60.938160573440797</c:v>
                </c:pt>
                <c:pt idx="60">
                  <c:v>61.035462396905864</c:v>
                </c:pt>
                <c:pt idx="61">
                  <c:v>61.198108948829741</c:v>
                </c:pt>
                <c:pt idx="62">
                  <c:v>61.238776708852626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3E-4639-BFBB-D6D67A253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58912"/>
        <c:axId val="490208288"/>
      </c:scatterChart>
      <c:valAx>
        <c:axId val="489458912"/>
        <c:scaling>
          <c:orientation val="minMax"/>
          <c:max val="6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08288"/>
        <c:crosses val="autoZero"/>
        <c:crossBetween val="midCat"/>
        <c:majorUnit val="10"/>
      </c:valAx>
      <c:valAx>
        <c:axId val="490208288"/>
        <c:scaling>
          <c:orientation val="minMax"/>
          <c:max val="52"/>
          <c:min val="46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5891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Daily prices for</a:t>
            </a:r>
            <a:r>
              <a:rPr lang="en-US" sz="1100" baseline="0"/>
              <a:t> BAC &amp; CITI</a:t>
            </a:r>
          </a:p>
          <a:p>
            <a:pPr>
              <a:defRPr/>
            </a:pPr>
            <a:r>
              <a:rPr lang="en-US" sz="1100" baseline="0"/>
              <a:t>01/01/2022-03/31/2022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936329588014976E-2"/>
          <c:y val="0.15117916215298549"/>
          <c:w val="0.8880348383418365"/>
          <c:h val="0.6551792268266261"/>
        </c:manualLayout>
      </c:layout>
      <c:lineChart>
        <c:grouping val="standard"/>
        <c:varyColors val="0"/>
        <c:ser>
          <c:idx val="0"/>
          <c:order val="0"/>
          <c:tx>
            <c:strRef>
              <c:f>'7.CompareActual2022Q1'!$B$2</c:f>
              <c:strCache>
                <c:ptCount val="1"/>
                <c:pt idx="0">
                  <c:v>BAC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329"/>
              <c:layout>
                <c:manualLayout>
                  <c:x val="-0.12234706616729088"/>
                  <c:y val="-6.5708418891170434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FC-4718-A27D-9693B6BA48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'7.CompareActual2022Q1'!$A$4:$A$65</c:f>
              <c:numCache>
                <c:formatCode>mm/dd/yy;@</c:formatCode>
                <c:ptCount val="62"/>
                <c:pt idx="0">
                  <c:v>44564.666666666664</c:v>
                </c:pt>
                <c:pt idx="1">
                  <c:v>44565.666666666664</c:v>
                </c:pt>
                <c:pt idx="2">
                  <c:v>44566.666666666664</c:v>
                </c:pt>
                <c:pt idx="3">
                  <c:v>44567.666666666664</c:v>
                </c:pt>
                <c:pt idx="4">
                  <c:v>44568.666666666664</c:v>
                </c:pt>
                <c:pt idx="5">
                  <c:v>44571.666666666664</c:v>
                </c:pt>
                <c:pt idx="6">
                  <c:v>44572.666666666664</c:v>
                </c:pt>
                <c:pt idx="7">
                  <c:v>44573.666666666664</c:v>
                </c:pt>
                <c:pt idx="8">
                  <c:v>44574.666666666664</c:v>
                </c:pt>
                <c:pt idx="9">
                  <c:v>44575.666666666664</c:v>
                </c:pt>
                <c:pt idx="10">
                  <c:v>44579.666666666664</c:v>
                </c:pt>
                <c:pt idx="11">
                  <c:v>44580.666666666664</c:v>
                </c:pt>
                <c:pt idx="12">
                  <c:v>44581.666666666664</c:v>
                </c:pt>
                <c:pt idx="13">
                  <c:v>44582.666666666664</c:v>
                </c:pt>
                <c:pt idx="14">
                  <c:v>44585.666666666664</c:v>
                </c:pt>
                <c:pt idx="15">
                  <c:v>44586.666666666664</c:v>
                </c:pt>
                <c:pt idx="16">
                  <c:v>44587.666666666664</c:v>
                </c:pt>
                <c:pt idx="17">
                  <c:v>44588.666666666664</c:v>
                </c:pt>
                <c:pt idx="18">
                  <c:v>44589.666666666664</c:v>
                </c:pt>
                <c:pt idx="19">
                  <c:v>44592.666666666664</c:v>
                </c:pt>
                <c:pt idx="20">
                  <c:v>44593.666666666664</c:v>
                </c:pt>
                <c:pt idx="21">
                  <c:v>44594.666666666664</c:v>
                </c:pt>
                <c:pt idx="22">
                  <c:v>44595.666666666664</c:v>
                </c:pt>
                <c:pt idx="23">
                  <c:v>44596.666666666664</c:v>
                </c:pt>
                <c:pt idx="24">
                  <c:v>44599.666666666664</c:v>
                </c:pt>
                <c:pt idx="25">
                  <c:v>44600.666666666664</c:v>
                </c:pt>
                <c:pt idx="26">
                  <c:v>44601.666666666664</c:v>
                </c:pt>
                <c:pt idx="27">
                  <c:v>44602.666666666664</c:v>
                </c:pt>
                <c:pt idx="28">
                  <c:v>44603.666666666664</c:v>
                </c:pt>
                <c:pt idx="29">
                  <c:v>44606.666666666664</c:v>
                </c:pt>
                <c:pt idx="30">
                  <c:v>44607.666666666664</c:v>
                </c:pt>
                <c:pt idx="31">
                  <c:v>44608.666666666664</c:v>
                </c:pt>
                <c:pt idx="32">
                  <c:v>44609.666666666664</c:v>
                </c:pt>
                <c:pt idx="33">
                  <c:v>44610.666666666664</c:v>
                </c:pt>
                <c:pt idx="34">
                  <c:v>44614.666666666664</c:v>
                </c:pt>
                <c:pt idx="35">
                  <c:v>44615.666666666664</c:v>
                </c:pt>
                <c:pt idx="36">
                  <c:v>44616.666666666664</c:v>
                </c:pt>
                <c:pt idx="37">
                  <c:v>44617.666666666664</c:v>
                </c:pt>
                <c:pt idx="38">
                  <c:v>44620.666666666664</c:v>
                </c:pt>
                <c:pt idx="39">
                  <c:v>44621.666666666664</c:v>
                </c:pt>
                <c:pt idx="40">
                  <c:v>44622.666666666664</c:v>
                </c:pt>
                <c:pt idx="41">
                  <c:v>44623.666666666664</c:v>
                </c:pt>
                <c:pt idx="42">
                  <c:v>44624.666666666664</c:v>
                </c:pt>
                <c:pt idx="43">
                  <c:v>44627.666666666664</c:v>
                </c:pt>
                <c:pt idx="44">
                  <c:v>44628.666666666664</c:v>
                </c:pt>
                <c:pt idx="45">
                  <c:v>44629.666666666664</c:v>
                </c:pt>
                <c:pt idx="46">
                  <c:v>44630.666666666664</c:v>
                </c:pt>
                <c:pt idx="47">
                  <c:v>44631.666666666664</c:v>
                </c:pt>
                <c:pt idx="48">
                  <c:v>44634.666666666664</c:v>
                </c:pt>
                <c:pt idx="49">
                  <c:v>44635.666666666664</c:v>
                </c:pt>
                <c:pt idx="50">
                  <c:v>44636.666666666664</c:v>
                </c:pt>
                <c:pt idx="51">
                  <c:v>44637.666666666664</c:v>
                </c:pt>
                <c:pt idx="52">
                  <c:v>44638.666666666664</c:v>
                </c:pt>
                <c:pt idx="53">
                  <c:v>44641.666666666664</c:v>
                </c:pt>
                <c:pt idx="54">
                  <c:v>44642.666666666664</c:v>
                </c:pt>
                <c:pt idx="55">
                  <c:v>44643.666666666664</c:v>
                </c:pt>
                <c:pt idx="56">
                  <c:v>44644.666666666664</c:v>
                </c:pt>
                <c:pt idx="57">
                  <c:v>44645.666666666664</c:v>
                </c:pt>
                <c:pt idx="58">
                  <c:v>44648.666666666664</c:v>
                </c:pt>
                <c:pt idx="59">
                  <c:v>44649.666666666664</c:v>
                </c:pt>
                <c:pt idx="60">
                  <c:v>44650.666666666664</c:v>
                </c:pt>
                <c:pt idx="61">
                  <c:v>44651.666666666664</c:v>
                </c:pt>
              </c:numCache>
            </c:numRef>
          </c:cat>
          <c:val>
            <c:numRef>
              <c:f>'7.CompareActual2022Q1'!$B$4:$B$65</c:f>
              <c:numCache>
                <c:formatCode>General</c:formatCode>
                <c:ptCount val="62"/>
                <c:pt idx="0">
                  <c:v>46.18</c:v>
                </c:pt>
                <c:pt idx="1">
                  <c:v>47.99</c:v>
                </c:pt>
                <c:pt idx="2">
                  <c:v>47.18</c:v>
                </c:pt>
                <c:pt idx="3">
                  <c:v>48.13</c:v>
                </c:pt>
                <c:pt idx="4">
                  <c:v>49.18</c:v>
                </c:pt>
                <c:pt idx="5">
                  <c:v>48.93</c:v>
                </c:pt>
                <c:pt idx="6">
                  <c:v>49.21</c:v>
                </c:pt>
                <c:pt idx="7">
                  <c:v>48.86</c:v>
                </c:pt>
                <c:pt idx="8">
                  <c:v>48.76</c:v>
                </c:pt>
                <c:pt idx="9">
                  <c:v>47.91</c:v>
                </c:pt>
                <c:pt idx="10">
                  <c:v>46.26</c:v>
                </c:pt>
                <c:pt idx="11">
                  <c:v>46.44</c:v>
                </c:pt>
                <c:pt idx="12">
                  <c:v>45.75</c:v>
                </c:pt>
                <c:pt idx="13">
                  <c:v>44.92</c:v>
                </c:pt>
                <c:pt idx="14">
                  <c:v>44.55</c:v>
                </c:pt>
                <c:pt idx="15">
                  <c:v>45.43</c:v>
                </c:pt>
                <c:pt idx="16">
                  <c:v>45.9</c:v>
                </c:pt>
                <c:pt idx="17">
                  <c:v>45.47</c:v>
                </c:pt>
                <c:pt idx="18">
                  <c:v>45.87</c:v>
                </c:pt>
                <c:pt idx="19">
                  <c:v>46.14</c:v>
                </c:pt>
                <c:pt idx="20">
                  <c:v>46.94</c:v>
                </c:pt>
                <c:pt idx="21">
                  <c:v>46.89</c:v>
                </c:pt>
                <c:pt idx="22">
                  <c:v>46.43</c:v>
                </c:pt>
                <c:pt idx="23">
                  <c:v>48.28</c:v>
                </c:pt>
                <c:pt idx="24">
                  <c:v>48.51</c:v>
                </c:pt>
                <c:pt idx="25">
                  <c:v>49.38</c:v>
                </c:pt>
                <c:pt idx="26">
                  <c:v>49.28</c:v>
                </c:pt>
                <c:pt idx="27">
                  <c:v>49.05</c:v>
                </c:pt>
                <c:pt idx="28">
                  <c:v>47.92</c:v>
                </c:pt>
                <c:pt idx="29">
                  <c:v>47.42</c:v>
                </c:pt>
                <c:pt idx="30">
                  <c:v>47.79</c:v>
                </c:pt>
                <c:pt idx="31">
                  <c:v>47.68</c:v>
                </c:pt>
                <c:pt idx="32">
                  <c:v>46.07</c:v>
                </c:pt>
                <c:pt idx="33">
                  <c:v>45.96</c:v>
                </c:pt>
                <c:pt idx="34">
                  <c:v>45.56</c:v>
                </c:pt>
                <c:pt idx="35">
                  <c:v>44.78</c:v>
                </c:pt>
                <c:pt idx="36">
                  <c:v>43.6</c:v>
                </c:pt>
                <c:pt idx="37">
                  <c:v>45.02</c:v>
                </c:pt>
                <c:pt idx="38">
                  <c:v>44.2</c:v>
                </c:pt>
                <c:pt idx="39">
                  <c:v>42.47</c:v>
                </c:pt>
                <c:pt idx="40">
                  <c:v>43.16</c:v>
                </c:pt>
                <c:pt idx="41">
                  <c:v>42.49</c:v>
                </c:pt>
                <c:pt idx="42">
                  <c:v>40.950000000000003</c:v>
                </c:pt>
                <c:pt idx="43">
                  <c:v>38.340000000000003</c:v>
                </c:pt>
                <c:pt idx="44">
                  <c:v>38.590000000000003</c:v>
                </c:pt>
                <c:pt idx="45">
                  <c:v>41.04</c:v>
                </c:pt>
                <c:pt idx="46">
                  <c:v>40.67</c:v>
                </c:pt>
                <c:pt idx="47">
                  <c:v>40.33</c:v>
                </c:pt>
                <c:pt idx="48">
                  <c:v>41.2</c:v>
                </c:pt>
                <c:pt idx="49">
                  <c:v>41.5</c:v>
                </c:pt>
                <c:pt idx="50">
                  <c:v>42.8</c:v>
                </c:pt>
                <c:pt idx="51">
                  <c:v>43.03</c:v>
                </c:pt>
                <c:pt idx="52">
                  <c:v>42.9</c:v>
                </c:pt>
                <c:pt idx="53">
                  <c:v>42.84</c:v>
                </c:pt>
                <c:pt idx="54">
                  <c:v>44.18</c:v>
                </c:pt>
                <c:pt idx="55">
                  <c:v>43.09</c:v>
                </c:pt>
                <c:pt idx="56">
                  <c:v>43.07</c:v>
                </c:pt>
                <c:pt idx="57">
                  <c:v>43.73</c:v>
                </c:pt>
                <c:pt idx="58">
                  <c:v>43.55</c:v>
                </c:pt>
                <c:pt idx="59">
                  <c:v>43.44</c:v>
                </c:pt>
                <c:pt idx="60">
                  <c:v>43</c:v>
                </c:pt>
                <c:pt idx="61">
                  <c:v>41.22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FC-4718-A27D-9693B6BA48F4}"/>
            </c:ext>
          </c:extLst>
        </c:ser>
        <c:ser>
          <c:idx val="1"/>
          <c:order val="1"/>
          <c:tx>
            <c:strRef>
              <c:f>'7.CompareActual2022Q1'!$C$2</c:f>
              <c:strCache>
                <c:ptCount val="1"/>
                <c:pt idx="0">
                  <c:v>CITI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04"/>
              <c:layout>
                <c:manualLayout>
                  <c:x val="1.9975031210986267E-2"/>
                  <c:y val="-0.17248459958932238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FC-4718-A27D-9693B6BA48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'7.CompareActual2022Q1'!$A$4:$A$65</c:f>
              <c:numCache>
                <c:formatCode>mm/dd/yy;@</c:formatCode>
                <c:ptCount val="62"/>
                <c:pt idx="0">
                  <c:v>44564.666666666664</c:v>
                </c:pt>
                <c:pt idx="1">
                  <c:v>44565.666666666664</c:v>
                </c:pt>
                <c:pt idx="2">
                  <c:v>44566.666666666664</c:v>
                </c:pt>
                <c:pt idx="3">
                  <c:v>44567.666666666664</c:v>
                </c:pt>
                <c:pt idx="4">
                  <c:v>44568.666666666664</c:v>
                </c:pt>
                <c:pt idx="5">
                  <c:v>44571.666666666664</c:v>
                </c:pt>
                <c:pt idx="6">
                  <c:v>44572.666666666664</c:v>
                </c:pt>
                <c:pt idx="7">
                  <c:v>44573.666666666664</c:v>
                </c:pt>
                <c:pt idx="8">
                  <c:v>44574.666666666664</c:v>
                </c:pt>
                <c:pt idx="9">
                  <c:v>44575.666666666664</c:v>
                </c:pt>
                <c:pt idx="10">
                  <c:v>44579.666666666664</c:v>
                </c:pt>
                <c:pt idx="11">
                  <c:v>44580.666666666664</c:v>
                </c:pt>
                <c:pt idx="12">
                  <c:v>44581.666666666664</c:v>
                </c:pt>
                <c:pt idx="13">
                  <c:v>44582.666666666664</c:v>
                </c:pt>
                <c:pt idx="14">
                  <c:v>44585.666666666664</c:v>
                </c:pt>
                <c:pt idx="15">
                  <c:v>44586.666666666664</c:v>
                </c:pt>
                <c:pt idx="16">
                  <c:v>44587.666666666664</c:v>
                </c:pt>
                <c:pt idx="17">
                  <c:v>44588.666666666664</c:v>
                </c:pt>
                <c:pt idx="18">
                  <c:v>44589.666666666664</c:v>
                </c:pt>
                <c:pt idx="19">
                  <c:v>44592.666666666664</c:v>
                </c:pt>
                <c:pt idx="20">
                  <c:v>44593.666666666664</c:v>
                </c:pt>
                <c:pt idx="21">
                  <c:v>44594.666666666664</c:v>
                </c:pt>
                <c:pt idx="22">
                  <c:v>44595.666666666664</c:v>
                </c:pt>
                <c:pt idx="23">
                  <c:v>44596.666666666664</c:v>
                </c:pt>
                <c:pt idx="24">
                  <c:v>44599.666666666664</c:v>
                </c:pt>
                <c:pt idx="25">
                  <c:v>44600.666666666664</c:v>
                </c:pt>
                <c:pt idx="26">
                  <c:v>44601.666666666664</c:v>
                </c:pt>
                <c:pt idx="27">
                  <c:v>44602.666666666664</c:v>
                </c:pt>
                <c:pt idx="28">
                  <c:v>44603.666666666664</c:v>
                </c:pt>
                <c:pt idx="29">
                  <c:v>44606.666666666664</c:v>
                </c:pt>
                <c:pt idx="30">
                  <c:v>44607.666666666664</c:v>
                </c:pt>
                <c:pt idx="31">
                  <c:v>44608.666666666664</c:v>
                </c:pt>
                <c:pt idx="32">
                  <c:v>44609.666666666664</c:v>
                </c:pt>
                <c:pt idx="33">
                  <c:v>44610.666666666664</c:v>
                </c:pt>
                <c:pt idx="34">
                  <c:v>44614.666666666664</c:v>
                </c:pt>
                <c:pt idx="35">
                  <c:v>44615.666666666664</c:v>
                </c:pt>
                <c:pt idx="36">
                  <c:v>44616.666666666664</c:v>
                </c:pt>
                <c:pt idx="37">
                  <c:v>44617.666666666664</c:v>
                </c:pt>
                <c:pt idx="38">
                  <c:v>44620.666666666664</c:v>
                </c:pt>
                <c:pt idx="39">
                  <c:v>44621.666666666664</c:v>
                </c:pt>
                <c:pt idx="40">
                  <c:v>44622.666666666664</c:v>
                </c:pt>
                <c:pt idx="41">
                  <c:v>44623.666666666664</c:v>
                </c:pt>
                <c:pt idx="42">
                  <c:v>44624.666666666664</c:v>
                </c:pt>
                <c:pt idx="43">
                  <c:v>44627.666666666664</c:v>
                </c:pt>
                <c:pt idx="44">
                  <c:v>44628.666666666664</c:v>
                </c:pt>
                <c:pt idx="45">
                  <c:v>44629.666666666664</c:v>
                </c:pt>
                <c:pt idx="46">
                  <c:v>44630.666666666664</c:v>
                </c:pt>
                <c:pt idx="47">
                  <c:v>44631.666666666664</c:v>
                </c:pt>
                <c:pt idx="48">
                  <c:v>44634.666666666664</c:v>
                </c:pt>
                <c:pt idx="49">
                  <c:v>44635.666666666664</c:v>
                </c:pt>
                <c:pt idx="50">
                  <c:v>44636.666666666664</c:v>
                </c:pt>
                <c:pt idx="51">
                  <c:v>44637.666666666664</c:v>
                </c:pt>
                <c:pt idx="52">
                  <c:v>44638.666666666664</c:v>
                </c:pt>
                <c:pt idx="53">
                  <c:v>44641.666666666664</c:v>
                </c:pt>
                <c:pt idx="54">
                  <c:v>44642.666666666664</c:v>
                </c:pt>
                <c:pt idx="55">
                  <c:v>44643.666666666664</c:v>
                </c:pt>
                <c:pt idx="56">
                  <c:v>44644.666666666664</c:v>
                </c:pt>
                <c:pt idx="57">
                  <c:v>44645.666666666664</c:v>
                </c:pt>
                <c:pt idx="58">
                  <c:v>44648.666666666664</c:v>
                </c:pt>
                <c:pt idx="59">
                  <c:v>44649.666666666664</c:v>
                </c:pt>
                <c:pt idx="60">
                  <c:v>44650.666666666664</c:v>
                </c:pt>
                <c:pt idx="61">
                  <c:v>44651.666666666664</c:v>
                </c:pt>
              </c:numCache>
            </c:numRef>
          </c:cat>
          <c:val>
            <c:numRef>
              <c:f>'7.CompareActual2022Q1'!$C$4:$C$65</c:f>
              <c:numCache>
                <c:formatCode>General</c:formatCode>
                <c:ptCount val="62"/>
                <c:pt idx="0">
                  <c:v>55.66</c:v>
                </c:pt>
                <c:pt idx="1">
                  <c:v>56.44</c:v>
                </c:pt>
                <c:pt idx="2">
                  <c:v>56.44</c:v>
                </c:pt>
                <c:pt idx="3">
                  <c:v>57.25</c:v>
                </c:pt>
                <c:pt idx="4">
                  <c:v>58.53</c:v>
                </c:pt>
                <c:pt idx="5">
                  <c:v>58.18</c:v>
                </c:pt>
                <c:pt idx="6">
                  <c:v>58.65</c:v>
                </c:pt>
                <c:pt idx="7">
                  <c:v>58.93</c:v>
                </c:pt>
                <c:pt idx="8">
                  <c:v>58.98</c:v>
                </c:pt>
                <c:pt idx="9">
                  <c:v>57.71</c:v>
                </c:pt>
                <c:pt idx="10">
                  <c:v>58.76</c:v>
                </c:pt>
                <c:pt idx="11">
                  <c:v>57.94</c:v>
                </c:pt>
                <c:pt idx="12" formatCode="0.00">
                  <c:v>57</c:v>
                </c:pt>
                <c:pt idx="13">
                  <c:v>57.52</c:v>
                </c:pt>
                <c:pt idx="14">
                  <c:v>56.58</c:v>
                </c:pt>
                <c:pt idx="15">
                  <c:v>54.02</c:v>
                </c:pt>
                <c:pt idx="16">
                  <c:v>55.75</c:v>
                </c:pt>
                <c:pt idx="17">
                  <c:v>58.02</c:v>
                </c:pt>
                <c:pt idx="18">
                  <c:v>58.34</c:v>
                </c:pt>
                <c:pt idx="19">
                  <c:v>57.18</c:v>
                </c:pt>
                <c:pt idx="20">
                  <c:v>57.34</c:v>
                </c:pt>
                <c:pt idx="21">
                  <c:v>58.59</c:v>
                </c:pt>
                <c:pt idx="22">
                  <c:v>58.07</c:v>
                </c:pt>
                <c:pt idx="23">
                  <c:v>57.77</c:v>
                </c:pt>
                <c:pt idx="24">
                  <c:v>56.97</c:v>
                </c:pt>
                <c:pt idx="25">
                  <c:v>57.7</c:v>
                </c:pt>
                <c:pt idx="26">
                  <c:v>58.68</c:v>
                </c:pt>
                <c:pt idx="27">
                  <c:v>59.2</c:v>
                </c:pt>
                <c:pt idx="28">
                  <c:v>59.25</c:v>
                </c:pt>
                <c:pt idx="29">
                  <c:v>60.52</c:v>
                </c:pt>
                <c:pt idx="30">
                  <c:v>58.62</c:v>
                </c:pt>
                <c:pt idx="31">
                  <c:v>59.02</c:v>
                </c:pt>
                <c:pt idx="32">
                  <c:v>58.81</c:v>
                </c:pt>
                <c:pt idx="33">
                  <c:v>57.7</c:v>
                </c:pt>
                <c:pt idx="34">
                  <c:v>56.57</c:v>
                </c:pt>
                <c:pt idx="35">
                  <c:v>56.36</c:v>
                </c:pt>
                <c:pt idx="36">
                  <c:v>56.34</c:v>
                </c:pt>
                <c:pt idx="37">
                  <c:v>54.17</c:v>
                </c:pt>
                <c:pt idx="38">
                  <c:v>55.45</c:v>
                </c:pt>
                <c:pt idx="39">
                  <c:v>53.43</c:v>
                </c:pt>
                <c:pt idx="40">
                  <c:v>52.3</c:v>
                </c:pt>
                <c:pt idx="41">
                  <c:v>52.88</c:v>
                </c:pt>
                <c:pt idx="42">
                  <c:v>51.87</c:v>
                </c:pt>
                <c:pt idx="43">
                  <c:v>51.35</c:v>
                </c:pt>
                <c:pt idx="44">
                  <c:v>51.12</c:v>
                </c:pt>
                <c:pt idx="45">
                  <c:v>50.56</c:v>
                </c:pt>
                <c:pt idx="46">
                  <c:v>50.84</c:v>
                </c:pt>
                <c:pt idx="47">
                  <c:v>49.43</c:v>
                </c:pt>
                <c:pt idx="48">
                  <c:v>50.13</c:v>
                </c:pt>
                <c:pt idx="49">
                  <c:v>50.03</c:v>
                </c:pt>
                <c:pt idx="50">
                  <c:v>49.88</c:v>
                </c:pt>
                <c:pt idx="51">
                  <c:v>51.86</c:v>
                </c:pt>
                <c:pt idx="52">
                  <c:v>51.12</c:v>
                </c:pt>
                <c:pt idx="53">
                  <c:v>51.66</c:v>
                </c:pt>
                <c:pt idx="54">
                  <c:v>51.67</c:v>
                </c:pt>
                <c:pt idx="55">
                  <c:v>52.17</c:v>
                </c:pt>
                <c:pt idx="56">
                  <c:v>51.38</c:v>
                </c:pt>
                <c:pt idx="57">
                  <c:v>51.28</c:v>
                </c:pt>
                <c:pt idx="58">
                  <c:v>51.7</c:v>
                </c:pt>
                <c:pt idx="59">
                  <c:v>50.56</c:v>
                </c:pt>
                <c:pt idx="60">
                  <c:v>51.07</c:v>
                </c:pt>
                <c:pt idx="61">
                  <c:v>49.59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FC-4718-A27D-9693B6BA4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091856"/>
        <c:axId val="1800787712"/>
      </c:lineChart>
      <c:dateAx>
        <c:axId val="1899091856"/>
        <c:scaling>
          <c:orientation val="minMax"/>
          <c:min val="44562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787712"/>
        <c:crosses val="autoZero"/>
        <c:auto val="0"/>
        <c:lblOffset val="100"/>
        <c:baseTimeUnit val="days"/>
        <c:majorUnit val="5"/>
        <c:majorTimeUnit val="days"/>
      </c:dateAx>
      <c:valAx>
        <c:axId val="1800787712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09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8</xdr:row>
      <xdr:rowOff>63500</xdr:rowOff>
    </xdr:from>
    <xdr:to>
      <xdr:col>10</xdr:col>
      <xdr:colOff>26522</xdr:colOff>
      <xdr:row>11</xdr:row>
      <xdr:rowOff>87737</xdr:rowOff>
    </xdr:to>
    <xdr:pic>
      <xdr:nvPicPr>
        <xdr:cNvPr id="2" name="Picture 1" descr="Capital Asset Pricing Model (CAPM) - Magnimetrics">
          <a:extLst>
            <a:ext uri="{FF2B5EF4-FFF2-40B4-BE49-F238E27FC236}">
              <a16:creationId xmlns:a16="http://schemas.microsoft.com/office/drawing/2014/main" id="{2921BE35-8B39-4A3E-8BB9-ADCCC2B64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H="1" flipV="1">
          <a:off x="7042150" y="1638300"/>
          <a:ext cx="2080747" cy="58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260350</xdr:colOff>
      <xdr:row>0</xdr:row>
      <xdr:rowOff>0</xdr:rowOff>
    </xdr:from>
    <xdr:to>
      <xdr:col>13</xdr:col>
      <xdr:colOff>742950</xdr:colOff>
      <xdr:row>11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E44011-8F86-43AD-9D96-E2DD961AD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781050</xdr:colOff>
      <xdr:row>0</xdr:row>
      <xdr:rowOff>0</xdr:rowOff>
    </xdr:from>
    <xdr:to>
      <xdr:col>17</xdr:col>
      <xdr:colOff>381000</xdr:colOff>
      <xdr:row>11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253386-0185-4A24-AB26-9B0A6257D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304800</xdr:colOff>
      <xdr:row>0</xdr:row>
      <xdr:rowOff>266700</xdr:rowOff>
    </xdr:from>
    <xdr:to>
      <xdr:col>10</xdr:col>
      <xdr:colOff>349250</xdr:colOff>
      <xdr:row>3</xdr:row>
      <xdr:rowOff>37134</xdr:rowOff>
    </xdr:to>
    <xdr:pic>
      <xdr:nvPicPr>
        <xdr:cNvPr id="5" name="Picture 4" descr="Graphical user interface, text, application, email&#10;&#10;Description automatically generated">
          <a:extLst>
            <a:ext uri="{FF2B5EF4-FFF2-40B4-BE49-F238E27FC236}">
              <a16:creationId xmlns:a16="http://schemas.microsoft.com/office/drawing/2014/main" id="{89099E96-8F87-487E-8009-852018F683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034" t="44825" r="39744" b="44159"/>
        <a:stretch/>
      </xdr:blipFill>
      <xdr:spPr bwMode="auto">
        <a:xfrm>
          <a:off x="7670800" y="266700"/>
          <a:ext cx="1771650" cy="50068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241300</xdr:colOff>
      <xdr:row>0</xdr:row>
      <xdr:rowOff>44451</xdr:rowOff>
    </xdr:from>
    <xdr:to>
      <xdr:col>13</xdr:col>
      <xdr:colOff>844550</xdr:colOff>
      <xdr:row>5</xdr:row>
      <xdr:rowOff>48972</xdr:rowOff>
    </xdr:to>
    <xdr:pic>
      <xdr:nvPicPr>
        <xdr:cNvPr id="6" name="Picture 5" descr="Graphical user interface, chart&#10;&#10;Description automatically generated">
          <a:extLst>
            <a:ext uri="{FF2B5EF4-FFF2-40B4-BE49-F238E27FC236}">
              <a16:creationId xmlns:a16="http://schemas.microsoft.com/office/drawing/2014/main" id="{899BE091-6357-6629-C85F-A6055AD288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33" t="31908" r="31838" b="13581"/>
        <a:stretch/>
      </xdr:blipFill>
      <xdr:spPr>
        <a:xfrm>
          <a:off x="10217150" y="44451"/>
          <a:ext cx="2374900" cy="11284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69850</xdr:colOff>
      <xdr:row>12</xdr:row>
      <xdr:rowOff>31750</xdr:rowOff>
    </xdr:from>
    <xdr:to>
      <xdr:col>14</xdr:col>
      <xdr:colOff>391647</xdr:colOff>
      <xdr:row>14</xdr:row>
      <xdr:rowOff>120650</xdr:rowOff>
    </xdr:to>
    <xdr:pic>
      <xdr:nvPicPr>
        <xdr:cNvPr id="2" name="Picture 1" descr="Capital Asset Pricing Model (CAPM) - Magnimetrics">
          <a:extLst>
            <a:ext uri="{FF2B5EF4-FFF2-40B4-BE49-F238E27FC236}">
              <a16:creationId xmlns:a16="http://schemas.microsoft.com/office/drawing/2014/main" id="{9475484A-A198-4886-91C8-45E745883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H="1" flipV="1">
          <a:off x="10928350" y="2362200"/>
          <a:ext cx="2080747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260350</xdr:colOff>
      <xdr:row>0</xdr:row>
      <xdr:rowOff>0</xdr:rowOff>
    </xdr:from>
    <xdr:to>
      <xdr:col>13</xdr:col>
      <xdr:colOff>742950</xdr:colOff>
      <xdr:row>11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CDAE55-81DE-4CED-B16B-2AB040D65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781050</xdr:colOff>
      <xdr:row>0</xdr:row>
      <xdr:rowOff>0</xdr:rowOff>
    </xdr:from>
    <xdr:to>
      <xdr:col>17</xdr:col>
      <xdr:colOff>381000</xdr:colOff>
      <xdr:row>11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7A0DD0-9350-4FA8-BB9E-779E7E8EB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12</xdr:col>
      <xdr:colOff>83256</xdr:colOff>
      <xdr:row>6</xdr:row>
      <xdr:rowOff>114300</xdr:rowOff>
    </xdr:to>
    <xdr:pic>
      <xdr:nvPicPr>
        <xdr:cNvPr id="5" name="Picture 4" descr="Graphical user interface, text, application&#10;&#10;Description automatically generated">
          <a:extLst>
            <a:ext uri="{FF2B5EF4-FFF2-40B4-BE49-F238E27FC236}">
              <a16:creationId xmlns:a16="http://schemas.microsoft.com/office/drawing/2014/main" id="{70845459-5CDA-CD34-DFAC-CB2D8D9AA0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8" t="27643" r="5031" b="13405"/>
        <a:stretch/>
      </xdr:blipFill>
      <xdr:spPr bwMode="auto">
        <a:xfrm>
          <a:off x="7366000" y="0"/>
          <a:ext cx="3572581" cy="12954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273050</xdr:colOff>
      <xdr:row>6</xdr:row>
      <xdr:rowOff>184150</xdr:rowOff>
    </xdr:from>
    <xdr:to>
      <xdr:col>9</xdr:col>
      <xdr:colOff>276225</xdr:colOff>
      <xdr:row>8</xdr:row>
      <xdr:rowOff>160959</xdr:rowOff>
    </xdr:to>
    <xdr:pic>
      <xdr:nvPicPr>
        <xdr:cNvPr id="7" name="Picture 6" descr="Graphical user interface, text, application, email&#10;&#10;Description automatically generated">
          <a:extLst>
            <a:ext uri="{FF2B5EF4-FFF2-40B4-BE49-F238E27FC236}">
              <a16:creationId xmlns:a16="http://schemas.microsoft.com/office/drawing/2014/main" id="{029CC23F-8B4A-4172-BF41-F9C3A97A88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8034" t="44825" r="39744" b="44159"/>
        <a:stretch/>
      </xdr:blipFill>
      <xdr:spPr bwMode="auto">
        <a:xfrm>
          <a:off x="6756400" y="1365250"/>
          <a:ext cx="1771650" cy="37368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</xdr:colOff>
      <xdr:row>19</xdr:row>
      <xdr:rowOff>88900</xdr:rowOff>
    </xdr:from>
    <xdr:to>
      <xdr:col>10</xdr:col>
      <xdr:colOff>575310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D78E2-033F-4D70-B420-5595254CC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298450</xdr:colOff>
      <xdr:row>0</xdr:row>
      <xdr:rowOff>0</xdr:rowOff>
    </xdr:from>
    <xdr:to>
      <xdr:col>5</xdr:col>
      <xdr:colOff>876300</xdr:colOff>
      <xdr:row>6</xdr:row>
      <xdr:rowOff>57738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10E137-DA30-49C2-8812-8CC5B5FBA4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397" t="62440" r="23601" b="19714"/>
        <a:stretch/>
      </xdr:blipFill>
      <xdr:spPr>
        <a:xfrm>
          <a:off x="3206750" y="0"/>
          <a:ext cx="2336800" cy="12197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296545</xdr:colOff>
      <xdr:row>8</xdr:row>
      <xdr:rowOff>179705</xdr:rowOff>
    </xdr:from>
    <xdr:to>
      <xdr:col>19</xdr:col>
      <xdr:colOff>16510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805FD-5DBC-4B59-92EF-D2B8BE6E8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454025</xdr:colOff>
      <xdr:row>4</xdr:row>
      <xdr:rowOff>174625</xdr:rowOff>
    </xdr:from>
    <xdr:to>
      <xdr:col>9</xdr:col>
      <xdr:colOff>206375</xdr:colOff>
      <xdr:row>9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08B08A4-1052-4ECB-BD1E-9EE22C1BAA3D}"/>
            </a:ext>
          </a:extLst>
        </xdr:cNvPr>
        <xdr:cNvCxnSpPr/>
      </xdr:nvCxnSpPr>
      <xdr:spPr>
        <a:xfrm>
          <a:off x="5857875" y="936625"/>
          <a:ext cx="482600" cy="787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220345</xdr:colOff>
      <xdr:row>6</xdr:row>
      <xdr:rowOff>20955</xdr:rowOff>
    </xdr:from>
    <xdr:to>
      <xdr:col>18</xdr:col>
      <xdr:colOff>549910</xdr:colOff>
      <xdr:row>21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E6810-3DA8-4AAB-AC2F-9CFD89F30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454025</xdr:colOff>
      <xdr:row>4</xdr:row>
      <xdr:rowOff>174625</xdr:rowOff>
    </xdr:from>
    <xdr:to>
      <xdr:col>9</xdr:col>
      <xdr:colOff>206375</xdr:colOff>
      <xdr:row>9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9AD209BE-102C-40E1-868C-7D781C817B3E}"/>
            </a:ext>
          </a:extLst>
        </xdr:cNvPr>
        <xdr:cNvCxnSpPr/>
      </xdr:nvCxnSpPr>
      <xdr:spPr>
        <a:xfrm>
          <a:off x="5572125" y="936625"/>
          <a:ext cx="381000" cy="787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14</xdr:col>
      <xdr:colOff>28575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77D2E-9452-43AA-A3DC-D2501BB07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em%20My/Desktop/THI%20NGUYEN/HOC%20MY/SPRING%202022/525%20Financial%20Modeling/Final%20project/MonteCarlo%20-%20assumption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fka/Google%20Drive/My%20books/FM/FM4/FM4%20Disk%20with%20book/FM4%20chapter%20files/FM4,%20Chapter%2012,%20no%20short%20sales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em%20My/Desktop/THI%20NGUYEN/HOC%20MY/SPRING%202022/525%20Financial%20Modeling/Week%204/FM5,%20Chapter%2011%20-%20Efficient%20portfolio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9-2021"/>
      <sheetName val="BAC_2022_Q1"/>
      <sheetName val="CITI_2022Q1 "/>
      <sheetName val="CompareActual2022Q1"/>
    </sheetNames>
    <sheetDataSet>
      <sheetData sheetId="0">
        <row r="2">
          <cell r="B2">
            <v>0.6035697789793496</v>
          </cell>
          <cell r="C2">
            <v>0.38447047882637031</v>
          </cell>
        </row>
        <row r="4">
          <cell r="B4">
            <v>3.4595056142662145E-2</v>
          </cell>
          <cell r="C4">
            <v>3.2706512244661069E-2</v>
          </cell>
        </row>
        <row r="5">
          <cell r="B5">
            <v>3.968253968253968E-3</v>
          </cell>
        </row>
        <row r="6">
          <cell r="B6">
            <v>46.18</v>
          </cell>
          <cell r="C6">
            <v>55.66</v>
          </cell>
        </row>
      </sheetData>
      <sheetData sheetId="1">
        <row r="3">
          <cell r="B3">
            <v>0.6035697789793496</v>
          </cell>
        </row>
        <row r="4">
          <cell r="B4">
            <v>3.4595056142662145E-2</v>
          </cell>
        </row>
        <row r="5">
          <cell r="B5">
            <v>3.968253968253968E-3</v>
          </cell>
        </row>
      </sheetData>
      <sheetData sheetId="2"/>
      <sheetData sheetId="3">
        <row r="4">
          <cell r="B4">
            <v>46.18</v>
          </cell>
          <cell r="C4">
            <v>55.66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e 293"/>
      <sheetName val="Page 294"/>
      <sheetName val="Page 295"/>
      <sheetName val="Page 297, top"/>
      <sheetName val="Page 297, bottom"/>
      <sheetName val="Page 298"/>
      <sheetName val="Page 299 chart"/>
      <sheetName val="Page 301"/>
      <sheetName val="Page 303"/>
      <sheetName val="Page 299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7">
          <cell r="B17">
            <v>0.11000000000000003</v>
          </cell>
        </row>
        <row r="18">
          <cell r="B18">
            <v>0.94868329805051399</v>
          </cell>
        </row>
      </sheetData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folio Numenclature"/>
      <sheetName val="Zero Beta"/>
      <sheetName val="Eff portfolios and frontier"/>
      <sheetName val="Efficient port 1 step"/>
      <sheetName val="Efficient port 1 step (names)"/>
      <sheetName val="All c's -&gt; same envelope"/>
      <sheetName val="High c -&gt; inefficient"/>
      <sheetName val="CML"/>
      <sheetName val="GMVP"/>
      <sheetName val="Testing the SML c=0.5%"/>
      <sheetName val="Testing the SML c=1%"/>
      <sheetName val="No short intro"/>
      <sheetName val="No short intro (solver)"/>
      <sheetName val="No short (solver)"/>
      <sheetName val="No short (solver 2nd approach)"/>
      <sheetName val="No short vs general eff. front."/>
      <sheetName val="Other restrictions"/>
    </sheetNames>
    <sheetDataSet>
      <sheetData sheetId="0"/>
      <sheetData sheetId="1"/>
      <sheetData sheetId="2"/>
      <sheetData sheetId="3"/>
      <sheetData sheetId="4">
        <row r="4">
          <cell r="B4">
            <v>0.1</v>
          </cell>
          <cell r="C4">
            <v>0.01</v>
          </cell>
          <cell r="D4">
            <v>0.03</v>
          </cell>
          <cell r="E4">
            <v>0.05</v>
          </cell>
        </row>
        <row r="5">
          <cell r="B5">
            <v>0.01</v>
          </cell>
          <cell r="C5">
            <v>0.3</v>
          </cell>
          <cell r="D5">
            <v>0.06</v>
          </cell>
          <cell r="E5">
            <v>-0.04</v>
          </cell>
        </row>
        <row r="6">
          <cell r="B6">
            <v>0.03</v>
          </cell>
          <cell r="C6">
            <v>0.06</v>
          </cell>
          <cell r="D6">
            <v>0.4</v>
          </cell>
          <cell r="E6">
            <v>0.02</v>
          </cell>
        </row>
        <row r="7">
          <cell r="B7">
            <v>0.05</v>
          </cell>
          <cell r="C7">
            <v>-0.04</v>
          </cell>
          <cell r="D7">
            <v>0.02</v>
          </cell>
          <cell r="E7">
            <v>0.5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823"/>
  <sheetViews>
    <sheetView tabSelected="1" topLeftCell="A244" workbookViewId="0">
      <selection activeCell="G249" sqref="G249"/>
    </sheetView>
  </sheetViews>
  <sheetFormatPr defaultColWidth="12.6640625" defaultRowHeight="15.75" customHeight="1" x14ac:dyDescent="0.25"/>
  <cols>
    <col min="1" max="1" width="12.6640625" style="142"/>
    <col min="2" max="4" width="12.6640625" style="146"/>
  </cols>
  <sheetData>
    <row r="1" spans="1:10" ht="15.75" customHeight="1" x14ac:dyDescent="0.25">
      <c r="C1" s="147" t="s">
        <v>0</v>
      </c>
      <c r="D1" s="147" t="s">
        <v>1</v>
      </c>
    </row>
    <row r="3" spans="1:10" s="5" customFormat="1" ht="15.75" customHeight="1" x14ac:dyDescent="0.25">
      <c r="A3" s="143"/>
      <c r="B3" s="148" t="s">
        <v>3</v>
      </c>
      <c r="C3" s="149" t="s">
        <v>4</v>
      </c>
      <c r="D3" s="148" t="s">
        <v>5</v>
      </c>
      <c r="F3" s="6"/>
      <c r="H3" s="6"/>
    </row>
    <row r="4" spans="1:10" ht="13.2" x14ac:dyDescent="0.25">
      <c r="A4" s="142">
        <v>43467.666666666664</v>
      </c>
      <c r="B4" s="146">
        <v>24.96</v>
      </c>
      <c r="C4" s="150">
        <f ca="1">IFERROR(__xludf.DUMMYFUNCTION("""COMPUTED_VALUE"""),46.76)</f>
        <v>46.76</v>
      </c>
      <c r="D4" s="150">
        <f ca="1">IFERROR(__xludf.DUMMYFUNCTION("""COMPUTED_VALUE"""),250.18)</f>
        <v>250.18</v>
      </c>
      <c r="F4" s="2"/>
      <c r="H4" s="2"/>
      <c r="J4" s="2"/>
    </row>
    <row r="5" spans="1:10" ht="13.2" x14ac:dyDescent="0.25">
      <c r="A5" s="142">
        <v>43468.666666666664</v>
      </c>
      <c r="B5" s="146">
        <v>24.56</v>
      </c>
      <c r="C5" s="150">
        <f ca="1">IFERROR(__xludf.DUMMYFUNCTION("""COMPUTED_VALUE"""),46.24)</f>
        <v>46.24</v>
      </c>
      <c r="D5" s="150">
        <f ca="1">IFERROR(__xludf.DUMMYFUNCTION("""COMPUTED_VALUE"""),244.21)</f>
        <v>244.21</v>
      </c>
      <c r="F5" s="2"/>
      <c r="H5" s="2"/>
      <c r="J5" s="2"/>
    </row>
    <row r="6" spans="1:10" ht="13.2" x14ac:dyDescent="0.25">
      <c r="A6" s="142">
        <v>43469.666666666664</v>
      </c>
      <c r="B6" s="146">
        <v>25.58</v>
      </c>
      <c r="C6" s="150">
        <f ca="1">IFERROR(__xludf.DUMMYFUNCTION("""COMPUTED_VALUE"""),47.98)</f>
        <v>47.98</v>
      </c>
      <c r="D6" s="150">
        <f ca="1">IFERROR(__xludf.DUMMYFUNCTION("""COMPUTED_VALUE"""),252.39)</f>
        <v>252.39</v>
      </c>
      <c r="F6" s="2"/>
      <c r="H6" s="2"/>
      <c r="J6" s="2"/>
    </row>
    <row r="7" spans="1:10" ht="13.2" x14ac:dyDescent="0.25">
      <c r="A7" s="142">
        <v>43472.666666666664</v>
      </c>
      <c r="B7" s="146">
        <v>25.56</v>
      </c>
      <c r="C7" s="150">
        <f ca="1">IFERROR(__xludf.DUMMYFUNCTION("""COMPUTED_VALUE"""),48.42)</f>
        <v>48.42</v>
      </c>
      <c r="D7" s="150">
        <f ca="1">IFERROR(__xludf.DUMMYFUNCTION("""COMPUTED_VALUE"""),254.38)</f>
        <v>254.38</v>
      </c>
      <c r="F7" s="2"/>
      <c r="H7" s="2"/>
      <c r="J7" s="2"/>
    </row>
    <row r="8" spans="1:10" ht="15.75" customHeight="1" x14ac:dyDescent="0.25">
      <c r="A8" s="142">
        <v>43473.666666666664</v>
      </c>
      <c r="B8" s="146">
        <v>25.51</v>
      </c>
      <c r="C8" s="150">
        <f ca="1">IFERROR(__xludf.DUMMYFUNCTION("""COMPUTED_VALUE"""),48.07)</f>
        <v>48.07</v>
      </c>
      <c r="D8" s="150">
        <f ca="1">IFERROR(__xludf.DUMMYFUNCTION("""COMPUTED_VALUE"""),256.77)</f>
        <v>256.77</v>
      </c>
      <c r="F8" s="2"/>
      <c r="H8" s="2"/>
      <c r="J8" s="2"/>
    </row>
    <row r="9" spans="1:10" ht="15.75" customHeight="1" x14ac:dyDescent="0.25">
      <c r="A9" s="142">
        <v>43474.666666666664</v>
      </c>
      <c r="B9" s="146">
        <v>25.76</v>
      </c>
      <c r="C9" s="150">
        <f ca="1">IFERROR(__xludf.DUMMYFUNCTION("""COMPUTED_VALUE"""),48.83)</f>
        <v>48.83</v>
      </c>
      <c r="D9" s="150">
        <f ca="1">IFERROR(__xludf.DUMMYFUNCTION("""COMPUTED_VALUE"""),257.97)</f>
        <v>257.97000000000003</v>
      </c>
      <c r="F9" s="2"/>
      <c r="H9" s="2"/>
      <c r="J9" s="2"/>
    </row>
    <row r="10" spans="1:10" ht="15.75" customHeight="1" x14ac:dyDescent="0.25">
      <c r="A10" s="142">
        <v>43475.666666666664</v>
      </c>
      <c r="B10" s="146">
        <v>25.73</v>
      </c>
      <c r="C10" s="150">
        <f ca="1">IFERROR(__xludf.DUMMYFUNCTION("""COMPUTED_VALUE"""),49.25)</f>
        <v>49.25</v>
      </c>
      <c r="D10" s="150">
        <f ca="1">IFERROR(__xludf.DUMMYFUNCTION("""COMPUTED_VALUE"""),258.88)</f>
        <v>258.88</v>
      </c>
      <c r="F10" s="2"/>
      <c r="H10" s="2"/>
      <c r="J10" s="2"/>
    </row>
    <row r="11" spans="1:10" ht="15.75" customHeight="1" x14ac:dyDescent="0.25">
      <c r="A11" s="142">
        <v>43476.666666666664</v>
      </c>
      <c r="B11" s="146">
        <v>26.03</v>
      </c>
      <c r="C11" s="150">
        <f ca="1">IFERROR(__xludf.DUMMYFUNCTION("""COMPUTED_VALUE"""),49.57)</f>
        <v>49.57</v>
      </c>
      <c r="D11" s="150">
        <f ca="1">IFERROR(__xludf.DUMMYFUNCTION("""COMPUTED_VALUE"""),258.98)</f>
        <v>258.98</v>
      </c>
      <c r="F11" s="2"/>
      <c r="H11" s="2"/>
      <c r="J11" s="2"/>
    </row>
    <row r="12" spans="1:10" ht="15.75" customHeight="1" x14ac:dyDescent="0.25">
      <c r="A12" s="142">
        <v>43479.666666666664</v>
      </c>
      <c r="B12" s="146">
        <v>26.37</v>
      </c>
      <c r="C12" s="150">
        <f ca="1">IFERROR(__xludf.DUMMYFUNCTION("""COMPUTED_VALUE"""),51.07)</f>
        <v>51.07</v>
      </c>
      <c r="D12" s="150">
        <f ca="1">IFERROR(__xludf.DUMMYFUNCTION("""COMPUTED_VALUE"""),257.4)</f>
        <v>257.39999999999998</v>
      </c>
      <c r="F12" s="2"/>
      <c r="H12" s="2"/>
      <c r="J12" s="2"/>
    </row>
    <row r="13" spans="1:10" ht="15.75" customHeight="1" x14ac:dyDescent="0.25">
      <c r="A13" s="142">
        <v>43480.666666666664</v>
      </c>
      <c r="B13" s="146">
        <v>26.55</v>
      </c>
      <c r="C13" s="150">
        <f ca="1">IFERROR(__xludf.DUMMYFUNCTION("""COMPUTED_VALUE"""),53.57)</f>
        <v>53.57</v>
      </c>
      <c r="D13" s="150">
        <f ca="1">IFERROR(__xludf.DUMMYFUNCTION("""COMPUTED_VALUE"""),260.35)</f>
        <v>260.35000000000002</v>
      </c>
      <c r="F13" s="2"/>
      <c r="H13" s="2"/>
      <c r="J13" s="2"/>
    </row>
    <row r="14" spans="1:10" ht="15.75" customHeight="1" x14ac:dyDescent="0.25">
      <c r="A14" s="142">
        <v>43481.666666666664</v>
      </c>
      <c r="B14" s="146">
        <v>28.45</v>
      </c>
      <c r="C14" s="150">
        <f ca="1">IFERROR(__xludf.DUMMYFUNCTION("""COMPUTED_VALUE"""),54.75)</f>
        <v>54.75</v>
      </c>
      <c r="D14" s="150">
        <f ca="1">IFERROR(__xludf.DUMMYFUNCTION("""COMPUTED_VALUE"""),260.98)</f>
        <v>260.98</v>
      </c>
      <c r="F14" s="2"/>
      <c r="H14" s="2"/>
      <c r="J14" s="2"/>
    </row>
    <row r="15" spans="1:10" ht="15.75" customHeight="1" x14ac:dyDescent="0.25">
      <c r="A15" s="142">
        <v>43482.666666666664</v>
      </c>
      <c r="B15" s="146">
        <v>28.99</v>
      </c>
      <c r="C15" s="150">
        <f ca="1">IFERROR(__xludf.DUMMYFUNCTION("""COMPUTED_VALUE"""),53.93)</f>
        <v>53.93</v>
      </c>
      <c r="D15" s="150">
        <f ca="1">IFERROR(__xludf.DUMMYFUNCTION("""COMPUTED_VALUE"""),262.96)</f>
        <v>262.95999999999998</v>
      </c>
      <c r="F15" s="2"/>
      <c r="H15" s="2"/>
      <c r="J15" s="2"/>
    </row>
    <row r="16" spans="1:10" ht="15.75" customHeight="1" x14ac:dyDescent="0.25">
      <c r="A16" s="142">
        <v>43483.666666666664</v>
      </c>
      <c r="B16" s="146">
        <v>29.3</v>
      </c>
      <c r="C16" s="150">
        <f ca="1">IFERROR(__xludf.DUMMYFUNCTION("""COMPUTED_VALUE"""),55.38)</f>
        <v>55.38</v>
      </c>
      <c r="D16" s="150">
        <f ca="1">IFERROR(__xludf.DUMMYFUNCTION("""COMPUTED_VALUE"""),266.46)</f>
        <v>266.45999999999998</v>
      </c>
      <c r="F16" s="2"/>
      <c r="H16" s="2"/>
      <c r="J16" s="2"/>
    </row>
    <row r="17" spans="1:10" ht="13.2" x14ac:dyDescent="0.25">
      <c r="A17" s="142">
        <v>43487.666666666664</v>
      </c>
      <c r="B17" s="146">
        <v>29.09</v>
      </c>
      <c r="C17" s="150">
        <f ca="1">IFERROR(__xludf.DUMMYFUNCTION("""COMPUTED_VALUE"""),55.42)</f>
        <v>55.42</v>
      </c>
      <c r="D17" s="150">
        <f ca="1">IFERROR(__xludf.DUMMYFUNCTION("""COMPUTED_VALUE"""),262.86)</f>
        <v>262.86</v>
      </c>
      <c r="F17" s="2"/>
      <c r="H17" s="2"/>
      <c r="J17" s="2"/>
    </row>
    <row r="18" spans="1:10" ht="13.2" x14ac:dyDescent="0.25">
      <c r="A18" s="142">
        <v>43488.666666666664</v>
      </c>
      <c r="B18" s="146">
        <v>28.92</v>
      </c>
      <c r="C18" s="150">
        <f ca="1">IFERROR(__xludf.DUMMYFUNCTION("""COMPUTED_VALUE"""),54.76)</f>
        <v>54.76</v>
      </c>
      <c r="D18" s="150">
        <f ca="1">IFERROR(__xludf.DUMMYFUNCTION("""COMPUTED_VALUE"""),263.41)</f>
        <v>263.41000000000003</v>
      </c>
      <c r="F18" s="2"/>
      <c r="H18" s="2"/>
      <c r="J18" s="2"/>
    </row>
    <row r="19" spans="1:10" ht="13.2" x14ac:dyDescent="0.25">
      <c r="A19" s="142">
        <v>43489.666666666664</v>
      </c>
      <c r="B19" s="146">
        <v>29.08</v>
      </c>
      <c r="C19" s="150">
        <f ca="1">IFERROR(__xludf.DUMMYFUNCTION("""COMPUTED_VALUE"""),54.31)</f>
        <v>54.31</v>
      </c>
      <c r="D19" s="150">
        <f ca="1">IFERROR(__xludf.DUMMYFUNCTION("""COMPUTED_VALUE"""),263.55)</f>
        <v>263.55</v>
      </c>
      <c r="F19" s="2"/>
      <c r="H19" s="2"/>
      <c r="J19" s="2"/>
    </row>
    <row r="20" spans="1:10" ht="13.2" x14ac:dyDescent="0.25">
      <c r="A20" s="142">
        <v>43490.666666666664</v>
      </c>
      <c r="B20" s="146">
        <v>29.58</v>
      </c>
      <c r="C20" s="150">
        <f ca="1">IFERROR(__xludf.DUMMYFUNCTION("""COMPUTED_VALUE"""),55.1)</f>
        <v>55.1</v>
      </c>
      <c r="D20" s="150">
        <f ca="1">IFERROR(__xludf.DUMMYFUNCTION("""COMPUTED_VALUE"""),265.78)</f>
        <v>265.77999999999997</v>
      </c>
      <c r="F20" s="2"/>
      <c r="H20" s="2"/>
      <c r="J20" s="2"/>
    </row>
    <row r="21" spans="1:10" ht="13.2" x14ac:dyDescent="0.25">
      <c r="A21" s="142">
        <v>43493.666666666664</v>
      </c>
      <c r="B21" s="146">
        <v>29.63</v>
      </c>
      <c r="C21" s="150">
        <f ca="1">IFERROR(__xludf.DUMMYFUNCTION("""COMPUTED_VALUE"""),56.11)</f>
        <v>56.11</v>
      </c>
      <c r="D21" s="150">
        <f ca="1">IFERROR(__xludf.DUMMYFUNCTION("""COMPUTED_VALUE"""),263.76)</f>
        <v>263.76</v>
      </c>
      <c r="F21" s="2"/>
      <c r="H21" s="2"/>
      <c r="J21" s="2"/>
    </row>
    <row r="22" spans="1:10" ht="13.2" x14ac:dyDescent="0.25">
      <c r="A22" s="142">
        <v>43494.666666666664</v>
      </c>
      <c r="B22" s="146">
        <v>29.39</v>
      </c>
      <c r="C22" s="150">
        <f ca="1">IFERROR(__xludf.DUMMYFUNCTION("""COMPUTED_VALUE"""),55.72)</f>
        <v>55.72</v>
      </c>
      <c r="D22" s="150">
        <f ca="1">IFERROR(__xludf.DUMMYFUNCTION("""COMPUTED_VALUE"""),263.41)</f>
        <v>263.41000000000003</v>
      </c>
      <c r="F22" s="2"/>
      <c r="H22" s="2"/>
      <c r="J22" s="2"/>
    </row>
    <row r="23" spans="1:10" ht="13.2" x14ac:dyDescent="0.25">
      <c r="A23" s="142">
        <v>43495.666666666664</v>
      </c>
      <c r="B23" s="146">
        <v>29.07</v>
      </c>
      <c r="C23" s="150">
        <f ca="1">IFERROR(__xludf.DUMMYFUNCTION("""COMPUTED_VALUE"""),55.49)</f>
        <v>55.49</v>
      </c>
      <c r="D23" s="150">
        <f ca="1">IFERROR(__xludf.DUMMYFUNCTION("""COMPUTED_VALUE"""),267.58)</f>
        <v>267.58</v>
      </c>
      <c r="F23" s="2"/>
      <c r="H23" s="2"/>
      <c r="J23" s="2"/>
    </row>
    <row r="24" spans="1:10" ht="13.2" x14ac:dyDescent="0.25">
      <c r="A24" s="142">
        <v>43496.666666666664</v>
      </c>
      <c r="B24" s="146">
        <v>28.47</v>
      </c>
      <c r="C24" s="150">
        <f ca="1">IFERROR(__xludf.DUMMYFUNCTION("""COMPUTED_VALUE"""),55.51)</f>
        <v>55.51</v>
      </c>
      <c r="D24" s="150">
        <f ca="1">IFERROR(__xludf.DUMMYFUNCTION("""COMPUTED_VALUE"""),269.93)</f>
        <v>269.93</v>
      </c>
      <c r="F24" s="2"/>
      <c r="H24" s="2"/>
      <c r="J24" s="2"/>
    </row>
    <row r="25" spans="1:10" ht="13.2" x14ac:dyDescent="0.25">
      <c r="A25" s="142">
        <v>43497.666666666664</v>
      </c>
      <c r="B25" s="146">
        <v>28.38</v>
      </c>
      <c r="C25" s="150">
        <f ca="1">IFERROR(__xludf.DUMMYFUNCTION("""COMPUTED_VALUE"""),55.83)</f>
        <v>55.83</v>
      </c>
      <c r="D25" s="150">
        <f ca="1">IFERROR(__xludf.DUMMYFUNCTION("""COMPUTED_VALUE"""),270.06)</f>
        <v>270.06</v>
      </c>
      <c r="F25" s="2"/>
      <c r="H25" s="2"/>
      <c r="J25" s="2"/>
    </row>
    <row r="26" spans="1:10" ht="13.2" x14ac:dyDescent="0.25">
      <c r="A26" s="142">
        <v>43500.666666666664</v>
      </c>
      <c r="B26" s="146">
        <v>28.88</v>
      </c>
      <c r="C26" s="150">
        <f ca="1">IFERROR(__xludf.DUMMYFUNCTION("""COMPUTED_VALUE"""),55.56)</f>
        <v>55.56</v>
      </c>
      <c r="D26" s="150">
        <f ca="1">IFERROR(__xludf.DUMMYFUNCTION("""COMPUTED_VALUE"""),271.96)</f>
        <v>271.95999999999998</v>
      </c>
      <c r="F26" s="2"/>
      <c r="H26" s="2"/>
      <c r="J26" s="2"/>
    </row>
    <row r="27" spans="1:10" ht="13.2" x14ac:dyDescent="0.25">
      <c r="A27" s="142">
        <v>43501.666666666664</v>
      </c>
      <c r="B27" s="146">
        <v>28.78</v>
      </c>
      <c r="C27" s="150">
        <f ca="1">IFERROR(__xludf.DUMMYFUNCTION("""COMPUTED_VALUE"""),55.74)</f>
        <v>55.74</v>
      </c>
      <c r="D27" s="150">
        <f ca="1">IFERROR(__xludf.DUMMYFUNCTION("""COMPUTED_VALUE"""),273.1)</f>
        <v>273.10000000000002</v>
      </c>
      <c r="F27" s="2"/>
      <c r="H27" s="2"/>
      <c r="J27" s="2"/>
    </row>
    <row r="28" spans="1:10" ht="13.2" x14ac:dyDescent="0.25">
      <c r="A28" s="142">
        <v>43502.666666666664</v>
      </c>
      <c r="B28" s="146">
        <v>28.73</v>
      </c>
      <c r="C28" s="150">
        <f ca="1">IFERROR(__xludf.DUMMYFUNCTION("""COMPUTED_VALUE"""),55.89)</f>
        <v>55.89</v>
      </c>
      <c r="D28" s="150">
        <f ca="1">IFERROR(__xludf.DUMMYFUNCTION("""COMPUTED_VALUE"""),272.74)</f>
        <v>272.74</v>
      </c>
      <c r="F28" s="2"/>
      <c r="H28" s="2"/>
      <c r="J28" s="2"/>
    </row>
    <row r="29" spans="1:10" ht="13.2" x14ac:dyDescent="0.25">
      <c r="A29" s="142">
        <v>43503.666666666664</v>
      </c>
      <c r="B29" s="146">
        <v>28.24</v>
      </c>
      <c r="C29" s="150">
        <f ca="1">IFERROR(__xludf.DUMMYFUNCTION("""COMPUTED_VALUE"""),56.08)</f>
        <v>56.08</v>
      </c>
      <c r="D29" s="150">
        <f ca="1">IFERROR(__xludf.DUMMYFUNCTION("""COMPUTED_VALUE"""),270.14)</f>
        <v>270.14</v>
      </c>
      <c r="F29" s="2"/>
      <c r="H29" s="2"/>
      <c r="J29" s="2"/>
    </row>
    <row r="30" spans="1:10" ht="13.2" x14ac:dyDescent="0.25">
      <c r="A30" s="142">
        <v>43504.666666666664</v>
      </c>
      <c r="B30" s="146">
        <v>28.29</v>
      </c>
      <c r="C30" s="150">
        <f ca="1">IFERROR(__xludf.DUMMYFUNCTION("""COMPUTED_VALUE"""),54.69)</f>
        <v>54.69</v>
      </c>
      <c r="D30" s="150">
        <f ca="1">IFERROR(__xludf.DUMMYFUNCTION("""COMPUTED_VALUE"""),270.47)</f>
        <v>270.47000000000003</v>
      </c>
      <c r="F30" s="2"/>
      <c r="H30" s="2"/>
      <c r="J30" s="2"/>
    </row>
    <row r="31" spans="1:10" ht="13.2" x14ac:dyDescent="0.25">
      <c r="A31" s="142">
        <v>43507.666666666664</v>
      </c>
      <c r="B31" s="146">
        <v>28.41</v>
      </c>
      <c r="C31" s="150">
        <f ca="1">IFERROR(__xludf.DUMMYFUNCTION("""COMPUTED_VALUE"""),54.16)</f>
        <v>54.16</v>
      </c>
      <c r="D31" s="150">
        <f ca="1">IFERROR(__xludf.DUMMYFUNCTION("""COMPUTED_VALUE"""),270.62)</f>
        <v>270.62</v>
      </c>
      <c r="F31" s="2"/>
      <c r="H31" s="2"/>
      <c r="J31" s="2"/>
    </row>
    <row r="32" spans="1:10" ht="13.2" x14ac:dyDescent="0.25">
      <c r="A32" s="142">
        <v>43508.666666666664</v>
      </c>
      <c r="B32" s="146">
        <v>28.69</v>
      </c>
      <c r="C32" s="150">
        <f ca="1">IFERROR(__xludf.DUMMYFUNCTION("""COMPUTED_VALUE"""),54.74)</f>
        <v>54.74</v>
      </c>
      <c r="D32" s="150">
        <f ca="1">IFERROR(__xludf.DUMMYFUNCTION("""COMPUTED_VALUE"""),274.1)</f>
        <v>274.10000000000002</v>
      </c>
      <c r="F32" s="2"/>
      <c r="H32" s="2"/>
      <c r="J32" s="2"/>
    </row>
    <row r="33" spans="1:10" ht="13.2" x14ac:dyDescent="0.25">
      <c r="A33" s="142">
        <v>43509.666666666664</v>
      </c>
      <c r="B33" s="146">
        <v>28.7</v>
      </c>
      <c r="C33" s="150">
        <f ca="1">IFERROR(__xludf.DUMMYFUNCTION("""COMPUTED_VALUE"""),55.55)</f>
        <v>55.55</v>
      </c>
      <c r="D33" s="150">
        <f ca="1">IFERROR(__xludf.DUMMYFUNCTION("""COMPUTED_VALUE"""),274.99)</f>
        <v>274.99</v>
      </c>
      <c r="F33" s="2"/>
      <c r="H33" s="2"/>
      <c r="J33" s="2"/>
    </row>
    <row r="34" spans="1:10" ht="13.2" x14ac:dyDescent="0.25">
      <c r="A34" s="142">
        <v>43510.666666666664</v>
      </c>
      <c r="B34" s="146">
        <v>28.39</v>
      </c>
      <c r="C34" s="150">
        <f ca="1">IFERROR(__xludf.DUMMYFUNCTION("""COMPUTED_VALUE"""),56.02)</f>
        <v>56.02</v>
      </c>
      <c r="D34" s="150">
        <f ca="1">IFERROR(__xludf.DUMMYFUNCTION("""COMPUTED_VALUE"""),274.38)</f>
        <v>274.38</v>
      </c>
      <c r="F34" s="2"/>
      <c r="H34" s="2"/>
      <c r="J34" s="2"/>
    </row>
    <row r="35" spans="1:10" ht="13.2" x14ac:dyDescent="0.25">
      <c r="A35" s="142">
        <v>43511.666666666664</v>
      </c>
      <c r="B35" s="146">
        <v>29.11</v>
      </c>
      <c r="C35" s="150">
        <f ca="1">IFERROR(__xludf.DUMMYFUNCTION("""COMPUTED_VALUE"""),55.25)</f>
        <v>55.25</v>
      </c>
      <c r="D35" s="150">
        <f ca="1">IFERROR(__xludf.DUMMYFUNCTION("""COMPUTED_VALUE"""),277.37)</f>
        <v>277.37</v>
      </c>
      <c r="F35" s="2"/>
      <c r="H35" s="2"/>
      <c r="J35" s="2"/>
    </row>
    <row r="36" spans="1:10" ht="13.2" x14ac:dyDescent="0.25">
      <c r="A36" s="142">
        <v>43515.666666666664</v>
      </c>
      <c r="B36" s="146">
        <v>29.13</v>
      </c>
      <c r="C36" s="150">
        <f ca="1">IFERROR(__xludf.DUMMYFUNCTION("""COMPUTED_VALUE"""),56.79)</f>
        <v>56.79</v>
      </c>
      <c r="D36" s="150">
        <f ca="1">IFERROR(__xludf.DUMMYFUNCTION("""COMPUTED_VALUE"""),277.85)</f>
        <v>277.85000000000002</v>
      </c>
      <c r="F36" s="2"/>
      <c r="H36" s="2"/>
      <c r="J36" s="2"/>
    </row>
    <row r="37" spans="1:10" ht="13.2" x14ac:dyDescent="0.25">
      <c r="A37" s="142">
        <v>43516.666666666664</v>
      </c>
      <c r="B37" s="146">
        <v>29.41</v>
      </c>
      <c r="C37" s="150">
        <f ca="1">IFERROR(__xludf.DUMMYFUNCTION("""COMPUTED_VALUE"""),56.82)</f>
        <v>56.82</v>
      </c>
      <c r="D37" s="150">
        <f ca="1">IFERROR(__xludf.DUMMYFUNCTION("""COMPUTED_VALUE"""),278.41)</f>
        <v>278.41000000000003</v>
      </c>
      <c r="F37" s="2"/>
      <c r="H37" s="2"/>
      <c r="J37" s="2"/>
    </row>
    <row r="38" spans="1:10" ht="13.2" x14ac:dyDescent="0.25">
      <c r="A38" s="142">
        <v>43517.666666666664</v>
      </c>
      <c r="B38" s="146">
        <v>29.29</v>
      </c>
      <c r="C38" s="150">
        <f ca="1">IFERROR(__xludf.DUMMYFUNCTION("""COMPUTED_VALUE"""),56.33)</f>
        <v>56.33</v>
      </c>
      <c r="D38" s="150">
        <f ca="1">IFERROR(__xludf.DUMMYFUNCTION("""COMPUTED_VALUE"""),277.42)</f>
        <v>277.42</v>
      </c>
      <c r="F38" s="2"/>
      <c r="H38" s="2"/>
      <c r="J38" s="2"/>
    </row>
    <row r="39" spans="1:10" ht="13.2" x14ac:dyDescent="0.25">
      <c r="A39" s="142">
        <v>43518.666666666664</v>
      </c>
      <c r="B39" s="146">
        <v>29.08</v>
      </c>
      <c r="C39" s="150">
        <f ca="1">IFERROR(__xludf.DUMMYFUNCTION("""COMPUTED_VALUE"""),56.74)</f>
        <v>56.74</v>
      </c>
      <c r="D39" s="150">
        <f ca="1">IFERROR(__xludf.DUMMYFUNCTION("""COMPUTED_VALUE"""),279.14)</f>
        <v>279.14</v>
      </c>
      <c r="F39" s="2"/>
      <c r="H39" s="2"/>
      <c r="J39" s="2"/>
    </row>
    <row r="40" spans="1:10" ht="13.2" x14ac:dyDescent="0.25">
      <c r="A40" s="142">
        <v>43521.666666666664</v>
      </c>
      <c r="B40" s="146">
        <v>29.27</v>
      </c>
      <c r="C40" s="150">
        <f ca="1">IFERROR(__xludf.DUMMYFUNCTION("""COMPUTED_VALUE"""),56.57)</f>
        <v>56.57</v>
      </c>
      <c r="D40" s="150">
        <f ca="1">IFERROR(__xludf.DUMMYFUNCTION("""COMPUTED_VALUE"""),279.52)</f>
        <v>279.52</v>
      </c>
      <c r="F40" s="2"/>
      <c r="H40" s="2"/>
      <c r="J40" s="2"/>
    </row>
    <row r="41" spans="1:10" ht="13.2" x14ac:dyDescent="0.25">
      <c r="A41" s="142">
        <v>43522.666666666664</v>
      </c>
      <c r="B41" s="146">
        <v>29.29</v>
      </c>
      <c r="C41" s="150">
        <f ca="1">IFERROR(__xludf.DUMMYFUNCTION("""COMPUTED_VALUE"""),56.66)</f>
        <v>56.66</v>
      </c>
      <c r="D41" s="150">
        <f ca="1">IFERROR(__xludf.DUMMYFUNCTION("""COMPUTED_VALUE"""),279.32)</f>
        <v>279.32</v>
      </c>
      <c r="F41" s="2"/>
      <c r="H41" s="2"/>
      <c r="J41" s="2"/>
    </row>
    <row r="42" spans="1:10" ht="13.2" x14ac:dyDescent="0.25">
      <c r="A42" s="142">
        <v>43523.666666666664</v>
      </c>
      <c r="B42" s="146">
        <v>29.53</v>
      </c>
      <c r="C42" s="150">
        <f ca="1">IFERROR(__xludf.DUMMYFUNCTION("""COMPUTED_VALUE"""),57.53)</f>
        <v>57.53</v>
      </c>
      <c r="D42" s="150">
        <f ca="1">IFERROR(__xludf.DUMMYFUNCTION("""COMPUTED_VALUE"""),279.2)</f>
        <v>279.2</v>
      </c>
      <c r="F42" s="2"/>
      <c r="H42" s="2"/>
      <c r="J42" s="2"/>
    </row>
    <row r="43" spans="1:10" ht="13.2" x14ac:dyDescent="0.25">
      <c r="A43" s="142">
        <v>43524.666666666664</v>
      </c>
      <c r="B43" s="146">
        <v>29.08</v>
      </c>
      <c r="C43" s="150">
        <f ca="1">IFERROR(__xludf.DUMMYFUNCTION("""COMPUTED_VALUE"""),56.76)</f>
        <v>56.76</v>
      </c>
      <c r="D43" s="150">
        <f ca="1">IFERROR(__xludf.DUMMYFUNCTION("""COMPUTED_VALUE"""),278.68)</f>
        <v>278.68</v>
      </c>
      <c r="F43" s="2"/>
      <c r="H43" s="2"/>
      <c r="J43" s="2"/>
    </row>
    <row r="44" spans="1:10" ht="13.2" x14ac:dyDescent="0.25">
      <c r="A44" s="142">
        <v>43525.666666666664</v>
      </c>
      <c r="B44" s="146">
        <v>29.31</v>
      </c>
      <c r="C44" s="150">
        <f ca="1">IFERROR(__xludf.DUMMYFUNCTION("""COMPUTED_VALUE"""),56.59)</f>
        <v>56.59</v>
      </c>
      <c r="D44" s="150">
        <f ca="1">IFERROR(__xludf.DUMMYFUNCTION("""COMPUTED_VALUE"""),280.42)</f>
        <v>280.42</v>
      </c>
      <c r="F44" s="2"/>
      <c r="H44" s="2"/>
      <c r="J44" s="2"/>
    </row>
    <row r="45" spans="1:10" ht="13.2" x14ac:dyDescent="0.25">
      <c r="A45" s="142">
        <v>43528.666666666664</v>
      </c>
      <c r="B45" s="146">
        <v>29.03</v>
      </c>
      <c r="C45" s="150">
        <f ca="1">IFERROR(__xludf.DUMMYFUNCTION("""COMPUTED_VALUE"""),56.29)</f>
        <v>56.29</v>
      </c>
      <c r="D45" s="150">
        <f ca="1">IFERROR(__xludf.DUMMYFUNCTION("""COMPUTED_VALUE"""),279.4)</f>
        <v>279.39999999999998</v>
      </c>
      <c r="F45" s="2"/>
      <c r="H45" s="2"/>
      <c r="J45" s="2"/>
    </row>
    <row r="46" spans="1:10" ht="13.2" x14ac:dyDescent="0.25">
      <c r="A46" s="142">
        <v>43529.666666666664</v>
      </c>
      <c r="B46" s="146">
        <v>29.08</v>
      </c>
      <c r="C46" s="150">
        <f ca="1">IFERROR(__xludf.DUMMYFUNCTION("""COMPUTED_VALUE"""),57.03)</f>
        <v>57.03</v>
      </c>
      <c r="D46" s="150">
        <f ca="1">IFERROR(__xludf.DUMMYFUNCTION("""COMPUTED_VALUE"""),279.02)</f>
        <v>279.02</v>
      </c>
      <c r="F46" s="2"/>
      <c r="H46" s="2"/>
      <c r="J46" s="2"/>
    </row>
    <row r="47" spans="1:10" ht="13.2" x14ac:dyDescent="0.25">
      <c r="A47" s="142">
        <v>43530.666666666664</v>
      </c>
      <c r="B47" s="146">
        <v>28.84</v>
      </c>
      <c r="C47" s="150">
        <f ca="1">IFERROR(__xludf.DUMMYFUNCTION("""COMPUTED_VALUE"""),56.86)</f>
        <v>56.86</v>
      </c>
      <c r="D47" s="150">
        <f ca="1">IFERROR(__xludf.DUMMYFUNCTION("""COMPUTED_VALUE"""),277.33)</f>
        <v>277.33</v>
      </c>
      <c r="F47" s="2"/>
      <c r="H47" s="2"/>
      <c r="J47" s="2"/>
    </row>
    <row r="48" spans="1:10" ht="13.2" x14ac:dyDescent="0.25">
      <c r="A48" s="142">
        <v>43531.666666666664</v>
      </c>
      <c r="B48" s="146">
        <v>28.55</v>
      </c>
      <c r="C48" s="150">
        <f ca="1">IFERROR(__xludf.DUMMYFUNCTION("""COMPUTED_VALUE"""),55.31)</f>
        <v>55.31</v>
      </c>
      <c r="D48" s="150">
        <f ca="1">IFERROR(__xludf.DUMMYFUNCTION("""COMPUTED_VALUE"""),275.01)</f>
        <v>275.01</v>
      </c>
      <c r="F48" s="2"/>
      <c r="H48" s="2"/>
      <c r="J48" s="2"/>
    </row>
    <row r="49" spans="1:10" ht="13.2" x14ac:dyDescent="0.25">
      <c r="A49" s="142">
        <v>43532.666666666664</v>
      </c>
      <c r="B49" s="146">
        <v>28.65</v>
      </c>
      <c r="C49" s="150">
        <f ca="1">IFERROR(__xludf.DUMMYFUNCTION("""COMPUTED_VALUE"""),55.67)</f>
        <v>55.67</v>
      </c>
      <c r="D49" s="150">
        <f ca="1">IFERROR(__xludf.DUMMYFUNCTION("""COMPUTED_VALUE"""),274.46)</f>
        <v>274.45999999999998</v>
      </c>
      <c r="F49" s="2"/>
      <c r="H49" s="2"/>
      <c r="J49" s="2"/>
    </row>
    <row r="50" spans="1:10" ht="13.2" x14ac:dyDescent="0.25">
      <c r="A50" s="142">
        <v>43535.666666666664</v>
      </c>
      <c r="B50" s="146">
        <v>28.94</v>
      </c>
      <c r="C50" s="150">
        <f ca="1">IFERROR(__xludf.DUMMYFUNCTION("""COMPUTED_VALUE"""),55.01)</f>
        <v>55.01</v>
      </c>
      <c r="D50" s="150">
        <f ca="1">IFERROR(__xludf.DUMMYFUNCTION("""COMPUTED_VALUE"""),278.44)</f>
        <v>278.44</v>
      </c>
      <c r="F50" s="2"/>
      <c r="H50" s="2"/>
      <c r="J50" s="2"/>
    </row>
    <row r="51" spans="1:10" ht="13.2" x14ac:dyDescent="0.25">
      <c r="A51" s="142">
        <v>43536.666666666664</v>
      </c>
      <c r="B51" s="146">
        <v>28.94</v>
      </c>
      <c r="C51" s="150">
        <f ca="1">IFERROR(__xludf.DUMMYFUNCTION("""COMPUTED_VALUE"""),54.93)</f>
        <v>54.93</v>
      </c>
      <c r="D51" s="150">
        <f ca="1">IFERROR(__xludf.DUMMYFUNCTION("""COMPUTED_VALUE"""),279.49)</f>
        <v>279.49</v>
      </c>
      <c r="F51" s="2"/>
      <c r="H51" s="2"/>
      <c r="J51" s="2"/>
    </row>
    <row r="52" spans="1:10" ht="13.2" x14ac:dyDescent="0.25">
      <c r="A52" s="142">
        <v>43537.666666666664</v>
      </c>
      <c r="B52" s="146">
        <v>29.29</v>
      </c>
      <c r="C52" s="150">
        <f ca="1">IFERROR(__xludf.DUMMYFUNCTION("""COMPUTED_VALUE"""),55.74)</f>
        <v>55.74</v>
      </c>
      <c r="D52" s="150">
        <f ca="1">IFERROR(__xludf.DUMMYFUNCTION("""COMPUTED_VALUE"""),281.34)</f>
        <v>281.33999999999997</v>
      </c>
      <c r="F52" s="2"/>
      <c r="H52" s="2"/>
      <c r="J52" s="2"/>
    </row>
    <row r="53" spans="1:10" ht="13.2" x14ac:dyDescent="0.25">
      <c r="A53" s="142">
        <v>43538.666666666664</v>
      </c>
      <c r="B53" s="146">
        <v>29.46</v>
      </c>
      <c r="C53" s="150">
        <f ca="1">IFERROR(__xludf.DUMMYFUNCTION("""COMPUTED_VALUE"""),55.07)</f>
        <v>55.07</v>
      </c>
      <c r="D53" s="150">
        <f ca="1">IFERROR(__xludf.DUMMYFUNCTION("""COMPUTED_VALUE"""),281.16)</f>
        <v>281.16000000000003</v>
      </c>
      <c r="F53" s="2"/>
      <c r="H53" s="2"/>
      <c r="J53" s="2"/>
    </row>
    <row r="54" spans="1:10" ht="13.2" x14ac:dyDescent="0.25">
      <c r="A54" s="142">
        <v>43539.666666666664</v>
      </c>
      <c r="B54" s="146">
        <v>29.3</v>
      </c>
      <c r="C54" s="150">
        <f ca="1">IFERROR(__xludf.DUMMYFUNCTION("""COMPUTED_VALUE"""),56.4)</f>
        <v>56.4</v>
      </c>
      <c r="D54" s="150">
        <f ca="1">IFERROR(__xludf.DUMMYFUNCTION("""COMPUTED_VALUE"""),281.31)</f>
        <v>281.31</v>
      </c>
      <c r="F54" s="2"/>
      <c r="H54" s="2"/>
      <c r="J54" s="2"/>
    </row>
    <row r="55" spans="1:10" ht="13.2" x14ac:dyDescent="0.25">
      <c r="A55" s="142">
        <v>43542.666666666664</v>
      </c>
      <c r="B55" s="146">
        <v>29.82</v>
      </c>
      <c r="C55" s="150">
        <f ca="1">IFERROR(__xludf.DUMMYFUNCTION("""COMPUTED_VALUE"""),56.73)</f>
        <v>56.73</v>
      </c>
      <c r="D55" s="150">
        <f ca="1">IFERROR(__xludf.DUMMYFUNCTION("""COMPUTED_VALUE"""),282.33)</f>
        <v>282.33</v>
      </c>
      <c r="F55" s="2"/>
      <c r="H55" s="2"/>
      <c r="J55" s="2"/>
    </row>
    <row r="56" spans="1:10" ht="13.2" x14ac:dyDescent="0.25">
      <c r="A56" s="142">
        <v>43543.666666666664</v>
      </c>
      <c r="B56" s="146">
        <v>29.65</v>
      </c>
      <c r="C56" s="150">
        <f ca="1">IFERROR(__xludf.DUMMYFUNCTION("""COMPUTED_VALUE"""),57.38)</f>
        <v>57.38</v>
      </c>
      <c r="D56" s="150">
        <f ca="1">IFERROR(__xludf.DUMMYFUNCTION("""COMPUTED_VALUE"""),282.4)</f>
        <v>282.39999999999998</v>
      </c>
      <c r="F56" s="2"/>
      <c r="H56" s="2"/>
      <c r="J56" s="2"/>
    </row>
    <row r="57" spans="1:10" ht="13.2" x14ac:dyDescent="0.25">
      <c r="A57" s="142">
        <v>43544.666666666664</v>
      </c>
      <c r="B57" s="146">
        <v>28.64</v>
      </c>
      <c r="C57" s="150">
        <f ca="1">IFERROR(__xludf.DUMMYFUNCTION("""COMPUTED_VALUE"""),58.48)</f>
        <v>58.48</v>
      </c>
      <c r="D57" s="150">
        <f ca="1">IFERROR(__xludf.DUMMYFUNCTION("""COMPUTED_VALUE"""),281.55)</f>
        <v>281.55</v>
      </c>
      <c r="F57" s="2"/>
      <c r="H57" s="2"/>
      <c r="J57" s="2"/>
    </row>
    <row r="58" spans="1:10" ht="13.2" x14ac:dyDescent="0.25">
      <c r="A58" s="142">
        <v>43545.666666666664</v>
      </c>
      <c r="B58" s="146">
        <v>28.18</v>
      </c>
      <c r="C58" s="150">
        <f ca="1">IFERROR(__xludf.DUMMYFUNCTION("""COMPUTED_VALUE"""),57.21)</f>
        <v>57.21</v>
      </c>
      <c r="D58" s="150">
        <f ca="1">IFERROR(__xludf.DUMMYFUNCTION("""COMPUTED_VALUE"""),284.73)</f>
        <v>284.73</v>
      </c>
      <c r="F58" s="2"/>
      <c r="H58" s="2"/>
      <c r="J58" s="2"/>
    </row>
    <row r="59" spans="1:10" ht="13.2" x14ac:dyDescent="0.25">
      <c r="A59" s="142">
        <v>43546.666666666664</v>
      </c>
      <c r="B59" s="146">
        <v>27.01</v>
      </c>
      <c r="C59" s="150">
        <f ca="1">IFERROR(__xludf.DUMMYFUNCTION("""COMPUTED_VALUE"""),56.03)</f>
        <v>56.03</v>
      </c>
      <c r="D59" s="150">
        <f ca="1">IFERROR(__xludf.DUMMYFUNCTION("""COMPUTED_VALUE"""),279.25)</f>
        <v>279.25</v>
      </c>
      <c r="F59" s="2"/>
      <c r="H59" s="2"/>
      <c r="J59" s="2"/>
    </row>
    <row r="60" spans="1:10" ht="13.2" x14ac:dyDescent="0.25">
      <c r="A60" s="142">
        <v>43549.666666666664</v>
      </c>
      <c r="B60" s="146">
        <v>26.84</v>
      </c>
      <c r="C60" s="150">
        <f ca="1">IFERROR(__xludf.DUMMYFUNCTION("""COMPUTED_VALUE"""),53.69)</f>
        <v>53.69</v>
      </c>
      <c r="D60" s="150">
        <f ca="1">IFERROR(__xludf.DUMMYFUNCTION("""COMPUTED_VALUE"""),279.04)</f>
        <v>279.04000000000002</v>
      </c>
      <c r="F60" s="2"/>
      <c r="H60" s="2"/>
      <c r="J60" s="2"/>
    </row>
    <row r="61" spans="1:10" ht="13.2" x14ac:dyDescent="0.25">
      <c r="A61" s="142">
        <v>43550.666666666664</v>
      </c>
      <c r="B61" s="146">
        <v>27.21</v>
      </c>
      <c r="C61" s="150">
        <f ca="1">IFERROR(__xludf.DUMMYFUNCTION("""COMPUTED_VALUE"""),53.67)</f>
        <v>53.67</v>
      </c>
      <c r="D61" s="150">
        <f ca="1">IFERROR(__xludf.DUMMYFUNCTION("""COMPUTED_VALUE"""),281.12)</f>
        <v>281.12</v>
      </c>
      <c r="F61" s="2"/>
      <c r="H61" s="2"/>
      <c r="J61" s="2"/>
    </row>
    <row r="62" spans="1:10" ht="13.2" x14ac:dyDescent="0.25">
      <c r="A62" s="142">
        <v>43551.666666666664</v>
      </c>
      <c r="B62" s="146">
        <v>27.03</v>
      </c>
      <c r="C62" s="150">
        <f ca="1">IFERROR(__xludf.DUMMYFUNCTION("""COMPUTED_VALUE"""),54.22)</f>
        <v>54.22</v>
      </c>
      <c r="D62" s="150">
        <f ca="1">IFERROR(__xludf.DUMMYFUNCTION("""COMPUTED_VALUE"""),279.65)</f>
        <v>279.64999999999998</v>
      </c>
      <c r="F62" s="2"/>
      <c r="H62" s="2"/>
      <c r="J62" s="2"/>
    </row>
    <row r="63" spans="1:10" ht="13.2" x14ac:dyDescent="0.25">
      <c r="A63" s="142">
        <v>43552.666666666664</v>
      </c>
      <c r="B63" s="146">
        <v>27.33</v>
      </c>
      <c r="C63" s="150">
        <f ca="1">IFERROR(__xludf.DUMMYFUNCTION("""COMPUTED_VALUE"""),54.19)</f>
        <v>54.19</v>
      </c>
      <c r="D63" s="150">
        <f ca="1">IFERROR(__xludf.DUMMYFUNCTION("""COMPUTED_VALUE"""),280.71)</f>
        <v>280.70999999999998</v>
      </c>
      <c r="F63" s="2"/>
      <c r="H63" s="2"/>
      <c r="J63" s="2"/>
    </row>
    <row r="64" spans="1:10" ht="13.2" x14ac:dyDescent="0.25">
      <c r="A64" s="142">
        <v>43553.666666666664</v>
      </c>
      <c r="B64" s="146">
        <v>27.59</v>
      </c>
      <c r="C64" s="150">
        <f ca="1">IFERROR(__xludf.DUMMYFUNCTION("""COMPUTED_VALUE"""),54.33)</f>
        <v>54.33</v>
      </c>
      <c r="D64" s="150">
        <f ca="1">IFERROR(__xludf.DUMMYFUNCTION("""COMPUTED_VALUE"""),282.48)</f>
        <v>282.48</v>
      </c>
      <c r="F64" s="2"/>
      <c r="H64" s="2"/>
      <c r="J64" s="2"/>
    </row>
    <row r="65" spans="1:10" ht="13.2" x14ac:dyDescent="0.25">
      <c r="A65" s="142">
        <v>43556.666666666664</v>
      </c>
      <c r="B65" s="146">
        <v>28.54</v>
      </c>
      <c r="C65" s="150">
        <f ca="1">IFERROR(__xludf.DUMMYFUNCTION("""COMPUTED_VALUE"""),55.43)</f>
        <v>55.43</v>
      </c>
      <c r="D65" s="150">
        <f ca="1">IFERROR(__xludf.DUMMYFUNCTION("""COMPUTED_VALUE"""),285.83)</f>
        <v>285.83</v>
      </c>
      <c r="F65" s="2"/>
      <c r="H65" s="2"/>
      <c r="J65" s="2"/>
    </row>
    <row r="66" spans="1:10" ht="13.2" x14ac:dyDescent="0.25">
      <c r="A66" s="142">
        <v>43557.666666666664</v>
      </c>
      <c r="B66" s="146">
        <v>28.87</v>
      </c>
      <c r="C66" s="150">
        <f ca="1">IFERROR(__xludf.DUMMYFUNCTION("""COMPUTED_VALUE"""),57.16)</f>
        <v>57.16</v>
      </c>
      <c r="D66" s="150">
        <f ca="1">IFERROR(__xludf.DUMMYFUNCTION("""COMPUTED_VALUE"""),285.97)</f>
        <v>285.97000000000003</v>
      </c>
      <c r="F66" s="2"/>
      <c r="H66" s="2"/>
      <c r="J66" s="2"/>
    </row>
    <row r="67" spans="1:10" ht="13.2" x14ac:dyDescent="0.25">
      <c r="A67" s="142">
        <v>43558.666666666664</v>
      </c>
      <c r="B67" s="146">
        <v>28.84</v>
      </c>
      <c r="C67" s="150">
        <f ca="1">IFERROR(__xludf.DUMMYFUNCTION("""COMPUTED_VALUE"""),57.81)</f>
        <v>57.81</v>
      </c>
      <c r="D67" s="150">
        <f ca="1">IFERROR(__xludf.DUMMYFUNCTION("""COMPUTED_VALUE"""),286.42)</f>
        <v>286.42</v>
      </c>
      <c r="F67" s="2"/>
      <c r="H67" s="2"/>
      <c r="J67" s="2"/>
    </row>
    <row r="68" spans="1:10" ht="13.2" x14ac:dyDescent="0.25">
      <c r="A68" s="142">
        <v>43559.666666666664</v>
      </c>
      <c r="B68" s="146">
        <v>29.15</v>
      </c>
      <c r="C68" s="150">
        <f ca="1">IFERROR(__xludf.DUMMYFUNCTION("""COMPUTED_VALUE"""),57.71)</f>
        <v>57.71</v>
      </c>
      <c r="D68" s="150">
        <f ca="1">IFERROR(__xludf.DUMMYFUNCTION("""COMPUTED_VALUE"""),287.18)</f>
        <v>287.18</v>
      </c>
      <c r="F68" s="2"/>
      <c r="H68" s="2"/>
      <c r="J68" s="2"/>
    </row>
    <row r="69" spans="1:10" ht="13.2" x14ac:dyDescent="0.25">
      <c r="A69" s="142">
        <v>43560.666666666664</v>
      </c>
      <c r="B69" s="146">
        <v>29.08</v>
      </c>
      <c r="C69" s="150">
        <f ca="1">IFERROR(__xludf.DUMMYFUNCTION("""COMPUTED_VALUE"""),58.8)</f>
        <v>58.8</v>
      </c>
      <c r="D69" s="150">
        <f ca="1">IFERROR(__xludf.DUMMYFUNCTION("""COMPUTED_VALUE"""),288.57)</f>
        <v>288.57</v>
      </c>
      <c r="F69" s="2"/>
      <c r="H69" s="2"/>
      <c r="J69" s="2"/>
    </row>
    <row r="70" spans="1:10" ht="13.2" x14ac:dyDescent="0.25">
      <c r="A70" s="142">
        <v>43563.666666666664</v>
      </c>
      <c r="B70" s="146">
        <v>29.17</v>
      </c>
      <c r="C70" s="150">
        <f ca="1">IFERROR(__xludf.DUMMYFUNCTION("""COMPUTED_VALUE"""),58.31)</f>
        <v>58.31</v>
      </c>
      <c r="D70" s="150">
        <f ca="1">IFERROR(__xludf.DUMMYFUNCTION("""COMPUTED_VALUE"""),288.79)</f>
        <v>288.79000000000002</v>
      </c>
      <c r="F70" s="2"/>
      <c r="H70" s="2"/>
      <c r="J70" s="2"/>
    </row>
    <row r="71" spans="1:10" ht="13.2" x14ac:dyDescent="0.25">
      <c r="A71" s="142">
        <v>43564.666666666664</v>
      </c>
      <c r="B71" s="146">
        <v>28.89</v>
      </c>
      <c r="C71" s="150">
        <f ca="1">IFERROR(__xludf.DUMMYFUNCTION("""COMPUTED_VALUE"""),58.21)</f>
        <v>58.21</v>
      </c>
      <c r="D71" s="150">
        <f ca="1">IFERROR(__xludf.DUMMYFUNCTION("""COMPUTED_VALUE"""),287.31)</f>
        <v>287.31</v>
      </c>
      <c r="F71" s="2"/>
      <c r="H71" s="2"/>
      <c r="J71" s="2"/>
    </row>
    <row r="72" spans="1:10" ht="13.2" x14ac:dyDescent="0.25">
      <c r="A72" s="142">
        <v>43565.666666666664</v>
      </c>
      <c r="B72" s="146">
        <v>29.07</v>
      </c>
      <c r="C72" s="150">
        <f ca="1">IFERROR(__xludf.DUMMYFUNCTION("""COMPUTED_VALUE"""),57.84)</f>
        <v>57.84</v>
      </c>
      <c r="D72" s="150">
        <f ca="1">IFERROR(__xludf.DUMMYFUNCTION("""COMPUTED_VALUE"""),288.29)</f>
        <v>288.29000000000002</v>
      </c>
      <c r="F72" s="2"/>
      <c r="H72" s="2"/>
      <c r="J72" s="2"/>
    </row>
    <row r="73" spans="1:10" ht="13.2" x14ac:dyDescent="0.25">
      <c r="A73" s="142">
        <v>43566.666666666664</v>
      </c>
      <c r="B73" s="146">
        <v>29.07</v>
      </c>
      <c r="C73" s="150">
        <f ca="1">IFERROR(__xludf.DUMMYFUNCTION("""COMPUTED_VALUE"""),57.84)</f>
        <v>57.84</v>
      </c>
      <c r="D73" s="150">
        <f ca="1">IFERROR(__xludf.DUMMYFUNCTION("""COMPUTED_VALUE"""),288.21)</f>
        <v>288.20999999999998</v>
      </c>
      <c r="F73" s="2"/>
      <c r="H73" s="2"/>
      <c r="J73" s="2"/>
    </row>
    <row r="74" spans="1:10" ht="13.2" x14ac:dyDescent="0.25">
      <c r="A74" s="142">
        <v>43567.666666666664</v>
      </c>
      <c r="B74" s="146">
        <v>30.17</v>
      </c>
      <c r="C74" s="150">
        <f ca="1">IFERROR(__xludf.DUMMYFUNCTION("""COMPUTED_VALUE"""),58.25)</f>
        <v>58.25</v>
      </c>
      <c r="D74" s="150">
        <f ca="1">IFERROR(__xludf.DUMMYFUNCTION("""COMPUTED_VALUE"""),290.16)</f>
        <v>290.16000000000003</v>
      </c>
      <c r="F74" s="2"/>
      <c r="H74" s="2"/>
      <c r="J74" s="2"/>
    </row>
    <row r="75" spans="1:10" ht="13.2" x14ac:dyDescent="0.25">
      <c r="A75" s="142">
        <v>43570.666666666664</v>
      </c>
      <c r="B75" s="146">
        <v>29.84</v>
      </c>
      <c r="C75" s="150">
        <f ca="1">IFERROR(__xludf.DUMMYFUNCTION("""COMPUTED_VALUE"""),59.38)</f>
        <v>59.38</v>
      </c>
      <c r="D75" s="150">
        <f ca="1">IFERROR(__xludf.DUMMYFUNCTION("""COMPUTED_VALUE"""),289.97)</f>
        <v>289.97000000000003</v>
      </c>
      <c r="F75" s="2"/>
      <c r="H75" s="2"/>
      <c r="J75" s="2"/>
    </row>
    <row r="76" spans="1:10" ht="13.2" x14ac:dyDescent="0.25">
      <c r="A76" s="142">
        <v>43571.666666666664</v>
      </c>
      <c r="B76" s="146">
        <v>29.88</v>
      </c>
      <c r="C76" s="150">
        <f ca="1">IFERROR(__xludf.DUMMYFUNCTION("""COMPUTED_VALUE"""),59.37)</f>
        <v>59.37</v>
      </c>
      <c r="D76" s="150">
        <f ca="1">IFERROR(__xludf.DUMMYFUNCTION("""COMPUTED_VALUE"""),290.16)</f>
        <v>290.16000000000003</v>
      </c>
      <c r="F76" s="2"/>
      <c r="H76" s="2"/>
      <c r="J76" s="2"/>
    </row>
    <row r="77" spans="1:10" ht="13.2" x14ac:dyDescent="0.25">
      <c r="A77" s="142">
        <v>43572.666666666664</v>
      </c>
      <c r="B77" s="146">
        <v>30.03</v>
      </c>
      <c r="C77" s="150">
        <f ca="1">IFERROR(__xludf.DUMMYFUNCTION("""COMPUTED_VALUE"""),60.65)</f>
        <v>60.65</v>
      </c>
      <c r="D77" s="150">
        <f ca="1">IFERROR(__xludf.DUMMYFUNCTION("""COMPUTED_VALUE"""),289.45)</f>
        <v>289.45</v>
      </c>
      <c r="F77" s="2"/>
      <c r="H77" s="2"/>
      <c r="J77" s="2"/>
    </row>
    <row r="78" spans="1:10" ht="13.2" x14ac:dyDescent="0.25">
      <c r="A78" s="142">
        <v>43573.666666666664</v>
      </c>
      <c r="B78" s="146">
        <v>30.03</v>
      </c>
      <c r="C78" s="150">
        <f ca="1">IFERROR(__xludf.DUMMYFUNCTION("""COMPUTED_VALUE"""),61.72)</f>
        <v>61.72</v>
      </c>
      <c r="D78" s="150">
        <f ca="1">IFERROR(__xludf.DUMMYFUNCTION("""COMPUTED_VALUE"""),290.02)</f>
        <v>290.02</v>
      </c>
      <c r="F78" s="2"/>
      <c r="H78" s="2"/>
      <c r="J78" s="2"/>
    </row>
    <row r="79" spans="1:10" ht="13.2" x14ac:dyDescent="0.25">
      <c r="A79" s="142">
        <v>43577.666666666664</v>
      </c>
      <c r="B79" s="146">
        <v>30.05</v>
      </c>
      <c r="C79" s="150">
        <f ca="1">IFERROR(__xludf.DUMMYFUNCTION("""COMPUTED_VALUE"""),62.23)</f>
        <v>62.23</v>
      </c>
      <c r="D79" s="150">
        <f ca="1">IFERROR(__xludf.DUMMYFUNCTION("""COMPUTED_VALUE"""),290.27)</f>
        <v>290.27</v>
      </c>
      <c r="F79" s="2"/>
      <c r="H79" s="2"/>
      <c r="J79" s="2"/>
    </row>
    <row r="80" spans="1:10" ht="13.2" x14ac:dyDescent="0.25">
      <c r="A80" s="142">
        <v>43578.666666666664</v>
      </c>
      <c r="B80" s="146">
        <v>30.07</v>
      </c>
      <c r="C80" s="150">
        <f ca="1">IFERROR(__xludf.DUMMYFUNCTION("""COMPUTED_VALUE"""),61.52)</f>
        <v>61.52</v>
      </c>
      <c r="D80" s="150">
        <f ca="1">IFERROR(__xludf.DUMMYFUNCTION("""COMPUTED_VALUE"""),292.88)</f>
        <v>292.88</v>
      </c>
      <c r="F80" s="2"/>
      <c r="H80" s="2"/>
      <c r="J80" s="2"/>
    </row>
    <row r="81" spans="1:10" ht="13.2" x14ac:dyDescent="0.25">
      <c r="A81" s="142">
        <v>43579.666666666664</v>
      </c>
      <c r="B81" s="146">
        <v>30.02</v>
      </c>
      <c r="C81" s="150">
        <f ca="1">IFERROR(__xludf.DUMMYFUNCTION("""COMPUTED_VALUE"""),61.65)</f>
        <v>61.65</v>
      </c>
      <c r="D81" s="150">
        <f ca="1">IFERROR(__xludf.DUMMYFUNCTION("""COMPUTED_VALUE"""),292.23)</f>
        <v>292.23</v>
      </c>
      <c r="F81" s="2"/>
      <c r="H81" s="2"/>
      <c r="J81" s="2"/>
    </row>
    <row r="82" spans="1:10" ht="13.2" x14ac:dyDescent="0.25">
      <c r="A82" s="142">
        <v>43580.666666666664</v>
      </c>
      <c r="B82" s="146">
        <v>30.08</v>
      </c>
      <c r="C82" s="150">
        <f ca="1">IFERROR(__xludf.DUMMYFUNCTION("""COMPUTED_VALUE"""),61.9)</f>
        <v>61.9</v>
      </c>
      <c r="D82" s="150">
        <f ca="1">IFERROR(__xludf.DUMMYFUNCTION("""COMPUTED_VALUE"""),292.05)</f>
        <v>292.05</v>
      </c>
      <c r="F82" s="2"/>
      <c r="H82" s="2"/>
      <c r="J82" s="2"/>
    </row>
    <row r="83" spans="1:10" ht="13.2" x14ac:dyDescent="0.25">
      <c r="A83" s="142">
        <v>43581.666666666664</v>
      </c>
      <c r="B83" s="146">
        <v>30.35</v>
      </c>
      <c r="C83" s="150">
        <f ca="1">IFERROR(__xludf.DUMMYFUNCTION("""COMPUTED_VALUE"""),61.94)</f>
        <v>61.94</v>
      </c>
      <c r="D83" s="150">
        <f ca="1">IFERROR(__xludf.DUMMYFUNCTION("""COMPUTED_VALUE"""),293.41)</f>
        <v>293.41000000000003</v>
      </c>
      <c r="F83" s="2"/>
      <c r="H83" s="2"/>
      <c r="J83" s="2"/>
    </row>
    <row r="84" spans="1:10" ht="13.2" x14ac:dyDescent="0.25">
      <c r="A84" s="142">
        <v>43584.666666666664</v>
      </c>
      <c r="B84" s="146">
        <v>30.77</v>
      </c>
      <c r="C84" s="150">
        <f ca="1">IFERROR(__xludf.DUMMYFUNCTION("""COMPUTED_VALUE"""),63.62)</f>
        <v>63.62</v>
      </c>
      <c r="D84" s="150">
        <f ca="1">IFERROR(__xludf.DUMMYFUNCTION("""COMPUTED_VALUE"""),293.87)</f>
        <v>293.87</v>
      </c>
      <c r="F84" s="2"/>
      <c r="H84" s="2"/>
      <c r="J84" s="2"/>
    </row>
    <row r="85" spans="1:10" ht="13.2" x14ac:dyDescent="0.25">
      <c r="A85" s="142">
        <v>43585.666666666664</v>
      </c>
      <c r="B85" s="146">
        <v>30.58</v>
      </c>
      <c r="C85" s="150">
        <f ca="1">IFERROR(__xludf.DUMMYFUNCTION("""COMPUTED_VALUE"""),62.96)</f>
        <v>62.96</v>
      </c>
      <c r="D85" s="150">
        <f ca="1">IFERROR(__xludf.DUMMYFUNCTION("""COMPUTED_VALUE"""),294.02)</f>
        <v>294.02</v>
      </c>
      <c r="F85" s="2"/>
      <c r="H85" s="2"/>
      <c r="J85" s="2"/>
    </row>
    <row r="86" spans="1:10" ht="13.2" x14ac:dyDescent="0.25">
      <c r="A86" s="142">
        <v>43586.666666666664</v>
      </c>
      <c r="B86" s="146">
        <v>30.26</v>
      </c>
      <c r="C86" s="150">
        <f ca="1">IFERROR(__xludf.DUMMYFUNCTION("""COMPUTED_VALUE"""),62.52)</f>
        <v>62.52</v>
      </c>
      <c r="D86" s="150">
        <f ca="1">IFERROR(__xludf.DUMMYFUNCTION("""COMPUTED_VALUE"""),291.81)</f>
        <v>291.81</v>
      </c>
      <c r="F86" s="2"/>
      <c r="H86" s="2"/>
      <c r="J86" s="2"/>
    </row>
    <row r="87" spans="1:10" ht="13.2" x14ac:dyDescent="0.25">
      <c r="A87" s="142">
        <v>43587.666666666664</v>
      </c>
      <c r="B87" s="146">
        <v>30.5</v>
      </c>
      <c r="C87" s="150">
        <f ca="1">IFERROR(__xludf.DUMMYFUNCTION("""COMPUTED_VALUE"""),63.07)</f>
        <v>63.07</v>
      </c>
      <c r="D87" s="150">
        <f ca="1">IFERROR(__xludf.DUMMYFUNCTION("""COMPUTED_VALUE"""),291.18)</f>
        <v>291.18</v>
      </c>
      <c r="F87" s="2"/>
      <c r="H87" s="2"/>
      <c r="J87" s="2"/>
    </row>
    <row r="88" spans="1:10" ht="13.2" x14ac:dyDescent="0.25">
      <c r="A88" s="142">
        <v>43588.666666666664</v>
      </c>
      <c r="B88" s="146">
        <v>30.71</v>
      </c>
      <c r="C88" s="150">
        <f ca="1">IFERROR(__xludf.DUMMYFUNCTION("""COMPUTED_VALUE"""),62.84)</f>
        <v>62.84</v>
      </c>
      <c r="D88" s="150">
        <f ca="1">IFERROR(__xludf.DUMMYFUNCTION("""COMPUTED_VALUE"""),294.03)</f>
        <v>294.02999999999997</v>
      </c>
      <c r="F88" s="2"/>
      <c r="H88" s="2"/>
      <c r="J88" s="2"/>
    </row>
    <row r="89" spans="1:10" ht="13.2" x14ac:dyDescent="0.25">
      <c r="A89" s="142">
        <v>43591.666666666664</v>
      </c>
      <c r="B89" s="146">
        <v>30.47</v>
      </c>
      <c r="C89" s="150">
        <f ca="1">IFERROR(__xludf.DUMMYFUNCTION("""COMPUTED_VALUE"""),61.34)</f>
        <v>61.34</v>
      </c>
      <c r="D89" s="150">
        <f ca="1">IFERROR(__xludf.DUMMYFUNCTION("""COMPUTED_VALUE"""),292.82)</f>
        <v>292.82</v>
      </c>
      <c r="F89" s="2"/>
      <c r="H89" s="2"/>
      <c r="J89" s="2"/>
    </row>
    <row r="90" spans="1:10" ht="13.2" x14ac:dyDescent="0.25">
      <c r="A90" s="142">
        <v>43592.666666666664</v>
      </c>
      <c r="B90" s="146">
        <v>29.92</v>
      </c>
      <c r="C90" s="150">
        <f ca="1">IFERROR(__xludf.DUMMYFUNCTION("""COMPUTED_VALUE"""),61.16)</f>
        <v>61.16</v>
      </c>
      <c r="D90" s="150">
        <f ca="1">IFERROR(__xludf.DUMMYFUNCTION("""COMPUTED_VALUE"""),287.93)</f>
        <v>287.93</v>
      </c>
      <c r="F90" s="2"/>
      <c r="H90" s="2"/>
      <c r="J90" s="2"/>
    </row>
    <row r="91" spans="1:10" ht="13.2" x14ac:dyDescent="0.25">
      <c r="A91" s="142">
        <v>43593.666666666664</v>
      </c>
      <c r="B91" s="146">
        <v>29.8</v>
      </c>
      <c r="C91" s="150">
        <f ca="1">IFERROR(__xludf.DUMMYFUNCTION("""COMPUTED_VALUE"""),59.42)</f>
        <v>59.42</v>
      </c>
      <c r="D91" s="150">
        <f ca="1">IFERROR(__xludf.DUMMYFUNCTION("""COMPUTED_VALUE"""),287.53)</f>
        <v>287.52999999999997</v>
      </c>
      <c r="F91" s="2"/>
      <c r="H91" s="2"/>
      <c r="J91" s="2"/>
    </row>
    <row r="92" spans="1:10" ht="13.2" x14ac:dyDescent="0.25">
      <c r="A92" s="142">
        <v>43594.666666666664</v>
      </c>
      <c r="B92" s="146">
        <v>29.71</v>
      </c>
      <c r="C92" s="150">
        <f ca="1">IFERROR(__xludf.DUMMYFUNCTION("""COMPUTED_VALUE"""),59.52)</f>
        <v>59.52</v>
      </c>
      <c r="D92" s="150">
        <f ca="1">IFERROR(__xludf.DUMMYFUNCTION("""COMPUTED_VALUE"""),286.66)</f>
        <v>286.66000000000003</v>
      </c>
      <c r="F92" s="2"/>
      <c r="H92" s="2"/>
      <c r="J92" s="2"/>
    </row>
    <row r="93" spans="1:10" ht="13.2" x14ac:dyDescent="0.25">
      <c r="A93" s="142">
        <v>43595.666666666664</v>
      </c>
      <c r="B93" s="146">
        <v>29.58</v>
      </c>
      <c r="C93" s="150">
        <f ca="1">IFERROR(__xludf.DUMMYFUNCTION("""COMPUTED_VALUE"""),57.74)</f>
        <v>57.74</v>
      </c>
      <c r="D93" s="150">
        <f ca="1">IFERROR(__xludf.DUMMYFUNCTION("""COMPUTED_VALUE"""),288.1)</f>
        <v>288.10000000000002</v>
      </c>
      <c r="F93" s="2"/>
      <c r="H93" s="2"/>
      <c r="J93" s="2"/>
    </row>
    <row r="94" spans="1:10" ht="13.2" x14ac:dyDescent="0.25">
      <c r="A94" s="142">
        <v>43598.666666666664</v>
      </c>
      <c r="B94" s="146">
        <v>28.25</v>
      </c>
      <c r="C94" s="150">
        <f ca="1">IFERROR(__xludf.DUMMYFUNCTION("""COMPUTED_VALUE"""),58.58)</f>
        <v>58.58</v>
      </c>
      <c r="D94" s="150">
        <f ca="1">IFERROR(__xludf.DUMMYFUNCTION("""COMPUTED_VALUE"""),280.86)</f>
        <v>280.86</v>
      </c>
      <c r="F94" s="2"/>
      <c r="H94" s="2"/>
      <c r="J94" s="2"/>
    </row>
    <row r="95" spans="1:10" ht="13.2" x14ac:dyDescent="0.25">
      <c r="A95" s="142">
        <v>43599.666666666664</v>
      </c>
      <c r="B95" s="146">
        <v>28.62</v>
      </c>
      <c r="C95" s="150">
        <f ca="1">IFERROR(__xludf.DUMMYFUNCTION("""COMPUTED_VALUE"""),57.93)</f>
        <v>57.93</v>
      </c>
      <c r="D95" s="150">
        <f ca="1">IFERROR(__xludf.DUMMYFUNCTION("""COMPUTED_VALUE"""),283.4)</f>
        <v>283.39999999999998</v>
      </c>
      <c r="F95" s="2"/>
      <c r="H95" s="2"/>
      <c r="J95" s="2"/>
    </row>
    <row r="96" spans="1:10" ht="13.2" x14ac:dyDescent="0.25">
      <c r="A96" s="142">
        <v>43600.666666666664</v>
      </c>
      <c r="B96" s="146">
        <v>28.29</v>
      </c>
      <c r="C96" s="150">
        <f ca="1">IFERROR(__xludf.DUMMYFUNCTION("""COMPUTED_VALUE"""),59.03)</f>
        <v>59.03</v>
      </c>
      <c r="D96" s="150">
        <f ca="1">IFERROR(__xludf.DUMMYFUNCTION("""COMPUTED_VALUE"""),285.06)</f>
        <v>285.06</v>
      </c>
      <c r="F96" s="2"/>
      <c r="H96" s="2"/>
      <c r="J96" s="2"/>
    </row>
    <row r="97" spans="1:10" ht="13.2" x14ac:dyDescent="0.25">
      <c r="A97" s="142">
        <v>43601.666666666664</v>
      </c>
      <c r="B97" s="146">
        <v>28.59</v>
      </c>
      <c r="C97" s="150">
        <f ca="1">IFERROR(__xludf.DUMMYFUNCTION("""COMPUTED_VALUE"""),58.78)</f>
        <v>58.78</v>
      </c>
      <c r="D97" s="150">
        <f ca="1">IFERROR(__xludf.DUMMYFUNCTION("""COMPUTED_VALUE"""),287.7)</f>
        <v>287.7</v>
      </c>
      <c r="F97" s="2"/>
      <c r="H97" s="2"/>
      <c r="J97" s="2"/>
    </row>
    <row r="98" spans="1:10" ht="13.2" x14ac:dyDescent="0.25">
      <c r="A98" s="142">
        <v>43602.666666666664</v>
      </c>
      <c r="B98" s="146">
        <v>28.4</v>
      </c>
      <c r="C98" s="150">
        <f ca="1">IFERROR(__xludf.DUMMYFUNCTION("""COMPUTED_VALUE"""),58.19)</f>
        <v>58.19</v>
      </c>
      <c r="D98" s="150">
        <f ca="1">IFERROR(__xludf.DUMMYFUNCTION("""COMPUTED_VALUE"""),285.84)</f>
        <v>285.83999999999997</v>
      </c>
      <c r="F98" s="2"/>
      <c r="H98" s="2"/>
      <c r="J98" s="2"/>
    </row>
    <row r="99" spans="1:10" ht="13.2" x14ac:dyDescent="0.25">
      <c r="A99" s="142">
        <v>43605.666666666664</v>
      </c>
      <c r="B99" s="146">
        <v>28.4</v>
      </c>
      <c r="C99" s="150">
        <f ca="1">IFERROR(__xludf.DUMMYFUNCTION("""COMPUTED_VALUE"""),58.96)</f>
        <v>58.96</v>
      </c>
      <c r="D99" s="150">
        <f ca="1">IFERROR(__xludf.DUMMYFUNCTION("""COMPUTED_VALUE"""),283.95)</f>
        <v>283.95</v>
      </c>
      <c r="F99" s="2"/>
      <c r="H99" s="2"/>
      <c r="J99" s="2"/>
    </row>
    <row r="100" spans="1:10" ht="13.2" x14ac:dyDescent="0.25">
      <c r="A100" s="142">
        <v>43606.666666666664</v>
      </c>
      <c r="B100" s="146">
        <v>28.69</v>
      </c>
      <c r="C100" s="150">
        <f ca="1">IFERROR(__xludf.DUMMYFUNCTION("""COMPUTED_VALUE"""),58.43)</f>
        <v>58.43</v>
      </c>
      <c r="D100" s="150">
        <f ca="1">IFERROR(__xludf.DUMMYFUNCTION("""COMPUTED_VALUE"""),286.51)</f>
        <v>286.51</v>
      </c>
      <c r="F100" s="2"/>
      <c r="H100" s="2"/>
      <c r="J100" s="2"/>
    </row>
    <row r="101" spans="1:10" ht="13.2" x14ac:dyDescent="0.25">
      <c r="A101" s="142">
        <v>43607.666666666664</v>
      </c>
      <c r="B101" s="146">
        <v>28.49</v>
      </c>
      <c r="C101" s="150">
        <f ca="1">IFERROR(__xludf.DUMMYFUNCTION("""COMPUTED_VALUE"""),56.91)</f>
        <v>56.91</v>
      </c>
      <c r="D101" s="150">
        <f ca="1">IFERROR(__xludf.DUMMYFUNCTION("""COMPUTED_VALUE"""),285.63)</f>
        <v>285.63</v>
      </c>
      <c r="F101" s="2"/>
      <c r="H101" s="2"/>
      <c r="J101" s="2"/>
    </row>
    <row r="102" spans="1:10" ht="13.2" x14ac:dyDescent="0.25">
      <c r="A102" s="142">
        <v>43608.666666666664</v>
      </c>
      <c r="B102" s="146">
        <v>27.76</v>
      </c>
      <c r="C102" s="150">
        <f ca="1">IFERROR(__xludf.DUMMYFUNCTION("""COMPUTED_VALUE"""),57.42)</f>
        <v>57.42</v>
      </c>
      <c r="D102" s="150">
        <f ca="1">IFERROR(__xludf.DUMMYFUNCTION("""COMPUTED_VALUE"""),282.14)</f>
        <v>282.14</v>
      </c>
      <c r="F102" s="2"/>
      <c r="H102" s="2"/>
      <c r="J102" s="2"/>
    </row>
    <row r="103" spans="1:10" ht="13.2" x14ac:dyDescent="0.25">
      <c r="A103" s="142">
        <v>43609.666666666664</v>
      </c>
      <c r="B103" s="146">
        <v>28.18</v>
      </c>
      <c r="C103" s="150">
        <f ca="1">IFERROR(__xludf.DUMMYFUNCTION("""COMPUTED_VALUE"""),57.45)</f>
        <v>57.45</v>
      </c>
      <c r="D103" s="150">
        <f ca="1">IFERROR(__xludf.DUMMYFUNCTION("""COMPUTED_VALUE"""),282.78)</f>
        <v>282.77999999999997</v>
      </c>
      <c r="F103" s="2"/>
      <c r="H103" s="2"/>
      <c r="J103" s="2"/>
    </row>
    <row r="104" spans="1:10" ht="13.2" x14ac:dyDescent="0.25">
      <c r="A104" s="142">
        <v>43613.666666666664</v>
      </c>
      <c r="B104" s="146">
        <v>27.9</v>
      </c>
      <c r="C104" s="150">
        <f ca="1">IFERROR(__xludf.DUMMYFUNCTION("""COMPUTED_VALUE"""),57.36)</f>
        <v>57.36</v>
      </c>
      <c r="D104" s="150">
        <f ca="1">IFERROR(__xludf.DUMMYFUNCTION("""COMPUTED_VALUE"""),280.15)</f>
        <v>280.14999999999998</v>
      </c>
      <c r="F104" s="2"/>
      <c r="H104" s="2"/>
      <c r="J104" s="2"/>
    </row>
    <row r="105" spans="1:10" ht="13.2" x14ac:dyDescent="0.25">
      <c r="A105" s="142">
        <v>43614.666666666664</v>
      </c>
      <c r="B105" s="146">
        <v>27.75</v>
      </c>
      <c r="C105" s="150">
        <f ca="1">IFERROR(__xludf.DUMMYFUNCTION("""COMPUTED_VALUE"""),56.61)</f>
        <v>56.61</v>
      </c>
      <c r="D105" s="150">
        <f ca="1">IFERROR(__xludf.DUMMYFUNCTION("""COMPUTED_VALUE"""),278.27)</f>
        <v>278.27</v>
      </c>
      <c r="F105" s="2"/>
      <c r="H105" s="2"/>
      <c r="J105" s="2"/>
    </row>
    <row r="106" spans="1:10" ht="13.2" x14ac:dyDescent="0.25">
      <c r="A106" s="142">
        <v>43615.666666666664</v>
      </c>
      <c r="B106" s="146">
        <v>27.16</v>
      </c>
      <c r="C106" s="150">
        <f ca="1">IFERROR(__xludf.DUMMYFUNCTION("""COMPUTED_VALUE"""),57.53)</f>
        <v>57.53</v>
      </c>
      <c r="D106" s="150">
        <f ca="1">IFERROR(__xludf.DUMMYFUNCTION("""COMPUTED_VALUE"""),279.03)</f>
        <v>279.02999999999997</v>
      </c>
      <c r="F106" s="2"/>
      <c r="H106" s="2"/>
      <c r="J106" s="2"/>
    </row>
    <row r="107" spans="1:10" ht="13.2" x14ac:dyDescent="0.25">
      <c r="A107" s="142">
        <v>43616.666666666664</v>
      </c>
      <c r="B107" s="146">
        <v>26.6</v>
      </c>
      <c r="C107" s="150">
        <f ca="1">IFERROR(__xludf.DUMMYFUNCTION("""COMPUTED_VALUE"""),56.26)</f>
        <v>56.26</v>
      </c>
      <c r="D107" s="150">
        <f ca="1">IFERROR(__xludf.DUMMYFUNCTION("""COMPUTED_VALUE"""),275.27)</f>
        <v>275.27</v>
      </c>
      <c r="F107" s="2"/>
      <c r="H107" s="2"/>
      <c r="J107" s="2"/>
    </row>
    <row r="108" spans="1:10" ht="13.2" x14ac:dyDescent="0.25">
      <c r="A108" s="142">
        <v>43619.666666666664</v>
      </c>
      <c r="B108" s="146">
        <v>26.68</v>
      </c>
      <c r="C108" s="150">
        <f ca="1">IFERROR(__xludf.DUMMYFUNCTION("""COMPUTED_VALUE"""),55.85)</f>
        <v>55.85</v>
      </c>
      <c r="D108" s="150">
        <f ca="1">IFERROR(__xludf.DUMMYFUNCTION("""COMPUTED_VALUE"""),274.57)</f>
        <v>274.57</v>
      </c>
      <c r="F108" s="2"/>
      <c r="H108" s="2"/>
      <c r="J108" s="2"/>
    </row>
    <row r="109" spans="1:10" ht="13.2" x14ac:dyDescent="0.25">
      <c r="A109" s="142">
        <v>43620.666666666664</v>
      </c>
      <c r="B109" s="146">
        <v>27.92</v>
      </c>
      <c r="C109" s="150">
        <f ca="1">IFERROR(__xludf.DUMMYFUNCTION("""COMPUTED_VALUE"""),58.29)</f>
        <v>58.29</v>
      </c>
      <c r="D109" s="150">
        <f ca="1">IFERROR(__xludf.DUMMYFUNCTION("""COMPUTED_VALUE"""),280.53)</f>
        <v>280.52999999999997</v>
      </c>
      <c r="F109" s="2"/>
      <c r="H109" s="2"/>
      <c r="J109" s="2"/>
    </row>
    <row r="110" spans="1:10" ht="13.2" x14ac:dyDescent="0.25">
      <c r="A110" s="142">
        <v>43621.666666666664</v>
      </c>
      <c r="B110" s="146">
        <v>27.91</v>
      </c>
      <c r="C110" s="150">
        <f ca="1">IFERROR(__xludf.DUMMYFUNCTION("""COMPUTED_VALUE"""),58.03)</f>
        <v>58.03</v>
      </c>
      <c r="D110" s="150">
        <f ca="1">IFERROR(__xludf.DUMMYFUNCTION("""COMPUTED_VALUE"""),282.96)</f>
        <v>282.95999999999998</v>
      </c>
      <c r="F110" s="2"/>
      <c r="H110" s="2"/>
      <c r="J110" s="2"/>
    </row>
    <row r="111" spans="1:10" ht="13.2" x14ac:dyDescent="0.25">
      <c r="A111" s="142">
        <v>43622.666666666664</v>
      </c>
      <c r="B111" s="146">
        <v>27.88</v>
      </c>
      <c r="C111" s="150">
        <f ca="1">IFERROR(__xludf.DUMMYFUNCTION("""COMPUTED_VALUE"""),58.49)</f>
        <v>58.49</v>
      </c>
      <c r="D111" s="150">
        <f ca="1">IFERROR(__xludf.DUMMYFUNCTION("""COMPUTED_VALUE"""),284.8)</f>
        <v>284.8</v>
      </c>
      <c r="F111" s="2"/>
      <c r="H111" s="2"/>
      <c r="J111" s="2"/>
    </row>
    <row r="112" spans="1:10" ht="13.2" x14ac:dyDescent="0.25">
      <c r="A112" s="142">
        <v>43623.666666666664</v>
      </c>
      <c r="B112" s="146">
        <v>27.53</v>
      </c>
      <c r="C112" s="150">
        <f ca="1">IFERROR(__xludf.DUMMYFUNCTION("""COMPUTED_VALUE"""),58.07)</f>
        <v>58.07</v>
      </c>
      <c r="D112" s="150">
        <f ca="1">IFERROR(__xludf.DUMMYFUNCTION("""COMPUTED_VALUE"""),287.65)</f>
        <v>287.64999999999998</v>
      </c>
      <c r="F112" s="2"/>
      <c r="H112" s="2"/>
      <c r="J112" s="2"/>
    </row>
    <row r="113" spans="1:10" ht="13.2" x14ac:dyDescent="0.25">
      <c r="A113" s="142">
        <v>43626.666666666664</v>
      </c>
      <c r="B113" s="146">
        <v>28.07</v>
      </c>
      <c r="C113" s="150">
        <f ca="1">IFERROR(__xludf.DUMMYFUNCTION("""COMPUTED_VALUE"""),59.95)</f>
        <v>59.95</v>
      </c>
      <c r="D113" s="150">
        <f ca="1">IFERROR(__xludf.DUMMYFUNCTION("""COMPUTED_VALUE"""),288.97)</f>
        <v>288.97000000000003</v>
      </c>
      <c r="F113" s="2"/>
      <c r="H113" s="2"/>
      <c r="J113" s="2"/>
    </row>
    <row r="114" spans="1:10" ht="13.2" x14ac:dyDescent="0.25">
      <c r="A114" s="142">
        <v>43627.666666666664</v>
      </c>
      <c r="B114" s="146">
        <v>28.24</v>
      </c>
      <c r="C114" s="150">
        <f ca="1">IFERROR(__xludf.DUMMYFUNCTION("""COMPUTED_VALUE"""),59.59)</f>
        <v>59.59</v>
      </c>
      <c r="D114" s="150">
        <f ca="1">IFERROR(__xludf.DUMMYFUNCTION("""COMPUTED_VALUE"""),288.9)</f>
        <v>288.89999999999998</v>
      </c>
      <c r="F114" s="2"/>
      <c r="H114" s="2"/>
      <c r="J114" s="2"/>
    </row>
    <row r="115" spans="1:10" ht="13.2" x14ac:dyDescent="0.25">
      <c r="A115" s="142">
        <v>43628.666666666664</v>
      </c>
      <c r="B115" s="146">
        <v>27.95</v>
      </c>
      <c r="C115" s="150">
        <f ca="1">IFERROR(__xludf.DUMMYFUNCTION("""COMPUTED_VALUE"""),59.63)</f>
        <v>59.63</v>
      </c>
      <c r="D115" s="150">
        <f ca="1">IFERROR(__xludf.DUMMYFUNCTION("""COMPUTED_VALUE"""),288.39)</f>
        <v>288.39</v>
      </c>
      <c r="F115" s="2"/>
      <c r="H115" s="2"/>
      <c r="J115" s="2"/>
    </row>
    <row r="116" spans="1:10" ht="13.2" x14ac:dyDescent="0.25">
      <c r="A116" s="142">
        <v>43629.666666666664</v>
      </c>
      <c r="B116" s="146">
        <v>27.94</v>
      </c>
      <c r="C116" s="150">
        <f ca="1">IFERROR(__xludf.DUMMYFUNCTION("""COMPUTED_VALUE"""),59.63)</f>
        <v>59.63</v>
      </c>
      <c r="D116" s="150">
        <f ca="1">IFERROR(__xludf.DUMMYFUNCTION("""COMPUTED_VALUE"""),289.58)</f>
        <v>289.58</v>
      </c>
      <c r="F116" s="2"/>
      <c r="H116" s="2"/>
      <c r="J116" s="2"/>
    </row>
    <row r="117" spans="1:10" ht="13.2" x14ac:dyDescent="0.25">
      <c r="A117" s="142">
        <v>43630.666666666664</v>
      </c>
      <c r="B117" s="146">
        <v>28.04</v>
      </c>
      <c r="C117" s="150">
        <f ca="1">IFERROR(__xludf.DUMMYFUNCTION("""COMPUTED_VALUE"""),59.83)</f>
        <v>59.83</v>
      </c>
      <c r="D117" s="150">
        <f ca="1">IFERROR(__xludf.DUMMYFUNCTION("""COMPUTED_VALUE"""),289.26)</f>
        <v>289.26</v>
      </c>
      <c r="F117" s="2"/>
      <c r="H117" s="2"/>
      <c r="J117" s="2"/>
    </row>
    <row r="118" spans="1:10" ht="13.2" x14ac:dyDescent="0.25">
      <c r="A118" s="142">
        <v>43633.666666666664</v>
      </c>
      <c r="B118" s="146">
        <v>27.93</v>
      </c>
      <c r="C118" s="150">
        <f ca="1">IFERROR(__xludf.DUMMYFUNCTION("""COMPUTED_VALUE"""),60.71)</f>
        <v>60.71</v>
      </c>
      <c r="D118" s="150">
        <f ca="1">IFERROR(__xludf.DUMMYFUNCTION("""COMPUTED_VALUE"""),289.37)</f>
        <v>289.37</v>
      </c>
      <c r="F118" s="2"/>
      <c r="H118" s="2"/>
      <c r="J118" s="2"/>
    </row>
    <row r="119" spans="1:10" ht="13.2" x14ac:dyDescent="0.25">
      <c r="A119" s="142">
        <v>43634.666666666664</v>
      </c>
      <c r="B119" s="146">
        <v>28.62</v>
      </c>
      <c r="C119" s="150">
        <f ca="1">IFERROR(__xludf.DUMMYFUNCTION("""COMPUTED_VALUE"""),60.71)</f>
        <v>60.71</v>
      </c>
      <c r="D119" s="150">
        <f ca="1">IFERROR(__xludf.DUMMYFUNCTION("""COMPUTED_VALUE"""),292.4)</f>
        <v>292.39999999999998</v>
      </c>
      <c r="F119" s="2"/>
      <c r="H119" s="2"/>
      <c r="J119" s="2"/>
    </row>
    <row r="120" spans="1:10" ht="13.2" x14ac:dyDescent="0.25">
      <c r="A120" s="142">
        <v>43635.666666666664</v>
      </c>
      <c r="B120" s="146">
        <v>28.32</v>
      </c>
      <c r="C120" s="150">
        <f ca="1">IFERROR(__xludf.DUMMYFUNCTION("""COMPUTED_VALUE"""),59.87)</f>
        <v>59.87</v>
      </c>
      <c r="D120" s="150">
        <f ca="1">IFERROR(__xludf.DUMMYFUNCTION("""COMPUTED_VALUE"""),293.06)</f>
        <v>293.06</v>
      </c>
      <c r="F120" s="2"/>
      <c r="H120" s="2"/>
      <c r="J120" s="2"/>
    </row>
    <row r="121" spans="1:10" ht="13.2" x14ac:dyDescent="0.25">
      <c r="A121" s="142">
        <v>43636.666666666664</v>
      </c>
      <c r="B121" s="146">
        <v>28.27</v>
      </c>
      <c r="C121" s="150">
        <f ca="1">IFERROR(__xludf.DUMMYFUNCTION("""COMPUTED_VALUE"""),60.69)</f>
        <v>60.69</v>
      </c>
      <c r="D121" s="150">
        <f ca="1">IFERROR(__xludf.DUMMYFUNCTION("""COMPUTED_VALUE"""),295.86)</f>
        <v>295.86</v>
      </c>
      <c r="F121" s="2"/>
      <c r="H121" s="2"/>
      <c r="J121" s="2"/>
    </row>
    <row r="122" spans="1:10" ht="13.2" x14ac:dyDescent="0.25">
      <c r="A122" s="142">
        <v>43637.666666666664</v>
      </c>
      <c r="B122" s="146">
        <v>28.12</v>
      </c>
      <c r="C122" s="150">
        <f ca="1">IFERROR(__xludf.DUMMYFUNCTION("""COMPUTED_VALUE"""),59.59)</f>
        <v>59.59</v>
      </c>
      <c r="D122" s="150">
        <f ca="1">IFERROR(__xludf.DUMMYFUNCTION("""COMPUTED_VALUE"""),294)</f>
        <v>294</v>
      </c>
      <c r="F122" s="2"/>
      <c r="H122" s="2"/>
      <c r="J122" s="2"/>
    </row>
    <row r="123" spans="1:10" ht="13.2" x14ac:dyDescent="0.25">
      <c r="A123" s="142">
        <v>43640.666666666664</v>
      </c>
      <c r="B123" s="146">
        <v>27.98</v>
      </c>
      <c r="C123" s="150">
        <f ca="1">IFERROR(__xludf.DUMMYFUNCTION("""COMPUTED_VALUE"""),58.89)</f>
        <v>58.89</v>
      </c>
      <c r="D123" s="150">
        <f ca="1">IFERROR(__xludf.DUMMYFUNCTION("""COMPUTED_VALUE"""),293.64)</f>
        <v>293.64</v>
      </c>
      <c r="F123" s="2"/>
      <c r="H123" s="2"/>
      <c r="J123" s="2"/>
    </row>
    <row r="124" spans="1:10" ht="13.2" x14ac:dyDescent="0.25">
      <c r="A124" s="142">
        <v>43641.666666666664</v>
      </c>
      <c r="B124" s="146">
        <v>27.76</v>
      </c>
      <c r="C124" s="150">
        <f ca="1">IFERROR(__xludf.DUMMYFUNCTION("""COMPUTED_VALUE"""),59.37)</f>
        <v>59.37</v>
      </c>
      <c r="D124" s="150">
        <f ca="1">IFERROR(__xludf.DUMMYFUNCTION("""COMPUTED_VALUE"""),290.76)</f>
        <v>290.76</v>
      </c>
      <c r="F124" s="2"/>
      <c r="H124" s="2"/>
      <c r="J124" s="2"/>
    </row>
    <row r="125" spans="1:10" ht="13.2" x14ac:dyDescent="0.25">
      <c r="A125" s="142">
        <v>43642.666666666664</v>
      </c>
      <c r="B125" s="146">
        <v>27.91</v>
      </c>
      <c r="C125" s="150">
        <f ca="1">IFERROR(__xludf.DUMMYFUNCTION("""COMPUTED_VALUE"""),59.65)</f>
        <v>59.65</v>
      </c>
      <c r="D125" s="150">
        <f ca="1">IFERROR(__xludf.DUMMYFUNCTION("""COMPUTED_VALUE"""),290.47)</f>
        <v>290.47000000000003</v>
      </c>
      <c r="F125" s="2"/>
      <c r="H125" s="2"/>
      <c r="J125" s="2"/>
    </row>
    <row r="126" spans="1:10" ht="13.2" x14ac:dyDescent="0.25">
      <c r="A126" s="142">
        <v>43643.666666666664</v>
      </c>
      <c r="B126" s="146">
        <v>28.21</v>
      </c>
      <c r="C126" s="150">
        <f ca="1">IFERROR(__xludf.DUMMYFUNCTION("""COMPUTED_VALUE"""),61.43)</f>
        <v>61.43</v>
      </c>
      <c r="D126" s="150">
        <f ca="1">IFERROR(__xludf.DUMMYFUNCTION("""COMPUTED_VALUE"""),291.5)</f>
        <v>291.5</v>
      </c>
      <c r="F126" s="2"/>
      <c r="H126" s="2"/>
      <c r="J126" s="2"/>
    </row>
    <row r="127" spans="1:10" ht="13.2" x14ac:dyDescent="0.25">
      <c r="A127" s="142">
        <v>43644.666666666664</v>
      </c>
      <c r="B127" s="146">
        <v>29</v>
      </c>
      <c r="C127" s="150">
        <f ca="1">IFERROR(__xludf.DUMMYFUNCTION("""COMPUTED_VALUE"""),62.42)</f>
        <v>62.42</v>
      </c>
      <c r="D127" s="150">
        <f ca="1">IFERROR(__xludf.DUMMYFUNCTION("""COMPUTED_VALUE"""),293)</f>
        <v>293</v>
      </c>
      <c r="F127" s="2"/>
      <c r="H127" s="2"/>
      <c r="J127" s="2"/>
    </row>
    <row r="128" spans="1:10" ht="13.2" x14ac:dyDescent="0.25">
      <c r="A128" s="142">
        <v>43647.666666666664</v>
      </c>
      <c r="B128" s="146">
        <v>29.42</v>
      </c>
      <c r="C128" s="150">
        <f ca="1">IFERROR(__xludf.DUMMYFUNCTION("""COMPUTED_VALUE"""),62.39)</f>
        <v>62.39</v>
      </c>
      <c r="D128" s="150">
        <f ca="1">IFERROR(__xludf.DUMMYFUNCTION("""COMPUTED_VALUE"""),295.66)</f>
        <v>295.66000000000003</v>
      </c>
      <c r="F128" s="2"/>
      <c r="H128" s="2"/>
      <c r="J128" s="2"/>
    </row>
    <row r="129" spans="1:10" ht="13.2" x14ac:dyDescent="0.25">
      <c r="A129" s="142">
        <v>43648.666666666664</v>
      </c>
      <c r="B129" s="146">
        <v>29.15</v>
      </c>
      <c r="C129" s="150">
        <f ca="1">IFERROR(__xludf.DUMMYFUNCTION("""COMPUTED_VALUE"""),62.85)</f>
        <v>62.85</v>
      </c>
      <c r="D129" s="150">
        <f ca="1">IFERROR(__xludf.DUMMYFUNCTION("""COMPUTED_VALUE"""),296.43)</f>
        <v>296.43</v>
      </c>
      <c r="F129" s="2"/>
      <c r="H129" s="2"/>
      <c r="J129" s="2"/>
    </row>
    <row r="130" spans="1:10" ht="13.2" x14ac:dyDescent="0.25">
      <c r="A130" s="142">
        <v>43649.541666666664</v>
      </c>
      <c r="B130" s="146">
        <v>29.05</v>
      </c>
      <c r="C130" s="150">
        <f ca="1">IFERROR(__xludf.DUMMYFUNCTION("""COMPUTED_VALUE"""),62.73)</f>
        <v>62.73</v>
      </c>
      <c r="D130" s="150">
        <f ca="1">IFERROR(__xludf.DUMMYFUNCTION("""COMPUTED_VALUE"""),298.8)</f>
        <v>298.8</v>
      </c>
      <c r="F130" s="2"/>
      <c r="H130" s="2"/>
      <c r="J130" s="2"/>
    </row>
    <row r="131" spans="1:10" ht="13.2" x14ac:dyDescent="0.25">
      <c r="A131" s="142">
        <v>43651.666666666664</v>
      </c>
      <c r="B131" s="146">
        <v>29.26</v>
      </c>
      <c r="C131" s="150">
        <f ca="1">IFERROR(__xludf.DUMMYFUNCTION("""COMPUTED_VALUE"""),63.6)</f>
        <v>63.6</v>
      </c>
      <c r="D131" s="150">
        <f ca="1">IFERROR(__xludf.DUMMYFUNCTION("""COMPUTED_VALUE"""),298.46)</f>
        <v>298.45999999999998</v>
      </c>
      <c r="F131" s="2"/>
      <c r="H131" s="2"/>
      <c r="J131" s="2"/>
    </row>
    <row r="132" spans="1:10" ht="13.2" x14ac:dyDescent="0.25">
      <c r="A132" s="142">
        <v>43654.666666666664</v>
      </c>
      <c r="B132" s="146">
        <v>29.2</v>
      </c>
      <c r="C132" s="150">
        <f ca="1">IFERROR(__xludf.DUMMYFUNCTION("""COMPUTED_VALUE"""),63.83)</f>
        <v>63.83</v>
      </c>
      <c r="D132" s="150">
        <f ca="1">IFERROR(__xludf.DUMMYFUNCTION("""COMPUTED_VALUE"""),296.82)</f>
        <v>296.82</v>
      </c>
      <c r="F132" s="2"/>
      <c r="H132" s="2"/>
      <c r="J132" s="2"/>
    </row>
    <row r="133" spans="1:10" ht="13.2" x14ac:dyDescent="0.25">
      <c r="A133" s="142">
        <v>43655.666666666664</v>
      </c>
      <c r="B133" s="146">
        <v>29.35</v>
      </c>
      <c r="C133" s="150">
        <f ca="1">IFERROR(__xludf.DUMMYFUNCTION("""COMPUTED_VALUE"""),63.88)</f>
        <v>63.88</v>
      </c>
      <c r="D133" s="150">
        <f ca="1">IFERROR(__xludf.DUMMYFUNCTION("""COMPUTED_VALUE"""),297.19)</f>
        <v>297.19</v>
      </c>
      <c r="F133" s="2"/>
      <c r="H133" s="2"/>
      <c r="J133" s="2"/>
    </row>
    <row r="134" spans="1:10" ht="13.2" x14ac:dyDescent="0.25">
      <c r="A134" s="142">
        <v>43656.666666666664</v>
      </c>
      <c r="B134" s="146">
        <v>29.02</v>
      </c>
      <c r="C134" s="150">
        <f ca="1">IFERROR(__xludf.DUMMYFUNCTION("""COMPUTED_VALUE"""),62.95)</f>
        <v>62.95</v>
      </c>
      <c r="D134" s="150">
        <f ca="1">IFERROR(__xludf.DUMMYFUNCTION("""COMPUTED_VALUE"""),298.61)</f>
        <v>298.61</v>
      </c>
      <c r="F134" s="2"/>
      <c r="H134" s="2"/>
      <c r="J134" s="2"/>
    </row>
    <row r="135" spans="1:10" ht="13.2" x14ac:dyDescent="0.25">
      <c r="A135" s="142">
        <v>43657.666666666664</v>
      </c>
      <c r="B135" s="146">
        <v>29.36</v>
      </c>
      <c r="C135" s="150">
        <f ca="1">IFERROR(__xludf.DUMMYFUNCTION("""COMPUTED_VALUE"""),63.43)</f>
        <v>63.43</v>
      </c>
      <c r="D135" s="150">
        <f ca="1">IFERROR(__xludf.DUMMYFUNCTION("""COMPUTED_VALUE"""),299.31)</f>
        <v>299.31</v>
      </c>
      <c r="F135" s="2"/>
      <c r="H135" s="2"/>
      <c r="J135" s="2"/>
    </row>
    <row r="136" spans="1:10" ht="13.2" x14ac:dyDescent="0.25">
      <c r="A136" s="142">
        <v>43658.666666666664</v>
      </c>
      <c r="B136" s="146">
        <v>29.45</v>
      </c>
      <c r="C136" s="150">
        <f ca="1">IFERROR(__xludf.DUMMYFUNCTION("""COMPUTED_VALUE"""),63.7)</f>
        <v>63.7</v>
      </c>
      <c r="D136" s="150">
        <f ca="1">IFERROR(__xludf.DUMMYFUNCTION("""COMPUTED_VALUE"""),300.65)</f>
        <v>300.64999999999998</v>
      </c>
      <c r="F136" s="2"/>
      <c r="H136" s="2"/>
      <c r="J136" s="2"/>
    </row>
    <row r="137" spans="1:10" ht="13.2" x14ac:dyDescent="0.25">
      <c r="A137" s="142">
        <v>43661.666666666664</v>
      </c>
      <c r="B137" s="146">
        <v>29.22</v>
      </c>
      <c r="C137" s="150">
        <f ca="1">IFERROR(__xludf.DUMMYFUNCTION("""COMPUTED_VALUE"""),63.69)</f>
        <v>63.69</v>
      </c>
      <c r="D137" s="150">
        <f ca="1">IFERROR(__xludf.DUMMYFUNCTION("""COMPUTED_VALUE"""),300.75)</f>
        <v>300.75</v>
      </c>
      <c r="F137" s="2"/>
      <c r="H137" s="2"/>
      <c r="J137" s="2"/>
    </row>
    <row r="138" spans="1:10" ht="13.2" x14ac:dyDescent="0.25">
      <c r="A138" s="142">
        <v>43662.666666666664</v>
      </c>
      <c r="B138" s="146">
        <v>28.99</v>
      </c>
      <c r="C138" s="150">
        <f ca="1">IFERROR(__xludf.DUMMYFUNCTION("""COMPUTED_VALUE"""),63.84)</f>
        <v>63.84</v>
      </c>
      <c r="D138" s="150">
        <f ca="1">IFERROR(__xludf.DUMMYFUNCTION("""COMPUTED_VALUE"""),299.71)</f>
        <v>299.70999999999998</v>
      </c>
      <c r="F138" s="2"/>
      <c r="H138" s="2"/>
      <c r="J138" s="2"/>
    </row>
    <row r="139" spans="1:10" ht="13.2" x14ac:dyDescent="0.25">
      <c r="A139" s="142">
        <v>43663.666666666664</v>
      </c>
      <c r="B139" s="146">
        <v>29.19</v>
      </c>
      <c r="C139" s="150">
        <f ca="1">IFERROR(__xludf.DUMMYFUNCTION("""COMPUTED_VALUE"""),63.36)</f>
        <v>63.36</v>
      </c>
      <c r="D139" s="150">
        <f ca="1">IFERROR(__xludf.DUMMYFUNCTION("""COMPUTED_VALUE"""),297.74)</f>
        <v>297.74</v>
      </c>
      <c r="F139" s="2"/>
      <c r="H139" s="2"/>
      <c r="J139" s="2"/>
    </row>
    <row r="140" spans="1:10" ht="13.2" x14ac:dyDescent="0.25">
      <c r="A140" s="142">
        <v>43664.666666666664</v>
      </c>
      <c r="B140" s="146">
        <v>29.48</v>
      </c>
      <c r="C140" s="150">
        <f ca="1">IFERROR(__xludf.DUMMYFUNCTION("""COMPUTED_VALUE"""),63.55)</f>
        <v>63.55</v>
      </c>
      <c r="D140" s="150">
        <f ca="1">IFERROR(__xludf.DUMMYFUNCTION("""COMPUTED_VALUE"""),298.83)</f>
        <v>298.83</v>
      </c>
      <c r="F140" s="2"/>
      <c r="H140" s="2"/>
      <c r="J140" s="2"/>
    </row>
    <row r="141" spans="1:10" ht="13.2" x14ac:dyDescent="0.25">
      <c r="A141" s="142">
        <v>43665.666666666664</v>
      </c>
      <c r="B141" s="146">
        <v>29.4</v>
      </c>
      <c r="C141" s="150">
        <f ca="1">IFERROR(__xludf.DUMMYFUNCTION("""COMPUTED_VALUE"""),63.65)</f>
        <v>63.65</v>
      </c>
      <c r="D141" s="150">
        <f ca="1">IFERROR(__xludf.DUMMYFUNCTION("""COMPUTED_VALUE"""),297.17)</f>
        <v>297.17</v>
      </c>
      <c r="F141" s="2"/>
      <c r="H141" s="2"/>
      <c r="J141" s="2"/>
    </row>
    <row r="142" spans="1:10" ht="13.2" x14ac:dyDescent="0.25">
      <c r="A142" s="142">
        <v>43668.666666666664</v>
      </c>
      <c r="B142" s="146">
        <v>29.57</v>
      </c>
      <c r="C142" s="150">
        <f ca="1">IFERROR(__xludf.DUMMYFUNCTION("""COMPUTED_VALUE"""),63.13)</f>
        <v>63.13</v>
      </c>
      <c r="D142" s="150">
        <f ca="1">IFERROR(__xludf.DUMMYFUNCTION("""COMPUTED_VALUE"""),297.9)</f>
        <v>297.89999999999998</v>
      </c>
      <c r="F142" s="2"/>
      <c r="H142" s="2"/>
      <c r="J142" s="2"/>
    </row>
    <row r="143" spans="1:10" ht="13.2" x14ac:dyDescent="0.25">
      <c r="A143" s="142">
        <v>43669.666666666664</v>
      </c>
      <c r="B143" s="146">
        <v>30.25</v>
      </c>
      <c r="C143" s="150">
        <f ca="1">IFERROR(__xludf.DUMMYFUNCTION("""COMPUTED_VALUE"""),64.53)</f>
        <v>64.53</v>
      </c>
      <c r="D143" s="150">
        <f ca="1">IFERROR(__xludf.DUMMYFUNCTION("""COMPUTED_VALUE"""),300.03)</f>
        <v>300.02999999999997</v>
      </c>
      <c r="F143" s="2"/>
      <c r="H143" s="2"/>
      <c r="J143" s="2"/>
    </row>
    <row r="144" spans="1:10" ht="13.2" x14ac:dyDescent="0.25">
      <c r="A144" s="142">
        <v>43670.666666666664</v>
      </c>
      <c r="B144" s="146">
        <v>30.67</v>
      </c>
      <c r="C144" s="150">
        <f ca="1">IFERROR(__xludf.DUMMYFUNCTION("""COMPUTED_VALUE"""),65.05)</f>
        <v>65.05</v>
      </c>
      <c r="D144" s="150">
        <f ca="1">IFERROR(__xludf.DUMMYFUNCTION("""COMPUTED_VALUE"""),301.44)</f>
        <v>301.44</v>
      </c>
      <c r="F144" s="2"/>
      <c r="H144" s="2"/>
      <c r="J144" s="2"/>
    </row>
    <row r="145" spans="1:10" ht="13.2" x14ac:dyDescent="0.25">
      <c r="A145" s="142">
        <v>43671.666666666664</v>
      </c>
      <c r="B145" s="146">
        <v>30.34</v>
      </c>
      <c r="C145" s="150">
        <f ca="1">IFERROR(__xludf.DUMMYFUNCTION("""COMPUTED_VALUE"""),64.81)</f>
        <v>64.81</v>
      </c>
      <c r="D145" s="150">
        <f ca="1">IFERROR(__xludf.DUMMYFUNCTION("""COMPUTED_VALUE"""),300)</f>
        <v>300</v>
      </c>
      <c r="F145" s="2"/>
      <c r="H145" s="2"/>
      <c r="J145" s="2"/>
    </row>
    <row r="146" spans="1:10" ht="13.2" x14ac:dyDescent="0.25">
      <c r="A146" s="142">
        <v>43672.666666666664</v>
      </c>
      <c r="B146" s="146">
        <v>30.77</v>
      </c>
      <c r="C146" s="150">
        <f ca="1">IFERROR(__xludf.DUMMYFUNCTION("""COMPUTED_VALUE"""),65.06)</f>
        <v>65.06</v>
      </c>
      <c r="D146" s="150">
        <f ca="1">IFERROR(__xludf.DUMMYFUNCTION("""COMPUTED_VALUE"""),302.01)</f>
        <v>302.01</v>
      </c>
      <c r="F146" s="2"/>
      <c r="H146" s="2"/>
      <c r="J146" s="2"/>
    </row>
    <row r="147" spans="1:10" ht="13.2" x14ac:dyDescent="0.25">
      <c r="A147" s="142">
        <v>43675.666666666664</v>
      </c>
      <c r="B147" s="146">
        <v>30.52</v>
      </c>
      <c r="C147" s="150">
        <f ca="1">IFERROR(__xludf.DUMMYFUNCTION("""COMPUTED_VALUE"""),64.83)</f>
        <v>64.83</v>
      </c>
      <c r="D147" s="150">
        <f ca="1">IFERROR(__xludf.DUMMYFUNCTION("""COMPUTED_VALUE"""),301.46)</f>
        <v>301.45999999999998</v>
      </c>
      <c r="F147" s="2"/>
      <c r="H147" s="2"/>
      <c r="J147" s="2"/>
    </row>
    <row r="148" spans="1:10" ht="13.2" x14ac:dyDescent="0.25">
      <c r="A148" s="142">
        <v>43676.666666666664</v>
      </c>
      <c r="B148" s="146">
        <v>30.89</v>
      </c>
      <c r="C148" s="150">
        <f ca="1">IFERROR(__xludf.DUMMYFUNCTION("""COMPUTED_VALUE"""),63.88)</f>
        <v>63.88</v>
      </c>
      <c r="D148" s="150">
        <f ca="1">IFERROR(__xludf.DUMMYFUNCTION("""COMPUTED_VALUE"""),300.72)</f>
        <v>300.72000000000003</v>
      </c>
      <c r="F148" s="2"/>
      <c r="H148" s="2"/>
      <c r="J148" s="2"/>
    </row>
    <row r="149" spans="1:10" ht="13.2" x14ac:dyDescent="0.25">
      <c r="A149" s="142">
        <v>43677.666666666664</v>
      </c>
      <c r="B149" s="146">
        <v>30.68</v>
      </c>
      <c r="C149" s="150">
        <f ca="1">IFERROR(__xludf.DUMMYFUNCTION("""COMPUTED_VALUE"""),64)</f>
        <v>64</v>
      </c>
      <c r="D149" s="150">
        <f ca="1">IFERROR(__xludf.DUMMYFUNCTION("""COMPUTED_VALUE"""),297.43)</f>
        <v>297.43</v>
      </c>
      <c r="F149" s="2"/>
      <c r="H149" s="2"/>
      <c r="J149" s="2"/>
    </row>
    <row r="150" spans="1:10" ht="13.2" x14ac:dyDescent="0.25">
      <c r="A150" s="142">
        <v>43678.666666666664</v>
      </c>
      <c r="B150" s="146">
        <v>29.49</v>
      </c>
      <c r="C150" s="150">
        <f ca="1">IFERROR(__xludf.DUMMYFUNCTION("""COMPUTED_VALUE"""),63.71)</f>
        <v>63.71</v>
      </c>
      <c r="D150" s="150">
        <f ca="1">IFERROR(__xludf.DUMMYFUNCTION("""COMPUTED_VALUE"""),294.84)</f>
        <v>294.83999999999997</v>
      </c>
      <c r="F150" s="2"/>
      <c r="H150" s="2"/>
      <c r="J150" s="2"/>
    </row>
    <row r="151" spans="1:10" ht="13.2" x14ac:dyDescent="0.25">
      <c r="A151" s="142">
        <v>43679.666666666664</v>
      </c>
      <c r="B151" s="146">
        <v>29.38</v>
      </c>
      <c r="C151" s="150">
        <f ca="1">IFERROR(__xludf.DUMMYFUNCTION("""COMPUTED_VALUE"""),60.36)</f>
        <v>60.36</v>
      </c>
      <c r="D151" s="150">
        <f ca="1">IFERROR(__xludf.DUMMYFUNCTION("""COMPUTED_VALUE"""),292.62)</f>
        <v>292.62</v>
      </c>
      <c r="F151" s="2"/>
      <c r="H151" s="2"/>
      <c r="J151" s="2"/>
    </row>
    <row r="152" spans="1:10" ht="13.2" x14ac:dyDescent="0.25">
      <c r="A152" s="142">
        <v>43682.666666666664</v>
      </c>
      <c r="B152" s="146">
        <v>28.08</v>
      </c>
      <c r="C152" s="150">
        <f ca="1">IFERROR(__xludf.DUMMYFUNCTION("""COMPUTED_VALUE"""),58.63)</f>
        <v>58.63</v>
      </c>
      <c r="D152" s="150">
        <f ca="1">IFERROR(__xludf.DUMMYFUNCTION("""COMPUTED_VALUE"""),283.82)</f>
        <v>283.82</v>
      </c>
      <c r="F152" s="2"/>
      <c r="H152" s="2"/>
      <c r="J152" s="2"/>
    </row>
    <row r="153" spans="1:10" ht="13.2" x14ac:dyDescent="0.25">
      <c r="A153" s="142">
        <v>43683.666666666664</v>
      </c>
      <c r="B153" s="146">
        <v>28.42</v>
      </c>
      <c r="C153" s="150">
        <f ca="1">IFERROR(__xludf.DUMMYFUNCTION("""COMPUTED_VALUE"""),58.17)</f>
        <v>58.17</v>
      </c>
      <c r="D153" s="150">
        <f ca="1">IFERROR(__xludf.DUMMYFUNCTION("""COMPUTED_VALUE"""),287.8)</f>
        <v>287.8</v>
      </c>
      <c r="F153" s="2"/>
      <c r="H153" s="2"/>
      <c r="J153" s="2"/>
    </row>
    <row r="154" spans="1:10" ht="13.2" x14ac:dyDescent="0.25">
      <c r="A154" s="142">
        <v>43684.666666666664</v>
      </c>
      <c r="B154" s="146">
        <v>27.89</v>
      </c>
      <c r="C154" s="150">
        <f ca="1">IFERROR(__xludf.DUMMYFUNCTION("""COMPUTED_VALUE"""),57.23)</f>
        <v>57.23</v>
      </c>
      <c r="D154" s="150">
        <f ca="1">IFERROR(__xludf.DUMMYFUNCTION("""COMPUTED_VALUE"""),287.97)</f>
        <v>287.97000000000003</v>
      </c>
      <c r="F154" s="2"/>
      <c r="H154" s="2"/>
      <c r="J154" s="2"/>
    </row>
    <row r="155" spans="1:10" ht="13.2" x14ac:dyDescent="0.25">
      <c r="A155" s="142">
        <v>43685.666666666664</v>
      </c>
      <c r="B155" s="146">
        <v>28.38</v>
      </c>
      <c r="C155" s="150">
        <f ca="1">IFERROR(__xludf.DUMMYFUNCTION("""COMPUTED_VALUE"""),59.17)</f>
        <v>59.17</v>
      </c>
      <c r="D155" s="150">
        <f ca="1">IFERROR(__xludf.DUMMYFUNCTION("""COMPUTED_VALUE"""),293.62)</f>
        <v>293.62</v>
      </c>
      <c r="F155" s="2"/>
      <c r="H155" s="2"/>
      <c r="J155" s="2"/>
    </row>
    <row r="156" spans="1:10" ht="13.2" x14ac:dyDescent="0.25">
      <c r="A156" s="142">
        <v>43686.666666666664</v>
      </c>
      <c r="B156" s="146">
        <v>28.33</v>
      </c>
      <c r="C156" s="150">
        <f ca="1">IFERROR(__xludf.DUMMYFUNCTION("""COMPUTED_VALUE"""),58.26)</f>
        <v>58.26</v>
      </c>
      <c r="D156" s="150">
        <f ca="1">IFERROR(__xludf.DUMMYFUNCTION("""COMPUTED_VALUE"""),291.62)</f>
        <v>291.62</v>
      </c>
      <c r="F156" s="2"/>
      <c r="H156" s="2"/>
      <c r="J156" s="2"/>
    </row>
    <row r="157" spans="1:10" ht="13.2" x14ac:dyDescent="0.25">
      <c r="A157" s="142">
        <v>43689.666666666664</v>
      </c>
      <c r="B157" s="146">
        <v>27.64</v>
      </c>
      <c r="C157" s="150">
        <f ca="1">IFERROR(__xludf.DUMMYFUNCTION("""COMPUTED_VALUE"""),57.27)</f>
        <v>57.27</v>
      </c>
      <c r="D157" s="150">
        <f ca="1">IFERROR(__xludf.DUMMYFUNCTION("""COMPUTED_VALUE"""),288.07)</f>
        <v>288.07</v>
      </c>
      <c r="F157" s="2"/>
      <c r="H157" s="2"/>
      <c r="J157" s="2"/>
    </row>
    <row r="158" spans="1:10" ht="13.2" x14ac:dyDescent="0.25">
      <c r="A158" s="142">
        <v>43690.666666666664</v>
      </c>
      <c r="B158" s="146">
        <v>27.72</v>
      </c>
      <c r="C158" s="150">
        <f ca="1">IFERROR(__xludf.DUMMYFUNCTION("""COMPUTED_VALUE"""),58.54)</f>
        <v>58.54</v>
      </c>
      <c r="D158" s="150">
        <f ca="1">IFERROR(__xludf.DUMMYFUNCTION("""COMPUTED_VALUE"""),292.55)</f>
        <v>292.55</v>
      </c>
      <c r="F158" s="2"/>
      <c r="H158" s="2"/>
      <c r="J158" s="2"/>
    </row>
    <row r="159" spans="1:10" ht="13.2" x14ac:dyDescent="0.25">
      <c r="A159" s="142">
        <v>43691.666666666664</v>
      </c>
      <c r="B159" s="146">
        <v>26.42</v>
      </c>
      <c r="C159" s="150">
        <f ca="1">IFERROR(__xludf.DUMMYFUNCTION("""COMPUTED_VALUE"""),55.38)</f>
        <v>55.38</v>
      </c>
      <c r="D159" s="150">
        <f ca="1">IFERROR(__xludf.DUMMYFUNCTION("""COMPUTED_VALUE"""),283.9)</f>
        <v>283.89999999999998</v>
      </c>
      <c r="F159" s="2"/>
      <c r="H159" s="2"/>
      <c r="J159" s="2"/>
    </row>
    <row r="160" spans="1:10" ht="13.2" x14ac:dyDescent="0.25">
      <c r="A160" s="142">
        <v>43692.666666666664</v>
      </c>
      <c r="B160" s="146">
        <v>26.25</v>
      </c>
      <c r="C160" s="150">
        <f ca="1">IFERROR(__xludf.DUMMYFUNCTION("""COMPUTED_VALUE"""),55.4)</f>
        <v>55.4</v>
      </c>
      <c r="D160" s="150">
        <f ca="1">IFERROR(__xludf.DUMMYFUNCTION("""COMPUTED_VALUE"""),284.65)</f>
        <v>284.64999999999998</v>
      </c>
      <c r="F160" s="2"/>
      <c r="H160" s="2"/>
      <c r="J160" s="2"/>
    </row>
    <row r="161" spans="1:10" ht="13.2" x14ac:dyDescent="0.25">
      <c r="A161" s="142">
        <v>43693.666666666664</v>
      </c>
      <c r="B161" s="146">
        <v>27.03</v>
      </c>
      <c r="C161" s="150">
        <f ca="1">IFERROR(__xludf.DUMMYFUNCTION("""COMPUTED_VALUE"""),56.79)</f>
        <v>56.79</v>
      </c>
      <c r="D161" s="150">
        <f ca="1">IFERROR(__xludf.DUMMYFUNCTION("""COMPUTED_VALUE"""),288.85)</f>
        <v>288.85000000000002</v>
      </c>
      <c r="F161" s="2"/>
      <c r="H161" s="2"/>
      <c r="J161" s="2"/>
    </row>
    <row r="162" spans="1:10" ht="13.2" x14ac:dyDescent="0.25">
      <c r="A162" s="142">
        <v>43696.666666666664</v>
      </c>
      <c r="B162" s="146">
        <v>27.27</v>
      </c>
      <c r="C162" s="150">
        <f ca="1">IFERROR(__xludf.DUMMYFUNCTION("""COMPUTED_VALUE"""),58.19)</f>
        <v>58.19</v>
      </c>
      <c r="D162" s="150">
        <f ca="1">IFERROR(__xludf.DUMMYFUNCTION("""COMPUTED_VALUE"""),292.33)</f>
        <v>292.33</v>
      </c>
      <c r="F162" s="2"/>
      <c r="H162" s="2"/>
      <c r="J162" s="2"/>
    </row>
    <row r="163" spans="1:10" ht="13.2" x14ac:dyDescent="0.25">
      <c r="A163" s="142">
        <v>43697.666666666664</v>
      </c>
      <c r="B163" s="146">
        <v>26.72</v>
      </c>
      <c r="C163" s="150">
        <f ca="1">IFERROR(__xludf.DUMMYFUNCTION("""COMPUTED_VALUE"""),57.57)</f>
        <v>57.57</v>
      </c>
      <c r="D163" s="150">
        <f ca="1">IFERROR(__xludf.DUMMYFUNCTION("""COMPUTED_VALUE"""),290.09)</f>
        <v>290.08999999999997</v>
      </c>
      <c r="F163" s="2"/>
      <c r="H163" s="2"/>
      <c r="J163" s="2"/>
    </row>
    <row r="164" spans="1:10" ht="13.2" x14ac:dyDescent="0.25">
      <c r="A164" s="142">
        <v>43698.666666666664</v>
      </c>
      <c r="B164" s="146">
        <v>26.93</v>
      </c>
      <c r="C164" s="150">
        <f ca="1">IFERROR(__xludf.DUMMYFUNCTION("""COMPUTED_VALUE"""),57.28)</f>
        <v>57.28</v>
      </c>
      <c r="D164" s="150">
        <f ca="1">IFERROR(__xludf.DUMMYFUNCTION("""COMPUTED_VALUE"""),292.45)</f>
        <v>292.45</v>
      </c>
      <c r="F164" s="2"/>
      <c r="H164" s="2"/>
      <c r="J164" s="2"/>
    </row>
    <row r="165" spans="1:10" ht="13.2" x14ac:dyDescent="0.25">
      <c r="A165" s="142">
        <v>43699.666666666664</v>
      </c>
      <c r="B165" s="146">
        <v>27.19</v>
      </c>
      <c r="C165" s="150">
        <f ca="1">IFERROR(__xludf.DUMMYFUNCTION("""COMPUTED_VALUE"""),57.55)</f>
        <v>57.55</v>
      </c>
      <c r="D165" s="150">
        <f ca="1">IFERROR(__xludf.DUMMYFUNCTION("""COMPUTED_VALUE"""),292.36)</f>
        <v>292.36</v>
      </c>
      <c r="F165" s="2"/>
      <c r="H165" s="2"/>
      <c r="J165" s="2"/>
    </row>
    <row r="166" spans="1:10" ht="13.2" x14ac:dyDescent="0.25">
      <c r="A166" s="142">
        <v>43700.666666666664</v>
      </c>
      <c r="B166" s="146">
        <v>26.47</v>
      </c>
      <c r="C166" s="150">
        <f ca="1">IFERROR(__xludf.DUMMYFUNCTION("""COMPUTED_VALUE"""),56.68)</f>
        <v>56.68</v>
      </c>
      <c r="D166" s="150">
        <f ca="1">IFERROR(__xludf.DUMMYFUNCTION("""COMPUTED_VALUE"""),284.85)</f>
        <v>284.85000000000002</v>
      </c>
      <c r="F166" s="2"/>
      <c r="H166" s="2"/>
      <c r="J166" s="2"/>
    </row>
    <row r="167" spans="1:10" ht="13.2" x14ac:dyDescent="0.25">
      <c r="A167" s="142">
        <v>43703.666666666664</v>
      </c>
      <c r="B167" s="146">
        <v>26.78</v>
      </c>
      <c r="C167" s="150">
        <f ca="1">IFERROR(__xludf.DUMMYFUNCTION("""COMPUTED_VALUE"""),56.12)</f>
        <v>56.12</v>
      </c>
      <c r="D167" s="150">
        <f ca="1">IFERROR(__xludf.DUMMYFUNCTION("""COMPUTED_VALUE"""),288)</f>
        <v>288</v>
      </c>
      <c r="F167" s="2"/>
      <c r="H167" s="2"/>
      <c r="J167" s="2"/>
    </row>
    <row r="168" spans="1:10" ht="13.2" x14ac:dyDescent="0.25">
      <c r="A168" s="142">
        <v>43704.666666666664</v>
      </c>
      <c r="B168" s="146">
        <v>26.47</v>
      </c>
      <c r="C168" s="150">
        <f ca="1">IFERROR(__xludf.DUMMYFUNCTION("""COMPUTED_VALUE"""),55.72)</f>
        <v>55.72</v>
      </c>
      <c r="D168" s="150">
        <f ca="1">IFERROR(__xludf.DUMMYFUNCTION("""COMPUTED_VALUE"""),286.87)</f>
        <v>286.87</v>
      </c>
      <c r="F168" s="2"/>
      <c r="H168" s="2"/>
      <c r="J168" s="2"/>
    </row>
    <row r="169" spans="1:10" ht="13.2" x14ac:dyDescent="0.25">
      <c r="A169" s="142">
        <v>43705.666666666664</v>
      </c>
      <c r="B169" s="146">
        <v>26.85</v>
      </c>
      <c r="C169" s="150">
        <f ca="1">IFERROR(__xludf.DUMMYFUNCTION("""COMPUTED_VALUE"""),56.37)</f>
        <v>56.37</v>
      </c>
      <c r="D169" s="150">
        <f ca="1">IFERROR(__xludf.DUMMYFUNCTION("""COMPUTED_VALUE"""),288.89)</f>
        <v>288.89</v>
      </c>
      <c r="F169" s="2"/>
      <c r="H169" s="2"/>
      <c r="J169" s="2"/>
    </row>
    <row r="170" spans="1:10" ht="13.2" x14ac:dyDescent="0.25">
      <c r="A170" s="142">
        <v>43706.666666666664</v>
      </c>
      <c r="B170" s="146">
        <v>27.33</v>
      </c>
      <c r="C170" s="150">
        <f ca="1">IFERROR(__xludf.DUMMYFUNCTION("""COMPUTED_VALUE"""),57.82)</f>
        <v>57.82</v>
      </c>
      <c r="D170" s="150">
        <f ca="1">IFERROR(__xludf.DUMMYFUNCTION("""COMPUTED_VALUE"""),292.58)</f>
        <v>292.58</v>
      </c>
      <c r="F170" s="2"/>
      <c r="H170" s="2"/>
      <c r="J170" s="2"/>
    </row>
    <row r="171" spans="1:10" ht="13.2" x14ac:dyDescent="0.25">
      <c r="A171" s="142">
        <v>43707.666666666664</v>
      </c>
      <c r="B171" s="146">
        <v>27.51</v>
      </c>
      <c r="C171" s="150">
        <f ca="1">IFERROR(__xludf.DUMMYFUNCTION("""COMPUTED_VALUE"""),58.61)</f>
        <v>58.61</v>
      </c>
      <c r="D171" s="150">
        <f ca="1">IFERROR(__xludf.DUMMYFUNCTION("""COMPUTED_VALUE"""),292.45)</f>
        <v>292.45</v>
      </c>
      <c r="F171" s="2"/>
      <c r="H171" s="2"/>
      <c r="J171" s="2"/>
    </row>
    <row r="172" spans="1:10" ht="13.2" x14ac:dyDescent="0.25">
      <c r="A172" s="142">
        <v>43711.666666666664</v>
      </c>
      <c r="B172" s="146">
        <v>27.05</v>
      </c>
      <c r="C172" s="150">
        <f ca="1">IFERROR(__xludf.DUMMYFUNCTION("""COMPUTED_VALUE"""),58.7)</f>
        <v>58.7</v>
      </c>
      <c r="D172" s="150">
        <f ca="1">IFERROR(__xludf.DUMMYFUNCTION("""COMPUTED_VALUE"""),290.74)</f>
        <v>290.74</v>
      </c>
      <c r="F172" s="2"/>
      <c r="H172" s="2"/>
      <c r="J172" s="2"/>
    </row>
    <row r="173" spans="1:10" ht="13.2" x14ac:dyDescent="0.25">
      <c r="A173" s="142">
        <v>43712.666666666664</v>
      </c>
      <c r="B173" s="146">
        <v>27.49</v>
      </c>
      <c r="C173" s="150">
        <f ca="1">IFERROR(__xludf.DUMMYFUNCTION("""COMPUTED_VALUE"""),57.48)</f>
        <v>57.48</v>
      </c>
      <c r="D173" s="150">
        <f ca="1">IFERROR(__xludf.DUMMYFUNCTION("""COMPUTED_VALUE"""),294.04)</f>
        <v>294.04000000000002</v>
      </c>
      <c r="F173" s="2"/>
      <c r="H173" s="2"/>
      <c r="J173" s="2"/>
    </row>
    <row r="174" spans="1:10" ht="13.2" x14ac:dyDescent="0.25">
      <c r="A174" s="142">
        <v>43713.666666666664</v>
      </c>
      <c r="B174" s="146">
        <v>28.12</v>
      </c>
      <c r="C174" s="150">
        <f ca="1">IFERROR(__xludf.DUMMYFUNCTION("""COMPUTED_VALUE"""),58.29)</f>
        <v>58.29</v>
      </c>
      <c r="D174" s="150">
        <f ca="1">IFERROR(__xludf.DUMMYFUNCTION("""COMPUTED_VALUE"""),297.82)</f>
        <v>297.82</v>
      </c>
      <c r="F174" s="2"/>
      <c r="H174" s="2"/>
      <c r="J174" s="2"/>
    </row>
    <row r="175" spans="1:10" ht="13.2" x14ac:dyDescent="0.25">
      <c r="A175" s="142">
        <v>43714.666666666664</v>
      </c>
      <c r="B175" s="146">
        <v>27.73</v>
      </c>
      <c r="C175" s="150">
        <f ca="1">IFERROR(__xludf.DUMMYFUNCTION("""COMPUTED_VALUE"""),60.24)</f>
        <v>60.24</v>
      </c>
      <c r="D175" s="150">
        <f ca="1">IFERROR(__xludf.DUMMYFUNCTION("""COMPUTED_VALUE"""),298.05)</f>
        <v>298.05</v>
      </c>
      <c r="F175" s="2"/>
      <c r="H175" s="2"/>
      <c r="J175" s="2"/>
    </row>
    <row r="176" spans="1:10" ht="13.2" x14ac:dyDescent="0.25">
      <c r="A176" s="142">
        <v>43717.666666666664</v>
      </c>
      <c r="B176" s="146">
        <v>28.63</v>
      </c>
      <c r="C176" s="150">
        <f ca="1">IFERROR(__xludf.DUMMYFUNCTION("""COMPUTED_VALUE"""),59.93)</f>
        <v>59.93</v>
      </c>
      <c r="D176" s="150">
        <f ca="1">IFERROR(__xludf.DUMMYFUNCTION("""COMPUTED_VALUE"""),298.2)</f>
        <v>298.2</v>
      </c>
      <c r="F176" s="2"/>
      <c r="H176" s="2"/>
      <c r="J176" s="2"/>
    </row>
    <row r="177" spans="1:10" ht="13.2" x14ac:dyDescent="0.25">
      <c r="A177" s="142">
        <v>43718.666666666664</v>
      </c>
      <c r="B177" s="146">
        <v>29.35</v>
      </c>
      <c r="C177" s="150">
        <f ca="1">IFERROR(__xludf.DUMMYFUNCTION("""COMPUTED_VALUE"""),61.89)</f>
        <v>61.89</v>
      </c>
      <c r="D177" s="150">
        <f ca="1">IFERROR(__xludf.DUMMYFUNCTION("""COMPUTED_VALUE"""),298.13)</f>
        <v>298.13</v>
      </c>
      <c r="F177" s="2"/>
      <c r="H177" s="2"/>
      <c r="J177" s="2"/>
    </row>
    <row r="178" spans="1:10" ht="13.2" x14ac:dyDescent="0.25">
      <c r="A178" s="142">
        <v>43719.666666666664</v>
      </c>
      <c r="B178" s="146">
        <v>29.46</v>
      </c>
      <c r="C178" s="150">
        <f ca="1">IFERROR(__xludf.DUMMYFUNCTION("""COMPUTED_VALUE"""),62.27)</f>
        <v>62.27</v>
      </c>
      <c r="D178" s="150">
        <f ca="1">IFERROR(__xludf.DUMMYFUNCTION("""COMPUTED_VALUE"""),300.25)</f>
        <v>300.25</v>
      </c>
      <c r="F178" s="2"/>
      <c r="H178" s="2"/>
      <c r="J178" s="2"/>
    </row>
    <row r="179" spans="1:10" ht="13.2" x14ac:dyDescent="0.25">
      <c r="A179" s="142">
        <v>43720.666666666664</v>
      </c>
      <c r="B179" s="146">
        <v>29.67</v>
      </c>
      <c r="C179" s="150">
        <f ca="1">IFERROR(__xludf.DUMMYFUNCTION("""COMPUTED_VALUE"""),62.66)</f>
        <v>62.66</v>
      </c>
      <c r="D179" s="150">
        <f ca="1">IFERROR(__xludf.DUMMYFUNCTION("""COMPUTED_VALUE"""),301.29)</f>
        <v>301.29000000000002</v>
      </c>
      <c r="F179" s="2"/>
      <c r="H179" s="2"/>
      <c r="J179" s="2"/>
    </row>
    <row r="180" spans="1:10" ht="13.2" x14ac:dyDescent="0.25">
      <c r="A180" s="142">
        <v>43721.666666666664</v>
      </c>
      <c r="B180" s="146">
        <v>30.17</v>
      </c>
      <c r="C180" s="150">
        <f ca="1">IFERROR(__xludf.DUMMYFUNCTION("""COMPUTED_VALUE"""),62.48)</f>
        <v>62.48</v>
      </c>
      <c r="D180" s="150">
        <f ca="1">IFERROR(__xludf.DUMMYFUNCTION("""COMPUTED_VALUE"""),301.09)</f>
        <v>301.08999999999997</v>
      </c>
      <c r="F180" s="2"/>
      <c r="H180" s="2"/>
      <c r="J180" s="2"/>
    </row>
    <row r="181" spans="1:10" ht="13.2" x14ac:dyDescent="0.25">
      <c r="A181" s="142">
        <v>43724.666666666664</v>
      </c>
      <c r="B181" s="146">
        <v>30.13</v>
      </c>
      <c r="C181" s="150">
        <f ca="1">IFERROR(__xludf.DUMMYFUNCTION("""COMPUTED_VALUE"""),63.59)</f>
        <v>63.59</v>
      </c>
      <c r="D181" s="150">
        <f ca="1">IFERROR(__xludf.DUMMYFUNCTION("""COMPUTED_VALUE"""),300.16)</f>
        <v>300.16000000000003</v>
      </c>
      <c r="F181" s="2"/>
      <c r="H181" s="2"/>
      <c r="J181" s="2"/>
    </row>
    <row r="182" spans="1:10" ht="13.2" x14ac:dyDescent="0.25">
      <c r="A182" s="142">
        <v>43725.666666666664</v>
      </c>
      <c r="B182" s="146">
        <v>29.94</v>
      </c>
      <c r="C182" s="150">
        <f ca="1">IFERROR(__xludf.DUMMYFUNCTION("""COMPUTED_VALUE"""),63.15)</f>
        <v>63.15</v>
      </c>
      <c r="D182" s="150">
        <f ca="1">IFERROR(__xludf.DUMMYFUNCTION("""COMPUTED_VALUE"""),300.92)</f>
        <v>300.92</v>
      </c>
      <c r="F182" s="2"/>
      <c r="H182" s="2"/>
      <c r="J182" s="2"/>
    </row>
    <row r="183" spans="1:10" ht="13.2" x14ac:dyDescent="0.25">
      <c r="A183" s="142">
        <v>43726.666666666664</v>
      </c>
      <c r="B183" s="146">
        <v>30</v>
      </c>
      <c r="C183" s="150">
        <f ca="1">IFERROR(__xludf.DUMMYFUNCTION("""COMPUTED_VALUE"""),62.69)</f>
        <v>62.69</v>
      </c>
      <c r="D183" s="150">
        <f ca="1">IFERROR(__xludf.DUMMYFUNCTION("""COMPUTED_VALUE"""),301.1)</f>
        <v>301.10000000000002</v>
      </c>
      <c r="F183" s="2"/>
      <c r="H183" s="2"/>
      <c r="J183" s="2"/>
    </row>
    <row r="184" spans="1:10" ht="13.2" x14ac:dyDescent="0.25">
      <c r="A184" s="142">
        <v>43727.666666666664</v>
      </c>
      <c r="B184" s="146">
        <v>29.82</v>
      </c>
      <c r="C184" s="150">
        <f ca="1">IFERROR(__xludf.DUMMYFUNCTION("""COMPUTED_VALUE"""),62.64)</f>
        <v>62.64</v>
      </c>
      <c r="D184" s="150">
        <f ca="1">IFERROR(__xludf.DUMMYFUNCTION("""COMPUTED_VALUE"""),301.08)</f>
        <v>301.08</v>
      </c>
      <c r="F184" s="2"/>
      <c r="H184" s="2"/>
      <c r="J184" s="2"/>
    </row>
    <row r="185" spans="1:10" ht="13.2" x14ac:dyDescent="0.25">
      <c r="A185" s="142">
        <v>43728.666666666664</v>
      </c>
      <c r="B185" s="146">
        <v>29.59</v>
      </c>
      <c r="C185" s="150">
        <f ca="1">IFERROR(__xludf.DUMMYFUNCTION("""COMPUTED_VALUE"""),63.62)</f>
        <v>63.62</v>
      </c>
      <c r="D185" s="150">
        <f ca="1">IFERROR(__xludf.DUMMYFUNCTION("""COMPUTED_VALUE"""),298.28)</f>
        <v>298.27999999999997</v>
      </c>
      <c r="F185" s="2"/>
      <c r="H185" s="2"/>
      <c r="J185" s="2"/>
    </row>
    <row r="186" spans="1:10" ht="13.2" x14ac:dyDescent="0.25">
      <c r="A186" s="142">
        <v>43731.666666666664</v>
      </c>
      <c r="B186" s="146">
        <v>29.52</v>
      </c>
      <c r="C186" s="150">
        <f ca="1">IFERROR(__xludf.DUMMYFUNCTION("""COMPUTED_VALUE"""),63.9)</f>
        <v>63.9</v>
      </c>
      <c r="D186" s="150">
        <f ca="1">IFERROR(__xludf.DUMMYFUNCTION("""COMPUTED_VALUE"""),298.21)</f>
        <v>298.20999999999998</v>
      </c>
      <c r="F186" s="2"/>
      <c r="H186" s="2"/>
      <c r="J186" s="2"/>
    </row>
    <row r="187" spans="1:10" ht="13.2" x14ac:dyDescent="0.25">
      <c r="A187" s="142">
        <v>43732.666666666664</v>
      </c>
      <c r="B187" s="146">
        <v>28.94</v>
      </c>
      <c r="C187" s="150">
        <f ca="1">IFERROR(__xludf.DUMMYFUNCTION("""COMPUTED_VALUE"""),63.06)</f>
        <v>63.06</v>
      </c>
      <c r="D187" s="150">
        <f ca="1">IFERROR(__xludf.DUMMYFUNCTION("""COMPUTED_VALUE"""),295.87)</f>
        <v>295.87</v>
      </c>
      <c r="F187" s="2"/>
      <c r="H187" s="2"/>
      <c r="J187" s="2"/>
    </row>
    <row r="188" spans="1:10" ht="13.2" x14ac:dyDescent="0.25">
      <c r="A188" s="142">
        <v>43733.666666666664</v>
      </c>
      <c r="B188" s="146">
        <v>29.25</v>
      </c>
      <c r="C188" s="150">
        <f ca="1">IFERROR(__xludf.DUMMYFUNCTION("""COMPUTED_VALUE"""),62.35)</f>
        <v>62.35</v>
      </c>
      <c r="D188" s="150">
        <f ca="1">IFERROR(__xludf.DUMMYFUNCTION("""COMPUTED_VALUE"""),297.62)</f>
        <v>297.62</v>
      </c>
      <c r="F188" s="2"/>
      <c r="H188" s="2"/>
      <c r="J188" s="2"/>
    </row>
    <row r="189" spans="1:10" ht="13.2" x14ac:dyDescent="0.25">
      <c r="A189" s="142">
        <v>43734.666666666664</v>
      </c>
      <c r="B189" s="146">
        <v>29.13</v>
      </c>
      <c r="C189" s="150">
        <f ca="1">IFERROR(__xludf.DUMMYFUNCTION("""COMPUTED_VALUE"""),63.06)</f>
        <v>63.06</v>
      </c>
      <c r="D189" s="150">
        <f ca="1">IFERROR(__xludf.DUMMYFUNCTION("""COMPUTED_VALUE"""),297)</f>
        <v>297</v>
      </c>
      <c r="F189" s="2"/>
      <c r="H189" s="2"/>
      <c r="J189" s="2"/>
    </row>
    <row r="190" spans="1:10" ht="13.2" x14ac:dyDescent="0.25">
      <c r="A190" s="142">
        <v>43735.666666666664</v>
      </c>
      <c r="B190" s="146">
        <v>29.35</v>
      </c>
      <c r="C190" s="150">
        <f ca="1">IFERROR(__xludf.DUMMYFUNCTION("""COMPUTED_VALUE"""),63.07)</f>
        <v>63.07</v>
      </c>
      <c r="D190" s="150">
        <f ca="1">IFERROR(__xludf.DUMMYFUNCTION("""COMPUTED_VALUE"""),295.4)</f>
        <v>295.39999999999998</v>
      </c>
      <c r="F190" s="2"/>
      <c r="H190" s="2"/>
      <c r="J190" s="2"/>
    </row>
    <row r="191" spans="1:10" ht="13.2" x14ac:dyDescent="0.25">
      <c r="A191" s="142">
        <v>43738.666666666664</v>
      </c>
      <c r="B191" s="146">
        <v>29.17</v>
      </c>
      <c r="C191" s="150">
        <f ca="1">IFERROR(__xludf.DUMMYFUNCTION("""COMPUTED_VALUE"""),63.97)</f>
        <v>63.97</v>
      </c>
      <c r="D191" s="150">
        <f ca="1">IFERROR(__xludf.DUMMYFUNCTION("""COMPUTED_VALUE"""),296.77)</f>
        <v>296.77</v>
      </c>
      <c r="F191" s="2"/>
      <c r="H191" s="2"/>
      <c r="J191" s="2"/>
    </row>
    <row r="192" spans="1:10" ht="13.2" x14ac:dyDescent="0.25">
      <c r="A192" s="142">
        <v>43739.666666666664</v>
      </c>
      <c r="B192" s="146">
        <v>28.44</v>
      </c>
      <c r="C192" s="150">
        <f ca="1">IFERROR(__xludf.DUMMYFUNCTION("""COMPUTED_VALUE"""),63.66)</f>
        <v>63.66</v>
      </c>
      <c r="D192" s="150">
        <f ca="1">IFERROR(__xludf.DUMMYFUNCTION("""COMPUTED_VALUE"""),293.24)</f>
        <v>293.24</v>
      </c>
      <c r="F192" s="2"/>
      <c r="H192" s="2"/>
      <c r="J192" s="2"/>
    </row>
    <row r="193" spans="1:10" ht="13.2" x14ac:dyDescent="0.25">
      <c r="A193" s="142">
        <v>43740.666666666664</v>
      </c>
      <c r="B193" s="146">
        <v>27.84</v>
      </c>
      <c r="C193" s="150">
        <f ca="1">IFERROR(__xludf.DUMMYFUNCTION("""COMPUTED_VALUE"""),63.23)</f>
        <v>63.23</v>
      </c>
      <c r="D193" s="150">
        <f ca="1">IFERROR(__xludf.DUMMYFUNCTION("""COMPUTED_VALUE"""),288.06)</f>
        <v>288.06</v>
      </c>
      <c r="F193" s="2"/>
      <c r="H193" s="2"/>
      <c r="J193" s="2"/>
    </row>
    <row r="194" spans="1:10" ht="13.2" x14ac:dyDescent="0.25">
      <c r="A194" s="142">
        <v>43741.666666666664</v>
      </c>
      <c r="B194" s="146">
        <v>27.81</v>
      </c>
      <c r="C194" s="150">
        <f ca="1">IFERROR(__xludf.DUMMYFUNCTION("""COMPUTED_VALUE"""),60.62)</f>
        <v>60.62</v>
      </c>
      <c r="D194" s="150">
        <f ca="1">IFERROR(__xludf.DUMMYFUNCTION("""COMPUTED_VALUE"""),290.42)</f>
        <v>290.42</v>
      </c>
      <c r="F194" s="2"/>
      <c r="H194" s="2"/>
      <c r="J194" s="2"/>
    </row>
    <row r="195" spans="1:10" ht="13.2" x14ac:dyDescent="0.25">
      <c r="A195" s="142">
        <v>43742.666666666664</v>
      </c>
      <c r="B195" s="146">
        <v>28.37</v>
      </c>
      <c r="C195" s="150">
        <f ca="1">IFERROR(__xludf.DUMMYFUNCTION("""COMPUTED_VALUE"""),60.15)</f>
        <v>60.15</v>
      </c>
      <c r="D195" s="150">
        <f ca="1">IFERROR(__xludf.DUMMYFUNCTION("""COMPUTED_VALUE"""),294.35)</f>
        <v>294.35000000000002</v>
      </c>
      <c r="F195" s="2"/>
      <c r="H195" s="2"/>
      <c r="J195" s="2"/>
    </row>
    <row r="196" spans="1:10" ht="13.2" x14ac:dyDescent="0.25">
      <c r="A196" s="142">
        <v>43745.666666666664</v>
      </c>
      <c r="B196" s="146">
        <v>28.31</v>
      </c>
      <c r="C196" s="150">
        <f ca="1">IFERROR(__xludf.DUMMYFUNCTION("""COMPUTED_VALUE"""),61.68)</f>
        <v>61.68</v>
      </c>
      <c r="D196" s="150">
        <f ca="1">IFERROR(__xludf.DUMMYFUNCTION("""COMPUTED_VALUE"""),293.08)</f>
        <v>293.08</v>
      </c>
      <c r="F196" s="2"/>
      <c r="H196" s="2"/>
      <c r="J196" s="2"/>
    </row>
    <row r="197" spans="1:10" ht="13.2" x14ac:dyDescent="0.25">
      <c r="A197" s="142">
        <v>43746.666666666664</v>
      </c>
      <c r="B197" s="146">
        <v>27.63</v>
      </c>
      <c r="C197" s="150">
        <f ca="1">IFERROR(__xludf.DUMMYFUNCTION("""COMPUTED_VALUE"""),62.18)</f>
        <v>62.18</v>
      </c>
      <c r="D197" s="150">
        <f ca="1">IFERROR(__xludf.DUMMYFUNCTION("""COMPUTED_VALUE"""),288.53)</f>
        <v>288.52999999999997</v>
      </c>
      <c r="F197" s="2"/>
      <c r="H197" s="2"/>
      <c r="J197" s="2"/>
    </row>
    <row r="198" spans="1:10" ht="13.2" x14ac:dyDescent="0.25">
      <c r="A198" s="142">
        <v>43747.666666666664</v>
      </c>
      <c r="B198" s="146">
        <v>27.89</v>
      </c>
      <c r="C198" s="150">
        <f ca="1">IFERROR(__xludf.DUMMYFUNCTION("""COMPUTED_VALUE"""),60.61)</f>
        <v>60.61</v>
      </c>
      <c r="D198" s="150">
        <f ca="1">IFERROR(__xludf.DUMMYFUNCTION("""COMPUTED_VALUE"""),291.27)</f>
        <v>291.27</v>
      </c>
      <c r="F198" s="2"/>
      <c r="H198" s="2"/>
      <c r="J198" s="2"/>
    </row>
    <row r="199" spans="1:10" ht="13.2" x14ac:dyDescent="0.25">
      <c r="A199" s="142">
        <v>43748.666666666664</v>
      </c>
      <c r="B199" s="146">
        <v>28.45</v>
      </c>
      <c r="C199" s="150">
        <f ca="1">IFERROR(__xludf.DUMMYFUNCTION("""COMPUTED_VALUE"""),61.25)</f>
        <v>61.25</v>
      </c>
      <c r="D199" s="150">
        <f ca="1">IFERROR(__xludf.DUMMYFUNCTION("""COMPUTED_VALUE"""),293.24)</f>
        <v>293.24</v>
      </c>
      <c r="F199" s="2"/>
      <c r="H199" s="2"/>
      <c r="J199" s="2"/>
    </row>
    <row r="200" spans="1:10" ht="13.2" x14ac:dyDescent="0.25">
      <c r="A200" s="142">
        <v>43749.666666666664</v>
      </c>
      <c r="B200" s="146">
        <v>28.91</v>
      </c>
      <c r="C200" s="150">
        <f ca="1">IFERROR(__xludf.DUMMYFUNCTION("""COMPUTED_VALUE"""),62.74)</f>
        <v>62.74</v>
      </c>
      <c r="D200" s="150">
        <f ca="1">IFERROR(__xludf.DUMMYFUNCTION("""COMPUTED_VALUE"""),296.28)</f>
        <v>296.27999999999997</v>
      </c>
      <c r="F200" s="2"/>
      <c r="H200" s="2"/>
      <c r="J200" s="2"/>
    </row>
    <row r="201" spans="1:10" ht="13.2" x14ac:dyDescent="0.25">
      <c r="A201" s="142">
        <v>43752.666666666664</v>
      </c>
      <c r="B201" s="146">
        <v>29.14</v>
      </c>
      <c r="C201" s="150">
        <f ca="1">IFERROR(__xludf.DUMMYFUNCTION("""COMPUTED_VALUE"""),64.12)</f>
        <v>64.12</v>
      </c>
      <c r="D201" s="150">
        <f ca="1">IFERROR(__xludf.DUMMYFUNCTION("""COMPUTED_VALUE"""),295.95)</f>
        <v>295.95</v>
      </c>
      <c r="F201" s="2"/>
      <c r="H201" s="2"/>
      <c r="J201" s="2"/>
    </row>
    <row r="202" spans="1:10" ht="13.2" x14ac:dyDescent="0.25">
      <c r="A202" s="142">
        <v>43753.666666666664</v>
      </c>
      <c r="B202" s="146">
        <v>29.73</v>
      </c>
      <c r="C202" s="150">
        <f ca="1">IFERROR(__xludf.DUMMYFUNCTION("""COMPUTED_VALUE"""),63.67)</f>
        <v>63.67</v>
      </c>
      <c r="D202" s="150">
        <f ca="1">IFERROR(__xludf.DUMMYFUNCTION("""COMPUTED_VALUE"""),298.88)</f>
        <v>298.88</v>
      </c>
      <c r="F202" s="2"/>
      <c r="H202" s="2"/>
      <c r="J202" s="2"/>
    </row>
    <row r="203" spans="1:10" ht="13.2" x14ac:dyDescent="0.25">
      <c r="A203" s="142">
        <v>43754.666666666664</v>
      </c>
      <c r="B203" s="146">
        <v>30.17</v>
      </c>
      <c r="C203" s="150">
        <f ca="1">IFERROR(__xludf.DUMMYFUNCTION("""COMPUTED_VALUE"""),65)</f>
        <v>65</v>
      </c>
      <c r="D203" s="150">
        <f ca="1">IFERROR(__xludf.DUMMYFUNCTION("""COMPUTED_VALUE"""),298.4)</f>
        <v>298.39999999999998</v>
      </c>
      <c r="F203" s="2"/>
      <c r="H203" s="2"/>
      <c r="J203" s="2"/>
    </row>
    <row r="204" spans="1:10" ht="13.2" x14ac:dyDescent="0.25">
      <c r="A204" s="142">
        <v>43755.666666666664</v>
      </c>
      <c r="B204" s="146">
        <v>30.26</v>
      </c>
      <c r="C204" s="150">
        <f ca="1">IFERROR(__xludf.DUMMYFUNCTION("""COMPUTED_VALUE"""),63.21)</f>
        <v>63.21</v>
      </c>
      <c r="D204" s="150">
        <f ca="1">IFERROR(__xludf.DUMMYFUNCTION("""COMPUTED_VALUE"""),299.28)</f>
        <v>299.27999999999997</v>
      </c>
      <c r="F204" s="2"/>
      <c r="H204" s="2"/>
      <c r="J204" s="2"/>
    </row>
    <row r="205" spans="1:10" ht="13.2" x14ac:dyDescent="0.25">
      <c r="A205" s="142">
        <v>43756.666666666664</v>
      </c>
      <c r="B205" s="146">
        <v>30.35</v>
      </c>
      <c r="C205" s="150">
        <f ca="1">IFERROR(__xludf.DUMMYFUNCTION("""COMPUTED_VALUE"""),62.56)</f>
        <v>62.56</v>
      </c>
      <c r="D205" s="150">
        <f ca="1">IFERROR(__xludf.DUMMYFUNCTION("""COMPUTED_VALUE"""),297.97)</f>
        <v>297.97000000000003</v>
      </c>
      <c r="F205" s="2"/>
      <c r="H205" s="2"/>
      <c r="J205" s="2"/>
    </row>
    <row r="206" spans="1:10" ht="13.2" x14ac:dyDescent="0.25">
      <c r="A206" s="142">
        <v>43759.666666666664</v>
      </c>
      <c r="B206" s="146">
        <v>31.02</v>
      </c>
      <c r="C206" s="150">
        <f ca="1">IFERROR(__xludf.DUMMYFUNCTION("""COMPUTED_VALUE"""),62.56)</f>
        <v>62.56</v>
      </c>
      <c r="D206" s="150">
        <f ca="1">IFERROR(__xludf.DUMMYFUNCTION("""COMPUTED_VALUE"""),299.99)</f>
        <v>299.99</v>
      </c>
      <c r="F206" s="2"/>
      <c r="H206" s="2"/>
      <c r="J206" s="2"/>
    </row>
    <row r="207" spans="1:10" ht="13.2" x14ac:dyDescent="0.25">
      <c r="A207" s="142">
        <v>43760.666666666664</v>
      </c>
      <c r="B207" s="146">
        <v>31.2</v>
      </c>
      <c r="C207" s="150">
        <f ca="1">IFERROR(__xludf.DUMMYFUNCTION("""COMPUTED_VALUE"""),64.21)</f>
        <v>64.209999999999994</v>
      </c>
      <c r="D207" s="150">
        <f ca="1">IFERROR(__xludf.DUMMYFUNCTION("""COMPUTED_VALUE"""),299.01)</f>
        <v>299.01</v>
      </c>
      <c r="F207" s="2"/>
      <c r="H207" s="2"/>
      <c r="J207" s="2"/>
    </row>
    <row r="208" spans="1:10" ht="13.2" x14ac:dyDescent="0.25">
      <c r="A208" s="142">
        <v>43761.666666666664</v>
      </c>
      <c r="B208" s="146">
        <v>31.42</v>
      </c>
      <c r="C208" s="150">
        <f ca="1">IFERROR(__xludf.DUMMYFUNCTION("""COMPUTED_VALUE"""),64.72)</f>
        <v>64.72</v>
      </c>
      <c r="D208" s="150">
        <f ca="1">IFERROR(__xludf.DUMMYFUNCTION("""COMPUTED_VALUE"""),299.88)</f>
        <v>299.88</v>
      </c>
      <c r="F208" s="2"/>
      <c r="H208" s="2"/>
      <c r="J208" s="2"/>
    </row>
    <row r="209" spans="1:10" ht="13.2" x14ac:dyDescent="0.25">
      <c r="A209" s="142">
        <v>43762.666666666664</v>
      </c>
      <c r="B209" s="146">
        <v>31.36</v>
      </c>
      <c r="C209" s="150">
        <f ca="1">IFERROR(__xludf.DUMMYFUNCTION("""COMPUTED_VALUE"""),64.84)</f>
        <v>64.84</v>
      </c>
      <c r="D209" s="150">
        <f ca="1">IFERROR(__xludf.DUMMYFUNCTION("""COMPUTED_VALUE"""),300.37)</f>
        <v>300.37</v>
      </c>
      <c r="F209" s="2"/>
      <c r="H209" s="2"/>
      <c r="J209" s="2"/>
    </row>
    <row r="210" spans="1:10" ht="13.2" x14ac:dyDescent="0.25">
      <c r="A210" s="142">
        <v>43763.666666666664</v>
      </c>
      <c r="B210" s="146">
        <v>31.72</v>
      </c>
      <c r="C210" s="150">
        <f ca="1">IFERROR(__xludf.DUMMYFUNCTION("""COMPUTED_VALUE"""),65.19)</f>
        <v>65.19</v>
      </c>
      <c r="D210" s="150">
        <f ca="1">IFERROR(__xludf.DUMMYFUNCTION("""COMPUTED_VALUE"""),301.6)</f>
        <v>301.60000000000002</v>
      </c>
      <c r="F210" s="2"/>
      <c r="H210" s="2"/>
      <c r="J210" s="2"/>
    </row>
    <row r="211" spans="1:10" ht="13.2" x14ac:dyDescent="0.25">
      <c r="A211" s="142">
        <v>43766.666666666664</v>
      </c>
      <c r="B211" s="146">
        <v>31.84</v>
      </c>
      <c r="C211" s="150">
        <f ca="1">IFERROR(__xludf.DUMMYFUNCTION("""COMPUTED_VALUE"""),65.83)</f>
        <v>65.83</v>
      </c>
      <c r="D211" s="150">
        <f ca="1">IFERROR(__xludf.DUMMYFUNCTION("""COMPUTED_VALUE"""),303.3)</f>
        <v>303.3</v>
      </c>
      <c r="F211" s="2"/>
      <c r="H211" s="2"/>
      <c r="J211" s="2"/>
    </row>
    <row r="212" spans="1:10" ht="13.2" x14ac:dyDescent="0.25">
      <c r="A212" s="142">
        <v>43767.666666666664</v>
      </c>
      <c r="B212" s="146">
        <v>32.07</v>
      </c>
      <c r="C212" s="150">
        <f ca="1">IFERROR(__xludf.DUMMYFUNCTION("""COMPUTED_VALUE"""),66.79)</f>
        <v>66.790000000000006</v>
      </c>
      <c r="D212" s="150">
        <f ca="1">IFERROR(__xludf.DUMMYFUNCTION("""COMPUTED_VALUE"""),303.21)</f>
        <v>303.20999999999998</v>
      </c>
      <c r="F212" s="2"/>
      <c r="H212" s="2"/>
      <c r="J212" s="2"/>
    </row>
    <row r="213" spans="1:10" ht="13.2" x14ac:dyDescent="0.25">
      <c r="A213" s="142">
        <v>43768.666666666664</v>
      </c>
      <c r="B213" s="146">
        <v>31.62</v>
      </c>
      <c r="C213" s="150">
        <f ca="1">IFERROR(__xludf.DUMMYFUNCTION("""COMPUTED_VALUE"""),65.84)</f>
        <v>65.84</v>
      </c>
      <c r="D213" s="150">
        <f ca="1">IFERROR(__xludf.DUMMYFUNCTION("""COMPUTED_VALUE"""),304.14)</f>
        <v>304.14</v>
      </c>
      <c r="F213" s="2"/>
      <c r="H213" s="2"/>
      <c r="J213" s="2"/>
    </row>
    <row r="214" spans="1:10" ht="13.2" x14ac:dyDescent="0.25">
      <c r="A214" s="142">
        <v>43769.666666666664</v>
      </c>
      <c r="B214" s="146">
        <v>31.27</v>
      </c>
      <c r="C214" s="150">
        <f ca="1">IFERROR(__xludf.DUMMYFUNCTION("""COMPUTED_VALUE"""),65.17)</f>
        <v>65.17</v>
      </c>
      <c r="D214" s="150">
        <f ca="1">IFERROR(__xludf.DUMMYFUNCTION("""COMPUTED_VALUE"""),303.33)</f>
        <v>303.33</v>
      </c>
      <c r="F214" s="2"/>
      <c r="H214" s="2"/>
      <c r="J214" s="2"/>
    </row>
    <row r="215" spans="1:10" ht="13.2" x14ac:dyDescent="0.25">
      <c r="A215" s="142">
        <v>43770.666666666664</v>
      </c>
      <c r="B215" s="146">
        <v>31.8</v>
      </c>
      <c r="C215" s="150">
        <f ca="1">IFERROR(__xludf.DUMMYFUNCTION("""COMPUTED_VALUE"""),64.32)</f>
        <v>64.319999999999993</v>
      </c>
      <c r="D215" s="150">
        <f ca="1">IFERROR(__xludf.DUMMYFUNCTION("""COMPUTED_VALUE"""),306.14)</f>
        <v>306.14</v>
      </c>
      <c r="F215" s="2"/>
      <c r="H215" s="2"/>
      <c r="J215" s="2"/>
    </row>
    <row r="216" spans="1:10" ht="13.2" x14ac:dyDescent="0.25">
      <c r="A216" s="142">
        <v>43773.666666666664</v>
      </c>
      <c r="B216" s="146">
        <v>32.4</v>
      </c>
      <c r="C216" s="150">
        <f ca="1">IFERROR(__xludf.DUMMYFUNCTION("""COMPUTED_VALUE"""),65.5)</f>
        <v>65.5</v>
      </c>
      <c r="D216" s="150">
        <f ca="1">IFERROR(__xludf.DUMMYFUNCTION("""COMPUTED_VALUE"""),307.37)</f>
        <v>307.37</v>
      </c>
      <c r="F216" s="2"/>
      <c r="H216" s="2"/>
      <c r="J216" s="2"/>
    </row>
    <row r="217" spans="1:10" ht="13.2" x14ac:dyDescent="0.25">
      <c r="A217" s="142">
        <v>43774.666666666664</v>
      </c>
      <c r="B217" s="146">
        <v>32.82</v>
      </c>
      <c r="C217" s="150">
        <f ca="1">IFERROR(__xludf.DUMMYFUNCTION("""COMPUTED_VALUE"""),66.97)</f>
        <v>66.97</v>
      </c>
      <c r="D217" s="150">
        <f ca="1">IFERROR(__xludf.DUMMYFUNCTION("""COMPUTED_VALUE"""),307.03)</f>
        <v>307.02999999999997</v>
      </c>
      <c r="F217" s="2"/>
      <c r="H217" s="2"/>
      <c r="J217" s="2"/>
    </row>
    <row r="218" spans="1:10" ht="13.2" x14ac:dyDescent="0.25">
      <c r="A218" s="142">
        <v>43775.666666666664</v>
      </c>
      <c r="B218" s="146">
        <v>32.79</v>
      </c>
      <c r="C218" s="150">
        <f ca="1">IFERROR(__xludf.DUMMYFUNCTION("""COMPUTED_VALUE"""),67.9)</f>
        <v>67.900000000000006</v>
      </c>
      <c r="D218" s="150">
        <f ca="1">IFERROR(__xludf.DUMMYFUNCTION("""COMPUTED_VALUE"""),307.1)</f>
        <v>307.10000000000002</v>
      </c>
      <c r="F218" s="2"/>
      <c r="H218" s="2"/>
      <c r="J218" s="2"/>
    </row>
    <row r="219" spans="1:10" ht="13.2" x14ac:dyDescent="0.25">
      <c r="A219" s="142">
        <v>43776.666666666664</v>
      </c>
      <c r="B219" s="146">
        <v>33.229999999999997</v>
      </c>
      <c r="C219" s="150">
        <f ca="1">IFERROR(__xludf.DUMMYFUNCTION("""COMPUTED_VALUE"""),67.25)</f>
        <v>67.25</v>
      </c>
      <c r="D219" s="150">
        <f ca="1">IFERROR(__xludf.DUMMYFUNCTION("""COMPUTED_VALUE"""),308.18)</f>
        <v>308.18</v>
      </c>
      <c r="F219" s="2"/>
      <c r="H219" s="2"/>
      <c r="J219" s="2"/>
    </row>
    <row r="220" spans="1:10" ht="13.2" x14ac:dyDescent="0.25">
      <c r="A220" s="142">
        <v>43777.666666666664</v>
      </c>
      <c r="B220" s="146">
        <v>33.26</v>
      </c>
      <c r="C220" s="150">
        <f ca="1">IFERROR(__xludf.DUMMYFUNCTION("""COMPUTED_VALUE"""),68.85)</f>
        <v>68.849999999999994</v>
      </c>
      <c r="D220" s="150">
        <f ca="1">IFERROR(__xludf.DUMMYFUNCTION("""COMPUTED_VALUE"""),308.94)</f>
        <v>308.94</v>
      </c>
      <c r="F220" s="2"/>
      <c r="H220" s="2"/>
      <c r="J220" s="2"/>
    </row>
    <row r="221" spans="1:10" ht="13.2" x14ac:dyDescent="0.25">
      <c r="A221" s="142">
        <v>43780.666666666664</v>
      </c>
      <c r="B221" s="146">
        <v>33.18</v>
      </c>
      <c r="C221" s="150">
        <f ca="1">IFERROR(__xludf.DUMMYFUNCTION("""COMPUTED_VALUE"""),68.52)</f>
        <v>68.52</v>
      </c>
      <c r="D221" s="150">
        <f ca="1">IFERROR(__xludf.DUMMYFUNCTION("""COMPUTED_VALUE"""),308.35)</f>
        <v>308.35000000000002</v>
      </c>
      <c r="F221" s="2"/>
      <c r="H221" s="2"/>
      <c r="J221" s="2"/>
    </row>
    <row r="222" spans="1:10" ht="13.2" x14ac:dyDescent="0.25">
      <c r="A222" s="142">
        <v>43781.666666666664</v>
      </c>
      <c r="B222" s="146">
        <v>33.090000000000003</v>
      </c>
      <c r="C222" s="150">
        <f ca="1">IFERROR(__xludf.DUMMYFUNCTION("""COMPUTED_VALUE"""),68.63)</f>
        <v>68.63</v>
      </c>
      <c r="D222" s="150">
        <f ca="1">IFERROR(__xludf.DUMMYFUNCTION("""COMPUTED_VALUE"""),309)</f>
        <v>309</v>
      </c>
      <c r="F222" s="2"/>
      <c r="H222" s="2"/>
      <c r="J222" s="2"/>
    </row>
    <row r="223" spans="1:10" ht="13.2" x14ac:dyDescent="0.25">
      <c r="A223" s="142">
        <v>43782.666666666664</v>
      </c>
      <c r="B223" s="146">
        <v>32.79</v>
      </c>
      <c r="C223" s="150">
        <f ca="1">IFERROR(__xludf.DUMMYFUNCTION("""COMPUTED_VALUE"""),68.82)</f>
        <v>68.819999999999993</v>
      </c>
      <c r="D223" s="150">
        <f ca="1">IFERROR(__xludf.DUMMYFUNCTION("""COMPUTED_VALUE"""),309.1)</f>
        <v>309.10000000000002</v>
      </c>
      <c r="F223" s="2"/>
      <c r="H223" s="2"/>
      <c r="J223" s="2"/>
    </row>
    <row r="224" spans="1:10" ht="13.2" x14ac:dyDescent="0.25">
      <c r="A224" s="142">
        <v>43783.666666666664</v>
      </c>
      <c r="B224" s="146">
        <v>32.700000000000003</v>
      </c>
      <c r="C224" s="150">
        <f ca="1">IFERROR(__xludf.DUMMYFUNCTION("""COMPUTED_VALUE"""),67.7)</f>
        <v>67.7</v>
      </c>
      <c r="D224" s="150">
        <f ca="1">IFERROR(__xludf.DUMMYFUNCTION("""COMPUTED_VALUE"""),309.55)</f>
        <v>309.55</v>
      </c>
      <c r="F224" s="2"/>
      <c r="H224" s="2"/>
      <c r="J224" s="2"/>
    </row>
    <row r="225" spans="1:10" ht="13.2" x14ac:dyDescent="0.25">
      <c r="A225" s="142">
        <v>43784.666666666664</v>
      </c>
      <c r="B225" s="146">
        <v>32.93</v>
      </c>
      <c r="C225" s="150">
        <f ca="1">IFERROR(__xludf.DUMMYFUNCTION("""COMPUTED_VALUE"""),66.98)</f>
        <v>66.98</v>
      </c>
      <c r="D225" s="150">
        <f ca="1">IFERROR(__xludf.DUMMYFUNCTION("""COMPUTED_VALUE"""),311.79)</f>
        <v>311.79000000000002</v>
      </c>
      <c r="F225" s="2"/>
      <c r="H225" s="2"/>
      <c r="J225" s="2"/>
    </row>
    <row r="226" spans="1:10" ht="13.2" x14ac:dyDescent="0.25">
      <c r="A226" s="142">
        <v>43787.666666666664</v>
      </c>
      <c r="B226" s="146">
        <v>32.96</v>
      </c>
      <c r="C226" s="150">
        <f ca="1">IFERROR(__xludf.DUMMYFUNCTION("""COMPUTED_VALUE"""),67.19)</f>
        <v>67.19</v>
      </c>
      <c r="D226" s="150">
        <f ca="1">IFERROR(__xludf.DUMMYFUNCTION("""COMPUTED_VALUE"""),312.02)</f>
        <v>312.02</v>
      </c>
      <c r="F226" s="2"/>
      <c r="H226" s="2"/>
      <c r="J226" s="2"/>
    </row>
    <row r="227" spans="1:10" ht="13.2" x14ac:dyDescent="0.25">
      <c r="A227" s="142">
        <v>43788.666666666664</v>
      </c>
      <c r="B227" s="146">
        <v>32.94</v>
      </c>
      <c r="C227" s="150">
        <f ca="1">IFERROR(__xludf.DUMMYFUNCTION("""COMPUTED_VALUE"""),66.81)</f>
        <v>66.81</v>
      </c>
      <c r="D227" s="150">
        <f ca="1">IFERROR(__xludf.DUMMYFUNCTION("""COMPUTED_VALUE"""),311.93)</f>
        <v>311.93</v>
      </c>
      <c r="F227" s="2"/>
      <c r="H227" s="2"/>
      <c r="J227" s="2"/>
    </row>
    <row r="228" spans="1:10" ht="13.2" x14ac:dyDescent="0.25">
      <c r="A228" s="142">
        <v>43789.666666666664</v>
      </c>
      <c r="B228" s="146">
        <v>32.69</v>
      </c>
      <c r="C228" s="150">
        <f ca="1">IFERROR(__xludf.DUMMYFUNCTION("""COMPUTED_VALUE"""),67.32)</f>
        <v>67.319999999999993</v>
      </c>
      <c r="D228" s="150">
        <f ca="1">IFERROR(__xludf.DUMMYFUNCTION("""COMPUTED_VALUE"""),310.77)</f>
        <v>310.77</v>
      </c>
      <c r="F228" s="2"/>
      <c r="H228" s="2"/>
      <c r="J228" s="2"/>
    </row>
    <row r="229" spans="1:10" ht="13.2" x14ac:dyDescent="0.25">
      <c r="A229" s="142">
        <v>43790.666666666664</v>
      </c>
      <c r="B229" s="146">
        <v>32.840000000000003</v>
      </c>
      <c r="C229" s="150">
        <f ca="1">IFERROR(__xludf.DUMMYFUNCTION("""COMPUTED_VALUE"""),67.13)</f>
        <v>67.13</v>
      </c>
      <c r="D229" s="150">
        <f ca="1">IFERROR(__xludf.DUMMYFUNCTION("""COMPUTED_VALUE"""),310.27)</f>
        <v>310.27</v>
      </c>
      <c r="F229" s="2"/>
      <c r="H229" s="2"/>
      <c r="J229" s="2"/>
    </row>
    <row r="230" spans="1:10" ht="13.2" x14ac:dyDescent="0.25">
      <c r="A230" s="142">
        <v>43791.666666666664</v>
      </c>
      <c r="B230" s="146">
        <v>33.18</v>
      </c>
      <c r="C230" s="150">
        <f ca="1">IFERROR(__xludf.DUMMYFUNCTION("""COMPUTED_VALUE"""),66.81)</f>
        <v>66.81</v>
      </c>
      <c r="D230" s="150">
        <f ca="1">IFERROR(__xludf.DUMMYFUNCTION("""COMPUTED_VALUE"""),310.96)</f>
        <v>310.95999999999998</v>
      </c>
      <c r="F230" s="2"/>
      <c r="H230" s="2"/>
      <c r="J230" s="2"/>
    </row>
    <row r="231" spans="1:10" ht="13.2" x14ac:dyDescent="0.25">
      <c r="A231" s="142">
        <v>43794.666666666664</v>
      </c>
      <c r="B231" s="146">
        <v>33.47</v>
      </c>
      <c r="C231" s="150">
        <f ca="1">IFERROR(__xludf.DUMMYFUNCTION("""COMPUTED_VALUE"""),67.6)</f>
        <v>67.599999999999994</v>
      </c>
      <c r="D231" s="150">
        <f ca="1">IFERROR(__xludf.DUMMYFUNCTION("""COMPUTED_VALUE"""),313.37)</f>
        <v>313.37</v>
      </c>
      <c r="F231" s="2"/>
      <c r="H231" s="2"/>
      <c r="J231" s="2"/>
    </row>
    <row r="232" spans="1:10" ht="13.2" x14ac:dyDescent="0.25">
      <c r="A232" s="142">
        <v>43795.666666666664</v>
      </c>
      <c r="B232" s="146">
        <v>33.35</v>
      </c>
      <c r="C232" s="150">
        <f ca="1">IFERROR(__xludf.DUMMYFUNCTION("""COMPUTED_VALUE"""),68.56)</f>
        <v>68.56</v>
      </c>
      <c r="D232" s="150">
        <f ca="1">IFERROR(__xludf.DUMMYFUNCTION("""COMPUTED_VALUE"""),314.08)</f>
        <v>314.08</v>
      </c>
      <c r="F232" s="2"/>
      <c r="H232" s="2"/>
      <c r="J232" s="2"/>
    </row>
    <row r="233" spans="1:10" ht="13.2" x14ac:dyDescent="0.25">
      <c r="A233" s="142">
        <v>43796.666666666664</v>
      </c>
      <c r="B233" s="146">
        <v>33.42</v>
      </c>
      <c r="C233" s="150">
        <f ca="1">IFERROR(__xludf.DUMMYFUNCTION("""COMPUTED_VALUE"""),68.1)</f>
        <v>68.099999999999994</v>
      </c>
      <c r="D233" s="150">
        <f ca="1">IFERROR(__xludf.DUMMYFUNCTION("""COMPUTED_VALUE"""),315.48)</f>
        <v>315.48</v>
      </c>
      <c r="F233" s="2"/>
      <c r="H233" s="2"/>
      <c r="J233" s="2"/>
    </row>
    <row r="234" spans="1:10" ht="13.2" x14ac:dyDescent="0.25">
      <c r="A234" s="142">
        <v>43798.541666666664</v>
      </c>
      <c r="B234" s="146">
        <v>33.32</v>
      </c>
      <c r="C234" s="150">
        <f ca="1">IFERROR(__xludf.DUMMYFUNCTION("""COMPUTED_VALUE"""),68.79)</f>
        <v>68.790000000000006</v>
      </c>
      <c r="D234" s="150">
        <f ca="1">IFERROR(__xludf.DUMMYFUNCTION("""COMPUTED_VALUE"""),314.31)</f>
        <v>314.31</v>
      </c>
      <c r="F234" s="2"/>
      <c r="H234" s="2"/>
      <c r="J234" s="2"/>
    </row>
    <row r="235" spans="1:10" ht="13.2" x14ac:dyDescent="0.25">
      <c r="A235" s="142">
        <v>43801.666666666664</v>
      </c>
      <c r="B235" s="146">
        <v>33.43</v>
      </c>
      <c r="C235" s="150">
        <f ca="1">IFERROR(__xludf.DUMMYFUNCTION("""COMPUTED_VALUE"""),68.79)</f>
        <v>68.790000000000006</v>
      </c>
      <c r="D235" s="150">
        <f ca="1">IFERROR(__xludf.DUMMYFUNCTION("""COMPUTED_VALUE"""),311.64)</f>
        <v>311.64</v>
      </c>
      <c r="F235" s="2"/>
      <c r="H235" s="2"/>
      <c r="J235" s="2"/>
    </row>
    <row r="236" spans="1:10" ht="13.2" x14ac:dyDescent="0.25">
      <c r="A236" s="142">
        <v>43802.666666666664</v>
      </c>
      <c r="B236" s="146">
        <v>32.840000000000003</v>
      </c>
      <c r="C236" s="150">
        <f ca="1">IFERROR(__xludf.DUMMYFUNCTION("""COMPUTED_VALUE"""),68.64)</f>
        <v>68.64</v>
      </c>
      <c r="D236" s="150">
        <f ca="1">IFERROR(__xludf.DUMMYFUNCTION("""COMPUTED_VALUE"""),309.55)</f>
        <v>309.55</v>
      </c>
      <c r="F236" s="2"/>
      <c r="H236" s="2"/>
      <c r="J236" s="2"/>
    </row>
    <row r="237" spans="1:10" ht="13.2" x14ac:dyDescent="0.25">
      <c r="A237" s="142">
        <v>43803.666666666664</v>
      </c>
      <c r="B237" s="146">
        <v>33.15</v>
      </c>
      <c r="C237" s="150">
        <f ca="1">IFERROR(__xludf.DUMMYFUNCTION("""COMPUTED_VALUE"""),67.52)</f>
        <v>67.52</v>
      </c>
      <c r="D237" s="150">
        <f ca="1">IFERROR(__xludf.DUMMYFUNCTION("""COMPUTED_VALUE"""),311.46)</f>
        <v>311.45999999999998</v>
      </c>
      <c r="F237" s="2"/>
      <c r="H237" s="2"/>
      <c r="J237" s="2"/>
    </row>
    <row r="238" spans="1:10" ht="13.2" x14ac:dyDescent="0.25">
      <c r="A238" s="142">
        <v>43804.666666666664</v>
      </c>
      <c r="B238" s="146">
        <v>33.090000000000003</v>
      </c>
      <c r="C238" s="150">
        <f ca="1">IFERROR(__xludf.DUMMYFUNCTION("""COMPUTED_VALUE"""),65.55)</f>
        <v>65.55</v>
      </c>
      <c r="D238" s="150">
        <f ca="1">IFERROR(__xludf.DUMMYFUNCTION("""COMPUTED_VALUE"""),312.02)</f>
        <v>312.02</v>
      </c>
      <c r="F238" s="2"/>
      <c r="H238" s="2"/>
      <c r="J238" s="2"/>
    </row>
    <row r="239" spans="1:10" ht="13.2" x14ac:dyDescent="0.25">
      <c r="A239" s="142">
        <v>43805.666666666664</v>
      </c>
      <c r="B239" s="146">
        <v>33.67</v>
      </c>
      <c r="C239" s="150">
        <f ca="1">IFERROR(__xludf.DUMMYFUNCTION("""COMPUTED_VALUE"""),67.03)</f>
        <v>67.03</v>
      </c>
      <c r="D239" s="150">
        <f ca="1">IFERROR(__xludf.DUMMYFUNCTION("""COMPUTED_VALUE"""),314.87)</f>
        <v>314.87</v>
      </c>
      <c r="F239" s="2"/>
      <c r="H239" s="2"/>
      <c r="J239" s="2"/>
    </row>
    <row r="240" spans="1:10" ht="13.2" x14ac:dyDescent="0.25">
      <c r="A240" s="142">
        <v>43808.666666666664</v>
      </c>
      <c r="B240" s="146">
        <v>33.51</v>
      </c>
      <c r="C240" s="150">
        <f ca="1">IFERROR(__xludf.DUMMYFUNCTION("""COMPUTED_VALUE"""),67.05)</f>
        <v>67.05</v>
      </c>
      <c r="D240" s="150">
        <f ca="1">IFERROR(__xludf.DUMMYFUNCTION("""COMPUTED_VALUE"""),313.88)</f>
        <v>313.88</v>
      </c>
      <c r="F240" s="2"/>
      <c r="H240" s="2"/>
      <c r="J240" s="2"/>
    </row>
    <row r="241" spans="1:10" ht="13.2" x14ac:dyDescent="0.25">
      <c r="A241" s="142">
        <v>43809.666666666664</v>
      </c>
      <c r="B241" s="146">
        <v>33.53</v>
      </c>
      <c r="C241" s="150">
        <f ca="1">IFERROR(__xludf.DUMMYFUNCTION("""COMPUTED_VALUE"""),68.76)</f>
        <v>68.760000000000005</v>
      </c>
      <c r="D241" s="150">
        <f ca="1">IFERROR(__xludf.DUMMYFUNCTION("""COMPUTED_VALUE"""),313.53)</f>
        <v>313.52999999999997</v>
      </c>
      <c r="F241" s="2"/>
      <c r="H241" s="2"/>
      <c r="J241" s="2"/>
    </row>
    <row r="242" spans="1:10" ht="13.2" x14ac:dyDescent="0.25">
      <c r="A242" s="142">
        <v>43810.666666666664</v>
      </c>
      <c r="B242" s="146">
        <v>33.64</v>
      </c>
      <c r="C242" s="150">
        <f ca="1">IFERROR(__xludf.DUMMYFUNCTION("""COMPUTED_VALUE"""),68.32)</f>
        <v>68.319999999999993</v>
      </c>
      <c r="D242" s="150">
        <f ca="1">IFERROR(__xludf.DUMMYFUNCTION("""COMPUTED_VALUE"""),314.42)</f>
        <v>314.42</v>
      </c>
      <c r="F242" s="2"/>
      <c r="H242" s="2"/>
      <c r="J242" s="2"/>
    </row>
    <row r="243" spans="1:10" ht="13.2" x14ac:dyDescent="0.25">
      <c r="A243" s="142">
        <v>43811.666666666664</v>
      </c>
      <c r="B243" s="146">
        <v>34.68</v>
      </c>
      <c r="C243" s="150">
        <f ca="1">IFERROR(__xludf.DUMMYFUNCTION("""COMPUTED_VALUE"""),68.26)</f>
        <v>68.260000000000005</v>
      </c>
      <c r="D243" s="150">
        <f ca="1">IFERROR(__xludf.DUMMYFUNCTION("""COMPUTED_VALUE"""),317.13)</f>
        <v>317.13</v>
      </c>
      <c r="F243" s="2"/>
      <c r="H243" s="2"/>
      <c r="J243" s="2"/>
    </row>
    <row r="244" spans="1:10" ht="13.2" x14ac:dyDescent="0.25">
      <c r="A244" s="142">
        <v>43812.666666666664</v>
      </c>
      <c r="B244" s="146">
        <v>34.44</v>
      </c>
      <c r="C244" s="150">
        <f ca="1">IFERROR(__xludf.DUMMYFUNCTION("""COMPUTED_VALUE"""),68.15)</f>
        <v>68.150000000000006</v>
      </c>
      <c r="D244" s="150">
        <f ca="1">IFERROR(__xludf.DUMMYFUNCTION("""COMPUTED_VALUE"""),317.32)</f>
        <v>317.32</v>
      </c>
      <c r="F244" s="2"/>
      <c r="H244" s="2"/>
      <c r="J244" s="2"/>
    </row>
    <row r="245" spans="1:10" ht="13.2" x14ac:dyDescent="0.25">
      <c r="A245" s="142">
        <v>43815.666666666664</v>
      </c>
      <c r="B245" s="146">
        <v>34.700000000000003</v>
      </c>
      <c r="C245" s="150">
        <f ca="1">IFERROR(__xludf.DUMMYFUNCTION("""COMPUTED_VALUE"""),69.35)</f>
        <v>69.349999999999994</v>
      </c>
      <c r="D245" s="150">
        <f ca="1">IFERROR(__xludf.DUMMYFUNCTION("""COMPUTED_VALUE"""),319.5)</f>
        <v>319.5</v>
      </c>
      <c r="F245" s="2"/>
      <c r="H245" s="2"/>
      <c r="J245" s="2"/>
    </row>
    <row r="246" spans="1:10" ht="13.2" x14ac:dyDescent="0.25">
      <c r="A246" s="142">
        <v>43816.666666666664</v>
      </c>
      <c r="B246" s="146">
        <v>35.04</v>
      </c>
      <c r="C246" s="150">
        <f ca="1">IFERROR(__xludf.DUMMYFUNCTION("""COMPUTED_VALUE"""),68.51)</f>
        <v>68.510000000000005</v>
      </c>
      <c r="D246" s="150">
        <f ca="1">IFERROR(__xludf.DUMMYFUNCTION("""COMPUTED_VALUE"""),319.57)</f>
        <v>319.57</v>
      </c>
      <c r="F246" s="2"/>
      <c r="H246" s="2"/>
      <c r="J246" s="2"/>
    </row>
    <row r="247" spans="1:10" ht="13.2" x14ac:dyDescent="0.25">
      <c r="A247" s="142">
        <v>43817.666666666664</v>
      </c>
      <c r="B247" s="146">
        <v>35.11</v>
      </c>
      <c r="C247" s="150">
        <f ca="1">IFERROR(__xludf.DUMMYFUNCTION("""COMPUTED_VALUE"""),69.24)</f>
        <v>69.239999999999995</v>
      </c>
      <c r="D247" s="150">
        <f ca="1">IFERROR(__xludf.DUMMYFUNCTION("""COMPUTED_VALUE"""),319.59)</f>
        <v>319.58999999999997</v>
      </c>
      <c r="F247" s="2"/>
      <c r="H247" s="2"/>
      <c r="J247" s="2"/>
    </row>
    <row r="248" spans="1:10" ht="13.2" x14ac:dyDescent="0.25">
      <c r="A248" s="142">
        <v>43818.666666666664</v>
      </c>
      <c r="B248" s="146">
        <v>34.950000000000003</v>
      </c>
      <c r="C248" s="150">
        <f ca="1">IFERROR(__xludf.DUMMYFUNCTION("""COMPUTED_VALUE"""),69.55)</f>
        <v>69.55</v>
      </c>
      <c r="D248" s="150">
        <f ca="1">IFERROR(__xludf.DUMMYFUNCTION("""COMPUTED_VALUE"""),320.9)</f>
        <v>320.89999999999998</v>
      </c>
      <c r="F248" s="2"/>
      <c r="H248" s="2"/>
      <c r="J248" s="2"/>
    </row>
    <row r="249" spans="1:10" ht="13.2" x14ac:dyDescent="0.25">
      <c r="A249" s="142">
        <v>43819.666666666664</v>
      </c>
      <c r="B249" s="146">
        <v>34.96</v>
      </c>
      <c r="C249" s="150">
        <f ca="1">IFERROR(__xludf.DUMMYFUNCTION("""COMPUTED_VALUE"""),70.14)</f>
        <v>70.14</v>
      </c>
      <c r="D249" s="150">
        <f ca="1">IFERROR(__xludf.DUMMYFUNCTION("""COMPUTED_VALUE"""),320.73)</f>
        <v>320.73</v>
      </c>
      <c r="F249" s="2"/>
      <c r="H249" s="2"/>
      <c r="J249" s="2"/>
    </row>
    <row r="250" spans="1:10" ht="13.2" x14ac:dyDescent="0.25">
      <c r="A250" s="142">
        <v>43822.666666666664</v>
      </c>
      <c r="B250" s="146">
        <v>35.17</v>
      </c>
      <c r="C250" s="150">
        <f ca="1">IFERROR(__xludf.DUMMYFUNCTION("""COMPUTED_VALUE"""),70.53)</f>
        <v>70.53</v>
      </c>
      <c r="D250" s="150">
        <f ca="1">IFERROR(__xludf.DUMMYFUNCTION("""COMPUTED_VALUE"""),321.22)</f>
        <v>321.22000000000003</v>
      </c>
      <c r="F250" s="2"/>
      <c r="H250" s="2"/>
      <c r="J250" s="2"/>
    </row>
    <row r="251" spans="1:10" ht="13.2" x14ac:dyDescent="0.25">
      <c r="A251" s="142">
        <v>43823.541666666664</v>
      </c>
      <c r="B251" s="146">
        <v>35.22</v>
      </c>
      <c r="C251" s="150">
        <f ca="1">IFERROR(__xludf.DUMMYFUNCTION("""COMPUTED_VALUE"""),71.32)</f>
        <v>71.319999999999993</v>
      </c>
      <c r="D251" s="150">
        <f ca="1">IFERROR(__xludf.DUMMYFUNCTION("""COMPUTED_VALUE"""),321.23)</f>
        <v>321.23</v>
      </c>
      <c r="F251" s="2"/>
      <c r="H251" s="2"/>
      <c r="J251" s="2"/>
    </row>
    <row r="252" spans="1:10" ht="13.2" x14ac:dyDescent="0.25">
      <c r="A252" s="142">
        <v>43825.666666666664</v>
      </c>
      <c r="B252" s="146">
        <v>35.520000000000003</v>
      </c>
      <c r="C252" s="150">
        <f ca="1">IFERROR(__xludf.DUMMYFUNCTION("""COMPUTED_VALUE"""),71)</f>
        <v>71</v>
      </c>
      <c r="D252" s="150">
        <f ca="1">IFERROR(__xludf.DUMMYFUNCTION("""COMPUTED_VALUE"""),322.94)</f>
        <v>322.94</v>
      </c>
      <c r="F252" s="2"/>
      <c r="H252" s="2"/>
      <c r="J252" s="2"/>
    </row>
    <row r="253" spans="1:10" ht="13.2" x14ac:dyDescent="0.25">
      <c r="A253" s="142">
        <v>43826.666666666664</v>
      </c>
      <c r="B253" s="146">
        <v>35.35</v>
      </c>
      <c r="C253" s="150">
        <f ca="1">IFERROR(__xludf.DUMMYFUNCTION("""COMPUTED_VALUE"""),71.57)</f>
        <v>71.569999999999993</v>
      </c>
      <c r="D253" s="150">
        <f ca="1">IFERROR(__xludf.DUMMYFUNCTION("""COMPUTED_VALUE"""),322.86)</f>
        <v>322.86</v>
      </c>
      <c r="F253" s="2"/>
      <c r="H253" s="2"/>
      <c r="J253" s="2"/>
    </row>
    <row r="254" spans="1:10" s="36" customFormat="1" ht="13.2" x14ac:dyDescent="0.25">
      <c r="A254" s="145">
        <v>43829.666666666664</v>
      </c>
      <c r="B254" s="151">
        <v>35.15</v>
      </c>
      <c r="C254" s="152">
        <f ca="1">IFERROR(__xludf.DUMMYFUNCTION("""COMPUTED_VALUE"""),71.2)</f>
        <v>71.2</v>
      </c>
      <c r="D254" s="152">
        <f ca="1">IFERROR(__xludf.DUMMYFUNCTION("""COMPUTED_VALUE"""),321.08)</f>
        <v>321.08</v>
      </c>
      <c r="F254" s="35"/>
      <c r="H254" s="35"/>
      <c r="J254" s="35"/>
    </row>
    <row r="255" spans="1:10" s="36" customFormat="1" ht="13.2" x14ac:dyDescent="0.25">
      <c r="A255" s="145">
        <v>43830.666666666664</v>
      </c>
      <c r="B255" s="151">
        <v>35.22</v>
      </c>
      <c r="C255" s="152">
        <f ca="1">IFERROR(__xludf.DUMMYFUNCTION("""COMPUTED_VALUE"""),72.13)</f>
        <v>72.13</v>
      </c>
      <c r="D255" s="152">
        <f ca="1">IFERROR(__xludf.DUMMYFUNCTION("""COMPUTED_VALUE"""),321.86)</f>
        <v>321.86</v>
      </c>
    </row>
    <row r="256" spans="1:10" ht="13.2" x14ac:dyDescent="0.25">
      <c r="A256" s="142">
        <v>43832.666666666664</v>
      </c>
      <c r="B256" s="146">
        <v>35.64</v>
      </c>
      <c r="C256" s="150">
        <f ca="1">IFERROR(__xludf.DUMMYFUNCTION("""COMPUTED_VALUE"""),71.65)</f>
        <v>71.650000000000006</v>
      </c>
      <c r="D256" s="150">
        <f ca="1">IFERROR(__xludf.DUMMYFUNCTION("""COMPUTED_VALUE"""),324.87)</f>
        <v>324.87</v>
      </c>
    </row>
    <row r="257" spans="1:4" ht="13.2" x14ac:dyDescent="0.25">
      <c r="A257" s="142">
        <v>43833.666666666664</v>
      </c>
      <c r="B257" s="146">
        <v>34.9</v>
      </c>
      <c r="C257" s="150">
        <f ca="1">IFERROR(__xludf.DUMMYFUNCTION("""COMPUTED_VALUE"""),70.93)</f>
        <v>70.930000000000007</v>
      </c>
      <c r="D257" s="150">
        <f ca="1">IFERROR(__xludf.DUMMYFUNCTION("""COMPUTED_VALUE"""),322.41)</f>
        <v>322.41000000000003</v>
      </c>
    </row>
    <row r="258" spans="1:4" ht="13.2" x14ac:dyDescent="0.25">
      <c r="A258" s="142">
        <v>43836.666666666664</v>
      </c>
      <c r="B258" s="146">
        <v>34.85</v>
      </c>
      <c r="C258" s="150">
        <f ca="1">IFERROR(__xludf.DUMMYFUNCTION("""COMPUTED_VALUE"""),70.99)</f>
        <v>70.989999999999995</v>
      </c>
      <c r="D258" s="150">
        <f ca="1">IFERROR(__xludf.DUMMYFUNCTION("""COMPUTED_VALUE"""),323.64)</f>
        <v>323.64</v>
      </c>
    </row>
    <row r="259" spans="1:4" ht="13.2" x14ac:dyDescent="0.25">
      <c r="A259" s="142">
        <v>43837.666666666664</v>
      </c>
      <c r="B259" s="146">
        <v>34.619999999999997</v>
      </c>
      <c r="C259" s="150">
        <f ca="1">IFERROR(__xludf.DUMMYFUNCTION("""COMPUTED_VALUE"""),71.22)</f>
        <v>71.22</v>
      </c>
      <c r="D259" s="150">
        <f ca="1">IFERROR(__xludf.DUMMYFUNCTION("""COMPUTED_VALUE"""),322.73)</f>
        <v>322.73</v>
      </c>
    </row>
    <row r="260" spans="1:4" ht="13.2" x14ac:dyDescent="0.25">
      <c r="A260" s="142">
        <v>43838.666666666664</v>
      </c>
      <c r="B260" s="146">
        <v>34.97</v>
      </c>
      <c r="C260" s="150">
        <f ca="1">IFERROR(__xludf.DUMMYFUNCTION("""COMPUTED_VALUE"""),72.08)</f>
        <v>72.08</v>
      </c>
      <c r="D260" s="150">
        <f ca="1">IFERROR(__xludf.DUMMYFUNCTION("""COMPUTED_VALUE"""),324.45)</f>
        <v>324.45</v>
      </c>
    </row>
    <row r="261" spans="1:4" ht="13.2" x14ac:dyDescent="0.25">
      <c r="A261" s="142">
        <v>43839.666666666664</v>
      </c>
      <c r="B261" s="146">
        <v>35.03</v>
      </c>
      <c r="C261" s="150">
        <f ca="1">IFERROR(__xludf.DUMMYFUNCTION("""COMPUTED_VALUE"""),71.55)</f>
        <v>71.55</v>
      </c>
      <c r="D261" s="150">
        <f ca="1">IFERROR(__xludf.DUMMYFUNCTION("""COMPUTED_VALUE"""),326.65)</f>
        <v>326.64999999999998</v>
      </c>
    </row>
    <row r="262" spans="1:4" ht="13.2" x14ac:dyDescent="0.25">
      <c r="A262" s="142">
        <v>43840.666666666664</v>
      </c>
      <c r="B262" s="146">
        <v>34.74</v>
      </c>
      <c r="C262" s="150">
        <f ca="1">IFERROR(__xludf.DUMMYFUNCTION("""COMPUTED_VALUE"""),71.55)</f>
        <v>71.55</v>
      </c>
      <c r="D262" s="150">
        <f ca="1">IFERROR(__xludf.DUMMYFUNCTION("""COMPUTED_VALUE"""),325.71)</f>
        <v>325.70999999999998</v>
      </c>
    </row>
    <row r="263" spans="1:4" ht="13.2" x14ac:dyDescent="0.25">
      <c r="A263" s="142">
        <v>43843.666666666664</v>
      </c>
      <c r="B263" s="146">
        <v>35.06</v>
      </c>
      <c r="C263" s="150">
        <f ca="1">IFERROR(__xludf.DUMMYFUNCTION("""COMPUTED_VALUE"""),74.27)</f>
        <v>74.27</v>
      </c>
      <c r="D263" s="150">
        <f ca="1">IFERROR(__xludf.DUMMYFUNCTION("""COMPUTED_VALUE"""),327.95)</f>
        <v>327.95</v>
      </c>
    </row>
    <row r="264" spans="1:4" ht="13.2" x14ac:dyDescent="0.25">
      <c r="A264" s="142">
        <v>43844.666666666664</v>
      </c>
      <c r="B264" s="146">
        <v>35.32</v>
      </c>
      <c r="C264" s="150">
        <f ca="1">IFERROR(__xludf.DUMMYFUNCTION("""COMPUTED_VALUE"""),72.82)</f>
        <v>72.819999999999993</v>
      </c>
      <c r="D264" s="150">
        <f ca="1">IFERROR(__xludf.DUMMYFUNCTION("""COMPUTED_VALUE"""),327.45)</f>
        <v>327.45</v>
      </c>
    </row>
    <row r="265" spans="1:4" ht="13.2" x14ac:dyDescent="0.25">
      <c r="A265" s="142">
        <v>43845.666666666664</v>
      </c>
      <c r="B265" s="146">
        <v>34.67</v>
      </c>
      <c r="C265" s="150">
        <f ca="1">IFERROR(__xludf.DUMMYFUNCTION("""COMPUTED_VALUE"""),72.91)</f>
        <v>72.91</v>
      </c>
      <c r="D265" s="150">
        <f ca="1">IFERROR(__xludf.DUMMYFUNCTION("""COMPUTED_VALUE"""),328.19)</f>
        <v>328.19</v>
      </c>
    </row>
    <row r="266" spans="1:4" ht="13.2" x14ac:dyDescent="0.25">
      <c r="A266" s="142">
        <v>43846.666666666664</v>
      </c>
      <c r="B266" s="146">
        <v>34.72</v>
      </c>
      <c r="C266" s="150">
        <f ca="1">IFERROR(__xludf.DUMMYFUNCTION("""COMPUTED_VALUE"""),73.03)</f>
        <v>73.03</v>
      </c>
      <c r="D266" s="150">
        <f ca="1">IFERROR(__xludf.DUMMYFUNCTION("""COMPUTED_VALUE"""),330.92)</f>
        <v>330.92</v>
      </c>
    </row>
    <row r="267" spans="1:4" ht="13.2" x14ac:dyDescent="0.25">
      <c r="A267" s="142">
        <v>43847.666666666664</v>
      </c>
      <c r="B267" s="146">
        <v>34.71</v>
      </c>
      <c r="C267" s="150">
        <f ca="1">IFERROR(__xludf.DUMMYFUNCTION("""COMPUTED_VALUE"""),72.87)</f>
        <v>72.87</v>
      </c>
      <c r="D267" s="150">
        <f ca="1">IFERROR(__xludf.DUMMYFUNCTION("""COMPUTED_VALUE"""),331.95)</f>
        <v>331.95</v>
      </c>
    </row>
    <row r="268" spans="1:4" ht="13.2" x14ac:dyDescent="0.25">
      <c r="A268" s="142">
        <v>43851.666666666664</v>
      </c>
      <c r="B268" s="146">
        <v>34.26</v>
      </c>
      <c r="C268" s="150">
        <f ca="1">IFERROR(__xludf.DUMMYFUNCTION("""COMPUTED_VALUE"""),72.57)</f>
        <v>72.569999999999993</v>
      </c>
      <c r="D268" s="150">
        <f ca="1">IFERROR(__xludf.DUMMYFUNCTION("""COMPUTED_VALUE"""),331.3)</f>
        <v>331.3</v>
      </c>
    </row>
    <row r="269" spans="1:4" ht="13.2" x14ac:dyDescent="0.25">
      <c r="A269" s="142">
        <v>43852.666666666664</v>
      </c>
      <c r="B269" s="146">
        <v>34.36</v>
      </c>
      <c r="C269" s="150">
        <f ca="1">IFERROR(__xludf.DUMMYFUNCTION("""COMPUTED_VALUE"""),72.16)</f>
        <v>72.16</v>
      </c>
      <c r="D269" s="150">
        <f ca="1">IFERROR(__xludf.DUMMYFUNCTION("""COMPUTED_VALUE"""),331.34)</f>
        <v>331.34</v>
      </c>
    </row>
    <row r="270" spans="1:4" ht="13.2" x14ac:dyDescent="0.25">
      <c r="A270" s="142">
        <v>43853.666666666664</v>
      </c>
      <c r="B270" s="146">
        <v>34.119999999999997</v>
      </c>
      <c r="C270" s="150">
        <f ca="1">IFERROR(__xludf.DUMMYFUNCTION("""COMPUTED_VALUE"""),71.61)</f>
        <v>71.61</v>
      </c>
      <c r="D270" s="150">
        <f ca="1">IFERROR(__xludf.DUMMYFUNCTION("""COMPUTED_VALUE"""),331.72)</f>
        <v>331.72</v>
      </c>
    </row>
    <row r="271" spans="1:4" ht="13.2" x14ac:dyDescent="0.25">
      <c r="A271" s="142">
        <v>43854.666666666664</v>
      </c>
      <c r="B271" s="146">
        <v>33.54</v>
      </c>
      <c r="C271" s="150">
        <f ca="1">IFERROR(__xludf.DUMMYFUNCTION("""COMPUTED_VALUE"""),71.07)</f>
        <v>71.069999999999993</v>
      </c>
      <c r="D271" s="150">
        <f ca="1">IFERROR(__xludf.DUMMYFUNCTION("""COMPUTED_VALUE"""),328.77)</f>
        <v>328.77</v>
      </c>
    </row>
    <row r="272" spans="1:4" ht="13.2" x14ac:dyDescent="0.25">
      <c r="A272" s="142">
        <v>43857.666666666664</v>
      </c>
      <c r="B272" s="146">
        <v>32.85</v>
      </c>
      <c r="C272" s="150">
        <f ca="1">IFERROR(__xludf.DUMMYFUNCTION("""COMPUTED_VALUE"""),69.16)</f>
        <v>69.16</v>
      </c>
      <c r="D272" s="150">
        <f ca="1">IFERROR(__xludf.DUMMYFUNCTION("""COMPUTED_VALUE"""),323.5)</f>
        <v>323.5</v>
      </c>
    </row>
    <row r="273" spans="1:4" ht="13.2" x14ac:dyDescent="0.25">
      <c r="A273" s="142">
        <v>43858.666666666664</v>
      </c>
      <c r="B273" s="146">
        <v>33.24</v>
      </c>
      <c r="C273" s="150">
        <f ca="1">IFERROR(__xludf.DUMMYFUNCTION("""COMPUTED_VALUE"""),70.57)</f>
        <v>70.569999999999993</v>
      </c>
      <c r="D273" s="150">
        <f ca="1">IFERROR(__xludf.DUMMYFUNCTION("""COMPUTED_VALUE"""),326.89)</f>
        <v>326.89</v>
      </c>
    </row>
    <row r="274" spans="1:4" ht="13.2" x14ac:dyDescent="0.25">
      <c r="A274" s="142">
        <v>43859.666666666664</v>
      </c>
      <c r="B274" s="146">
        <v>33.01</v>
      </c>
      <c r="C274" s="150">
        <f ca="1">IFERROR(__xludf.DUMMYFUNCTION("""COMPUTED_VALUE"""),70.42)</f>
        <v>70.42</v>
      </c>
      <c r="D274" s="150">
        <f ca="1">IFERROR(__xludf.DUMMYFUNCTION("""COMPUTED_VALUE"""),326.62)</f>
        <v>326.62</v>
      </c>
    </row>
    <row r="275" spans="1:4" ht="13.2" x14ac:dyDescent="0.25">
      <c r="A275" s="142">
        <v>43860.666666666664</v>
      </c>
      <c r="B275" s="146">
        <v>33.479999999999997</v>
      </c>
      <c r="C275" s="150">
        <f ca="1">IFERROR(__xludf.DUMMYFUNCTION("""COMPUTED_VALUE"""),68.74)</f>
        <v>68.739999999999995</v>
      </c>
      <c r="D275" s="150">
        <f ca="1">IFERROR(__xludf.DUMMYFUNCTION("""COMPUTED_VALUE"""),327.68)</f>
        <v>327.68</v>
      </c>
    </row>
    <row r="276" spans="1:4" ht="13.2" x14ac:dyDescent="0.25">
      <c r="A276" s="142">
        <v>43861.666666666664</v>
      </c>
      <c r="B276" s="146">
        <v>32.83</v>
      </c>
      <c r="C276" s="150">
        <f ca="1">IFERROR(__xludf.DUMMYFUNCTION("""COMPUTED_VALUE"""),67.8)</f>
        <v>67.8</v>
      </c>
      <c r="D276" s="150">
        <f ca="1">IFERROR(__xludf.DUMMYFUNCTION("""COMPUTED_VALUE"""),321.73)</f>
        <v>321.73</v>
      </c>
    </row>
    <row r="277" spans="1:4" ht="13.2" x14ac:dyDescent="0.25">
      <c r="A277" s="142">
        <v>43864.666666666664</v>
      </c>
      <c r="B277" s="146">
        <v>32.97</v>
      </c>
      <c r="C277" s="150">
        <f ca="1">IFERROR(__xludf.DUMMYFUNCTION("""COMPUTED_VALUE"""),68.1)</f>
        <v>68.099999999999994</v>
      </c>
      <c r="D277" s="150">
        <f ca="1">IFERROR(__xludf.DUMMYFUNCTION("""COMPUTED_VALUE"""),324.12)</f>
        <v>324.12</v>
      </c>
    </row>
    <row r="278" spans="1:4" ht="13.2" x14ac:dyDescent="0.25">
      <c r="A278" s="142">
        <v>43865.666666666664</v>
      </c>
      <c r="B278" s="146">
        <v>33.619999999999997</v>
      </c>
      <c r="C278" s="150">
        <f ca="1">IFERROR(__xludf.DUMMYFUNCTION("""COMPUTED_VALUE"""),69.67)</f>
        <v>69.67</v>
      </c>
      <c r="D278" s="150">
        <f ca="1">IFERROR(__xludf.DUMMYFUNCTION("""COMPUTED_VALUE"""),329.06)</f>
        <v>329.06</v>
      </c>
    </row>
    <row r="279" spans="1:4" ht="13.2" x14ac:dyDescent="0.25">
      <c r="A279" s="142">
        <v>43866.666666666664</v>
      </c>
      <c r="B279" s="146">
        <v>34.71</v>
      </c>
      <c r="C279" s="150">
        <f ca="1">IFERROR(__xludf.DUMMYFUNCTION("""COMPUTED_VALUE"""),71.25)</f>
        <v>71.25</v>
      </c>
      <c r="D279" s="150">
        <f ca="1">IFERROR(__xludf.DUMMYFUNCTION("""COMPUTED_VALUE"""),332.86)</f>
        <v>332.86</v>
      </c>
    </row>
    <row r="280" spans="1:4" ht="13.2" x14ac:dyDescent="0.25">
      <c r="A280" s="142">
        <v>43867.666666666664</v>
      </c>
      <c r="B280" s="146">
        <v>34.67</v>
      </c>
      <c r="C280" s="150">
        <f ca="1">IFERROR(__xludf.DUMMYFUNCTION("""COMPUTED_VALUE"""),71.57)</f>
        <v>71.569999999999993</v>
      </c>
      <c r="D280" s="150">
        <f ca="1">IFERROR(__xludf.DUMMYFUNCTION("""COMPUTED_VALUE"""),333.98)</f>
        <v>333.98</v>
      </c>
    </row>
    <row r="281" spans="1:4" ht="13.2" x14ac:dyDescent="0.25">
      <c r="A281" s="142">
        <v>43868.666666666664</v>
      </c>
      <c r="B281" s="146">
        <v>34.61</v>
      </c>
      <c r="C281" s="150">
        <f ca="1">IFERROR(__xludf.DUMMYFUNCTION("""COMPUTED_VALUE"""),72.05)</f>
        <v>72.05</v>
      </c>
      <c r="D281" s="150">
        <f ca="1">IFERROR(__xludf.DUMMYFUNCTION("""COMPUTED_VALUE"""),332.2)</f>
        <v>332.2</v>
      </c>
    </row>
    <row r="282" spans="1:4" ht="13.2" x14ac:dyDescent="0.25">
      <c r="A282" s="142">
        <v>43871.666666666664</v>
      </c>
      <c r="B282" s="146">
        <v>34.69</v>
      </c>
      <c r="C282" s="150">
        <f ca="1">IFERROR(__xludf.DUMMYFUNCTION("""COMPUTED_VALUE"""),71.75)</f>
        <v>71.75</v>
      </c>
      <c r="D282" s="150">
        <f ca="1">IFERROR(__xludf.DUMMYFUNCTION("""COMPUTED_VALUE"""),334.68)</f>
        <v>334.68</v>
      </c>
    </row>
    <row r="283" spans="1:4" ht="13.2" x14ac:dyDescent="0.25">
      <c r="A283" s="142">
        <v>43872.666666666664</v>
      </c>
      <c r="B283" s="146">
        <v>34.770000000000003</v>
      </c>
      <c r="C283" s="150">
        <f ca="1">IFERROR(__xludf.DUMMYFUNCTION("""COMPUTED_VALUE"""),72.19)</f>
        <v>72.19</v>
      </c>
      <c r="D283" s="150">
        <f ca="1">IFERROR(__xludf.DUMMYFUNCTION("""COMPUTED_VALUE"""),335.26)</f>
        <v>335.26</v>
      </c>
    </row>
    <row r="284" spans="1:4" ht="13.2" x14ac:dyDescent="0.25">
      <c r="A284" s="142">
        <v>43873.666666666664</v>
      </c>
      <c r="B284" s="146">
        <v>34.92</v>
      </c>
      <c r="C284" s="150">
        <f ca="1">IFERROR(__xludf.DUMMYFUNCTION("""COMPUTED_VALUE"""),73.17)</f>
        <v>73.17</v>
      </c>
      <c r="D284" s="150">
        <f ca="1">IFERROR(__xludf.DUMMYFUNCTION("""COMPUTED_VALUE"""),337.42)</f>
        <v>337.42</v>
      </c>
    </row>
    <row r="285" spans="1:4" ht="13.2" x14ac:dyDescent="0.25">
      <c r="A285" s="142">
        <v>43874.666666666664</v>
      </c>
      <c r="B285" s="146">
        <v>34.909999999999997</v>
      </c>
      <c r="C285" s="150">
        <f ca="1">IFERROR(__xludf.DUMMYFUNCTION("""COMPUTED_VALUE"""),72.88)</f>
        <v>72.88</v>
      </c>
      <c r="D285" s="150">
        <f ca="1">IFERROR(__xludf.DUMMYFUNCTION("""COMPUTED_VALUE"""),337.06)</f>
        <v>337.06</v>
      </c>
    </row>
    <row r="286" spans="1:4" ht="13.2" x14ac:dyDescent="0.25">
      <c r="A286" s="142">
        <v>43875.666666666664</v>
      </c>
      <c r="B286" s="146">
        <v>34.85</v>
      </c>
      <c r="C286" s="150">
        <f ca="1">IFERROR(__xludf.DUMMYFUNCTION("""COMPUTED_VALUE"""),72.75)</f>
        <v>72.75</v>
      </c>
      <c r="D286" s="150">
        <f ca="1">IFERROR(__xludf.DUMMYFUNCTION("""COMPUTED_VALUE"""),337.6)</f>
        <v>337.6</v>
      </c>
    </row>
    <row r="287" spans="1:4" ht="13.2" x14ac:dyDescent="0.25">
      <c r="A287" s="142">
        <v>43879.666666666664</v>
      </c>
      <c r="B287" s="146">
        <v>34.270000000000003</v>
      </c>
      <c r="C287" s="150">
        <f ca="1">IFERROR(__xludf.DUMMYFUNCTION("""COMPUTED_VALUE"""),73.12)</f>
        <v>73.12</v>
      </c>
      <c r="D287" s="150">
        <f ca="1">IFERROR(__xludf.DUMMYFUNCTION("""COMPUTED_VALUE"""),336.73)</f>
        <v>336.73</v>
      </c>
    </row>
    <row r="288" spans="1:4" ht="13.2" x14ac:dyDescent="0.25">
      <c r="A288" s="142">
        <v>43880.666666666664</v>
      </c>
      <c r="B288" s="146">
        <v>34.72</v>
      </c>
      <c r="C288" s="150">
        <f ca="1">IFERROR(__xludf.DUMMYFUNCTION("""COMPUTED_VALUE"""),71.79)</f>
        <v>71.790000000000006</v>
      </c>
      <c r="D288" s="150">
        <f ca="1">IFERROR(__xludf.DUMMYFUNCTION("""COMPUTED_VALUE"""),338.34)</f>
        <v>338.34</v>
      </c>
    </row>
    <row r="289" spans="1:4" ht="13.2" x14ac:dyDescent="0.25">
      <c r="A289" s="142">
        <v>43881.666666666664</v>
      </c>
      <c r="B289" s="146">
        <v>34.85</v>
      </c>
      <c r="C289" s="150">
        <f ca="1">IFERROR(__xludf.DUMMYFUNCTION("""COMPUTED_VALUE"""),72.43)</f>
        <v>72.430000000000007</v>
      </c>
      <c r="D289" s="150">
        <f ca="1">IFERROR(__xludf.DUMMYFUNCTION("""COMPUTED_VALUE"""),336.95)</f>
        <v>336.95</v>
      </c>
    </row>
    <row r="290" spans="1:4" ht="13.2" x14ac:dyDescent="0.25">
      <c r="A290" s="142">
        <v>43882.666666666664</v>
      </c>
      <c r="B290" s="146">
        <v>34.36</v>
      </c>
      <c r="C290" s="150">
        <f ca="1">IFERROR(__xludf.DUMMYFUNCTION("""COMPUTED_VALUE"""),71.82)</f>
        <v>71.819999999999993</v>
      </c>
      <c r="D290" s="150">
        <f ca="1">IFERROR(__xludf.DUMMYFUNCTION("""COMPUTED_VALUE"""),333.48)</f>
        <v>333.48</v>
      </c>
    </row>
    <row r="291" spans="1:4" ht="13.2" x14ac:dyDescent="0.25">
      <c r="A291" s="142">
        <v>43885.666666666664</v>
      </c>
      <c r="B291" s="146">
        <v>32.729999999999997</v>
      </c>
      <c r="C291" s="150">
        <f ca="1">IFERROR(__xludf.DUMMYFUNCTION("""COMPUTED_VALUE"""),70.87)</f>
        <v>70.87</v>
      </c>
      <c r="D291" s="150">
        <f ca="1">IFERROR(__xludf.DUMMYFUNCTION("""COMPUTED_VALUE"""),322.42)</f>
        <v>322.42</v>
      </c>
    </row>
    <row r="292" spans="1:4" ht="13.2" x14ac:dyDescent="0.25">
      <c r="A292" s="142">
        <v>43886.666666666664</v>
      </c>
      <c r="B292" s="146">
        <v>31.08</v>
      </c>
      <c r="C292" s="150">
        <f ca="1">IFERROR(__xludf.DUMMYFUNCTION("""COMPUTED_VALUE"""),67.3)</f>
        <v>67.3</v>
      </c>
      <c r="D292" s="150">
        <f ca="1">IFERROR(__xludf.DUMMYFUNCTION("""COMPUTED_VALUE"""),312.65)</f>
        <v>312.64999999999998</v>
      </c>
    </row>
    <row r="293" spans="1:4" ht="13.2" x14ac:dyDescent="0.25">
      <c r="A293" s="142">
        <v>43887.666666666664</v>
      </c>
      <c r="B293" s="146">
        <v>30.63</v>
      </c>
      <c r="C293" s="150">
        <f ca="1">IFERROR(__xludf.DUMMYFUNCTION("""COMPUTED_VALUE"""),65.94)</f>
        <v>65.94</v>
      </c>
      <c r="D293" s="150">
        <f ca="1">IFERROR(__xludf.DUMMYFUNCTION("""COMPUTED_VALUE"""),311.5)</f>
        <v>311.5</v>
      </c>
    </row>
    <row r="294" spans="1:4" ht="13.2" x14ac:dyDescent="0.25">
      <c r="A294" s="142">
        <v>43888.666666666664</v>
      </c>
      <c r="B294" s="146">
        <v>29.13</v>
      </c>
      <c r="C294" s="150">
        <f ca="1">IFERROR(__xludf.DUMMYFUNCTION("""COMPUTED_VALUE"""),64.42)</f>
        <v>64.42</v>
      </c>
      <c r="D294" s="150">
        <f ca="1">IFERROR(__xludf.DUMMYFUNCTION("""COMPUTED_VALUE"""),297.51)</f>
        <v>297.51</v>
      </c>
    </row>
    <row r="295" spans="1:4" ht="13.2" x14ac:dyDescent="0.25">
      <c r="A295" s="142">
        <v>43889.666666666664</v>
      </c>
      <c r="B295" s="146">
        <v>28.5</v>
      </c>
      <c r="C295" s="150">
        <f ca="1">IFERROR(__xludf.DUMMYFUNCTION("""COMPUTED_VALUE"""),59.94)</f>
        <v>59.94</v>
      </c>
      <c r="D295" s="150">
        <f ca="1">IFERROR(__xludf.DUMMYFUNCTION("""COMPUTED_VALUE"""),296.26)</f>
        <v>296.26</v>
      </c>
    </row>
    <row r="296" spans="1:4" ht="13.2" x14ac:dyDescent="0.25">
      <c r="A296" s="142">
        <v>43892.666666666664</v>
      </c>
      <c r="B296" s="146">
        <v>29.37</v>
      </c>
      <c r="C296" s="150">
        <f ca="1">IFERROR(__xludf.DUMMYFUNCTION("""COMPUTED_VALUE"""),57.62)</f>
        <v>57.62</v>
      </c>
      <c r="D296" s="150">
        <f ca="1">IFERROR(__xludf.DUMMYFUNCTION("""COMPUTED_VALUE"""),309.09)</f>
        <v>309.08999999999997</v>
      </c>
    </row>
    <row r="297" spans="1:4" ht="13.2" x14ac:dyDescent="0.25">
      <c r="A297" s="142">
        <v>43893.666666666664</v>
      </c>
      <c r="B297" s="146">
        <v>27.75</v>
      </c>
      <c r="C297" s="150">
        <f ca="1">IFERROR(__xludf.DUMMYFUNCTION("""COMPUTED_VALUE"""),58.33)</f>
        <v>58.33</v>
      </c>
      <c r="D297" s="150">
        <f ca="1">IFERROR(__xludf.DUMMYFUNCTION("""COMPUTED_VALUE"""),300.24)</f>
        <v>300.24</v>
      </c>
    </row>
    <row r="298" spans="1:4" ht="13.2" x14ac:dyDescent="0.25">
      <c r="A298" s="142">
        <v>43894.666666666664</v>
      </c>
      <c r="B298" s="146">
        <v>28.39</v>
      </c>
      <c r="C298" s="150">
        <f ca="1">IFERROR(__xludf.DUMMYFUNCTION("""COMPUTED_VALUE"""),59.27)</f>
        <v>59.27</v>
      </c>
      <c r="D298" s="150">
        <f ca="1">IFERROR(__xludf.DUMMYFUNCTION("""COMPUTED_VALUE"""),312.86)</f>
        <v>312.86</v>
      </c>
    </row>
    <row r="299" spans="1:4" ht="13.2" x14ac:dyDescent="0.25">
      <c r="A299" s="142">
        <v>43895.666666666664</v>
      </c>
      <c r="B299" s="146">
        <v>26.78</v>
      </c>
      <c r="C299" s="150">
        <f ca="1">IFERROR(__xludf.DUMMYFUNCTION("""COMPUTED_VALUE"""),58.6)</f>
        <v>58.6</v>
      </c>
      <c r="D299" s="150">
        <f ca="1">IFERROR(__xludf.DUMMYFUNCTION("""COMPUTED_VALUE"""),302.46)</f>
        <v>302.45999999999998</v>
      </c>
    </row>
    <row r="300" spans="1:4" ht="13.2" x14ac:dyDescent="0.25">
      <c r="A300" s="142">
        <v>43896.666666666664</v>
      </c>
      <c r="B300" s="146">
        <v>25.71</v>
      </c>
      <c r="C300" s="150">
        <f ca="1">IFERROR(__xludf.DUMMYFUNCTION("""COMPUTED_VALUE"""),57.88)</f>
        <v>57.88</v>
      </c>
      <c r="D300" s="150">
        <f ca="1">IFERROR(__xludf.DUMMYFUNCTION("""COMPUTED_VALUE"""),297.46)</f>
        <v>297.45999999999998</v>
      </c>
    </row>
    <row r="301" spans="1:4" ht="13.2" x14ac:dyDescent="0.25">
      <c r="A301" s="142">
        <v>43899.666666666664</v>
      </c>
      <c r="B301" s="146">
        <v>21.93</v>
      </c>
      <c r="C301" s="150">
        <f ca="1">IFERROR(__xludf.DUMMYFUNCTION("""COMPUTED_VALUE"""),53.85)</f>
        <v>53.85</v>
      </c>
      <c r="D301" s="150">
        <f ca="1">IFERROR(__xludf.DUMMYFUNCTION("""COMPUTED_VALUE"""),274.23)</f>
        <v>274.23</v>
      </c>
    </row>
    <row r="302" spans="1:4" ht="13.2" x14ac:dyDescent="0.25">
      <c r="A302" s="142">
        <v>43900.666666666664</v>
      </c>
      <c r="B302" s="146">
        <v>23.61</v>
      </c>
      <c r="C302" s="150">
        <f ca="1">IFERROR(__xludf.DUMMYFUNCTION("""COMPUTED_VALUE"""),46.74)</f>
        <v>46.74</v>
      </c>
      <c r="D302" s="150">
        <f ca="1">IFERROR(__xludf.DUMMYFUNCTION("""COMPUTED_VALUE"""),288.42)</f>
        <v>288.42</v>
      </c>
    </row>
    <row r="303" spans="1:4" ht="13.2" x14ac:dyDescent="0.25">
      <c r="A303" s="142">
        <v>43901.666666666664</v>
      </c>
      <c r="B303" s="146">
        <v>22.67</v>
      </c>
      <c r="C303" s="150">
        <f ca="1">IFERROR(__xludf.DUMMYFUNCTION("""COMPUTED_VALUE"""),46.12)</f>
        <v>46.12</v>
      </c>
      <c r="D303" s="150">
        <f ca="1">IFERROR(__xludf.DUMMYFUNCTION("""COMPUTED_VALUE"""),274.36)</f>
        <v>274.36</v>
      </c>
    </row>
    <row r="304" spans="1:4" ht="13.2" x14ac:dyDescent="0.25">
      <c r="A304" s="142">
        <v>43902.666666666664</v>
      </c>
      <c r="B304" s="146">
        <v>20.51</v>
      </c>
      <c r="C304" s="150">
        <f ca="1">IFERROR(__xludf.DUMMYFUNCTION("""COMPUTED_VALUE"""),47.45)</f>
        <v>47.45</v>
      </c>
      <c r="D304" s="150">
        <f ca="1">IFERROR(__xludf.DUMMYFUNCTION("""COMPUTED_VALUE"""),248.11)</f>
        <v>248.11</v>
      </c>
    </row>
    <row r="305" spans="1:4" ht="13.2" x14ac:dyDescent="0.25">
      <c r="A305" s="142">
        <v>43903.666666666664</v>
      </c>
      <c r="B305" s="146">
        <v>24.16</v>
      </c>
      <c r="C305" s="150">
        <f ca="1">IFERROR(__xludf.DUMMYFUNCTION("""COMPUTED_VALUE"""),39.8)</f>
        <v>39.799999999999997</v>
      </c>
      <c r="D305" s="150">
        <f ca="1">IFERROR(__xludf.DUMMYFUNCTION("""COMPUTED_VALUE"""),269.32)</f>
        <v>269.32</v>
      </c>
    </row>
    <row r="306" spans="1:4" ht="13.2" x14ac:dyDescent="0.25">
      <c r="A306" s="142">
        <v>43906.666666666664</v>
      </c>
      <c r="B306" s="146">
        <v>20.440000000000001</v>
      </c>
      <c r="C306" s="150">
        <f ca="1">IFERROR(__xludf.DUMMYFUNCTION("""COMPUTED_VALUE"""),41.44)</f>
        <v>41.44</v>
      </c>
      <c r="D306" s="150">
        <f ca="1">IFERROR(__xludf.DUMMYFUNCTION("""COMPUTED_VALUE"""),239.85)</f>
        <v>239.85</v>
      </c>
    </row>
    <row r="307" spans="1:4" ht="13.2" x14ac:dyDescent="0.25">
      <c r="A307" s="142">
        <v>43907.666666666664</v>
      </c>
      <c r="B307" s="146">
        <v>21.98</v>
      </c>
      <c r="C307" s="150">
        <f ca="1">IFERROR(__xludf.DUMMYFUNCTION("""COMPUTED_VALUE"""),38.03)</f>
        <v>38.03</v>
      </c>
      <c r="D307" s="150">
        <f ca="1">IFERROR(__xludf.DUMMYFUNCTION("""COMPUTED_VALUE"""),252.8)</f>
        <v>252.8</v>
      </c>
    </row>
    <row r="308" spans="1:4" ht="13.2" x14ac:dyDescent="0.25">
      <c r="A308" s="142">
        <v>43908.666666666664</v>
      </c>
      <c r="B308" s="146">
        <v>20.79</v>
      </c>
      <c r="C308" s="150">
        <f ca="1">IFERROR(__xludf.DUMMYFUNCTION("""COMPUTED_VALUE"""),38.37)</f>
        <v>38.369999999999997</v>
      </c>
      <c r="D308" s="150">
        <f ca="1">IFERROR(__xludf.DUMMYFUNCTION("""COMPUTED_VALUE"""),240)</f>
        <v>240</v>
      </c>
    </row>
    <row r="309" spans="1:4" ht="13.2" x14ac:dyDescent="0.25">
      <c r="A309" s="142">
        <v>43909.666666666664</v>
      </c>
      <c r="B309" s="146">
        <v>21.2</v>
      </c>
      <c r="C309" s="150">
        <f ca="1">IFERROR(__xludf.DUMMYFUNCTION("""COMPUTED_VALUE"""),32.28)</f>
        <v>32.28</v>
      </c>
      <c r="D309" s="150">
        <f ca="1">IFERROR(__xludf.DUMMYFUNCTION("""COMPUTED_VALUE"""),240.51)</f>
        <v>240.51</v>
      </c>
    </row>
    <row r="310" spans="1:4" ht="13.2" x14ac:dyDescent="0.25">
      <c r="A310" s="142">
        <v>43910.666666666664</v>
      </c>
      <c r="B310" s="146">
        <v>19.670000000000002</v>
      </c>
      <c r="C310" s="150">
        <f ca="1">IFERROR(__xludf.DUMMYFUNCTION("""COMPUTED_VALUE"""),32)</f>
        <v>32</v>
      </c>
      <c r="D310" s="150">
        <f ca="1">IFERROR(__xludf.DUMMYFUNCTION("""COMPUTED_VALUE"""),228.8)</f>
        <v>228.8</v>
      </c>
    </row>
    <row r="311" spans="1:4" ht="13.2" x14ac:dyDescent="0.25">
      <c r="A311" s="142">
        <v>43913.666666666664</v>
      </c>
      <c r="B311" s="146">
        <v>18.079999999999998</v>
      </c>
      <c r="C311" s="150">
        <f ca="1">IFERROR(__xludf.DUMMYFUNCTION("""COMPUTED_VALUE"""),36.46)</f>
        <v>36.46</v>
      </c>
      <c r="D311" s="150">
        <f ca="1">IFERROR(__xludf.DUMMYFUNCTION("""COMPUTED_VALUE"""),222.95)</f>
        <v>222.95</v>
      </c>
    </row>
    <row r="312" spans="1:4" ht="13.2" x14ac:dyDescent="0.25">
      <c r="A312" s="142">
        <v>43914.666666666664</v>
      </c>
      <c r="B312" s="146">
        <v>21.03</v>
      </c>
      <c r="C312" s="150">
        <f ca="1">IFERROR(__xludf.DUMMYFUNCTION("""COMPUTED_VALUE"""),32.78)</f>
        <v>32.78</v>
      </c>
      <c r="D312" s="150">
        <f ca="1">IFERROR(__xludf.DUMMYFUNCTION("""COMPUTED_VALUE"""),243.15)</f>
        <v>243.15</v>
      </c>
    </row>
    <row r="313" spans="1:4" ht="13.2" x14ac:dyDescent="0.25">
      <c r="A313" s="142">
        <v>43915.666666666664</v>
      </c>
      <c r="B313" s="146">
        <v>21.1</v>
      </c>
      <c r="C313" s="150">
        <f ca="1">IFERROR(__xludf.DUMMYFUNCTION("""COMPUTED_VALUE"""),37.09)</f>
        <v>37.090000000000003</v>
      </c>
      <c r="D313" s="150">
        <f ca="1">IFERROR(__xludf.DUMMYFUNCTION("""COMPUTED_VALUE"""),246.79)</f>
        <v>246.79</v>
      </c>
    </row>
    <row r="314" spans="1:4" ht="13.2" x14ac:dyDescent="0.25">
      <c r="A314" s="142">
        <v>43916.666666666664</v>
      </c>
      <c r="B314" s="146">
        <v>22.72</v>
      </c>
      <c r="C314" s="150">
        <f ca="1">IFERROR(__xludf.DUMMYFUNCTION("""COMPUTED_VALUE"""),38.81)</f>
        <v>38.81</v>
      </c>
      <c r="D314" s="150">
        <f ca="1">IFERROR(__xludf.DUMMYFUNCTION("""COMPUTED_VALUE"""),261.2)</f>
        <v>261.2</v>
      </c>
    </row>
    <row r="315" spans="1:4" ht="13.2" x14ac:dyDescent="0.25">
      <c r="A315" s="142">
        <v>43917.666666666664</v>
      </c>
      <c r="B315" s="146">
        <v>21.6</v>
      </c>
      <c r="C315" s="150">
        <f ca="1">IFERROR(__xludf.DUMMYFUNCTION("""COMPUTED_VALUE"""),41.63)</f>
        <v>41.63</v>
      </c>
      <c r="D315" s="150">
        <f ca="1">IFERROR(__xludf.DUMMYFUNCTION("""COMPUTED_VALUE"""),253.42)</f>
        <v>253.42</v>
      </c>
    </row>
    <row r="316" spans="1:4" ht="13.2" x14ac:dyDescent="0.25">
      <c r="A316" s="142">
        <v>43920.666666666664</v>
      </c>
      <c r="B316" s="146">
        <v>22.04</v>
      </c>
      <c r="C316" s="150">
        <f ca="1">IFERROR(__xludf.DUMMYFUNCTION("""COMPUTED_VALUE"""),40.25)</f>
        <v>40.25</v>
      </c>
      <c r="D316" s="150">
        <f ca="1">IFERROR(__xludf.DUMMYFUNCTION("""COMPUTED_VALUE"""),261.65)</f>
        <v>261.64999999999998</v>
      </c>
    </row>
    <row r="317" spans="1:4" ht="13.2" x14ac:dyDescent="0.25">
      <c r="A317" s="142">
        <v>43921.666666666664</v>
      </c>
      <c r="B317" s="146">
        <v>21.23</v>
      </c>
      <c r="C317" s="150">
        <f ca="1">IFERROR(__xludf.DUMMYFUNCTION("""COMPUTED_VALUE"""),39.59)</f>
        <v>39.590000000000003</v>
      </c>
      <c r="D317" s="150">
        <f ca="1">IFERROR(__xludf.DUMMYFUNCTION("""COMPUTED_VALUE"""),257.75)</f>
        <v>257.75</v>
      </c>
    </row>
    <row r="318" spans="1:4" ht="13.2" x14ac:dyDescent="0.25">
      <c r="A318" s="142">
        <v>43922.666666666664</v>
      </c>
      <c r="B318" s="146">
        <v>19.77</v>
      </c>
      <c r="C318" s="150">
        <f ca="1">IFERROR(__xludf.DUMMYFUNCTION("""COMPUTED_VALUE"""),40.06)</f>
        <v>40.06</v>
      </c>
      <c r="D318" s="150">
        <f ca="1">IFERROR(__xludf.DUMMYFUNCTION("""COMPUTED_VALUE"""),246.15)</f>
        <v>246.15</v>
      </c>
    </row>
    <row r="319" spans="1:4" ht="13.2" x14ac:dyDescent="0.25">
      <c r="A319" s="142">
        <v>43923.666666666664</v>
      </c>
      <c r="B319" s="146">
        <v>20.57</v>
      </c>
      <c r="C319" s="150">
        <f ca="1">IFERROR(__xludf.DUMMYFUNCTION("""COMPUTED_VALUE"""),35.76)</f>
        <v>35.76</v>
      </c>
      <c r="D319" s="150">
        <f ca="1">IFERROR(__xludf.DUMMYFUNCTION("""COMPUTED_VALUE"""),251.83)</f>
        <v>251.83</v>
      </c>
    </row>
    <row r="320" spans="1:4" ht="13.2" x14ac:dyDescent="0.25">
      <c r="A320" s="142">
        <v>43924.666666666664</v>
      </c>
      <c r="B320" s="146">
        <v>20.03</v>
      </c>
      <c r="C320" s="150">
        <f ca="1">IFERROR(__xludf.DUMMYFUNCTION("""COMPUTED_VALUE"""),35.16)</f>
        <v>35.159999999999997</v>
      </c>
      <c r="D320" s="150">
        <f ca="1">IFERROR(__xludf.DUMMYFUNCTION("""COMPUTED_VALUE"""),248.19)</f>
        <v>248.19</v>
      </c>
    </row>
    <row r="321" spans="1:4" ht="13.2" x14ac:dyDescent="0.25">
      <c r="A321" s="142">
        <v>43927.666666666664</v>
      </c>
      <c r="B321" s="146">
        <v>21.39</v>
      </c>
      <c r="C321" s="150">
        <f ca="1">IFERROR(__xludf.DUMMYFUNCTION("""COMPUTED_VALUE"""),34.95)</f>
        <v>34.950000000000003</v>
      </c>
      <c r="D321" s="150">
        <f ca="1">IFERROR(__xludf.DUMMYFUNCTION("""COMPUTED_VALUE"""),264.86)</f>
        <v>264.86</v>
      </c>
    </row>
    <row r="322" spans="1:4" ht="13.2" x14ac:dyDescent="0.25">
      <c r="A322" s="142">
        <v>43928.666666666664</v>
      </c>
      <c r="B322" s="146">
        <v>22.14</v>
      </c>
      <c r="C322" s="150">
        <f ca="1">IFERROR(__xludf.DUMMYFUNCTION("""COMPUTED_VALUE"""),36.76)</f>
        <v>36.76</v>
      </c>
      <c r="D322" s="150">
        <f ca="1">IFERROR(__xludf.DUMMYFUNCTION("""COMPUTED_VALUE"""),265.13)</f>
        <v>265.13</v>
      </c>
    </row>
    <row r="323" spans="1:4" ht="13.2" x14ac:dyDescent="0.25">
      <c r="A323" s="142">
        <v>43929.666666666664</v>
      </c>
      <c r="B323" s="146">
        <v>23.45</v>
      </c>
      <c r="C323" s="150">
        <f ca="1">IFERROR(__xludf.DUMMYFUNCTION("""COMPUTED_VALUE"""),39.84)</f>
        <v>39.840000000000003</v>
      </c>
      <c r="D323" s="150">
        <f ca="1">IFERROR(__xludf.DUMMYFUNCTION("""COMPUTED_VALUE"""),274.03)</f>
        <v>274.02999999999997</v>
      </c>
    </row>
    <row r="324" spans="1:4" ht="13.2" x14ac:dyDescent="0.25">
      <c r="A324" s="142">
        <v>43930.666666666664</v>
      </c>
      <c r="B324" s="146">
        <v>24.86</v>
      </c>
      <c r="C324" s="150">
        <f ca="1">IFERROR(__xludf.DUMMYFUNCTION("""COMPUTED_VALUE"""),39.85)</f>
        <v>39.85</v>
      </c>
      <c r="D324" s="150">
        <f ca="1">IFERROR(__xludf.DUMMYFUNCTION("""COMPUTED_VALUE"""),278.2)</f>
        <v>278.2</v>
      </c>
    </row>
    <row r="325" spans="1:4" ht="13.2" x14ac:dyDescent="0.25">
      <c r="A325" s="142">
        <v>43934.666666666664</v>
      </c>
      <c r="B325" s="146">
        <v>23.92</v>
      </c>
      <c r="C325" s="150">
        <f ca="1">IFERROR(__xludf.DUMMYFUNCTION("""COMPUTED_VALUE"""),43.3)</f>
        <v>43.3</v>
      </c>
      <c r="D325" s="150">
        <f ca="1">IFERROR(__xludf.DUMMYFUNCTION("""COMPUTED_VALUE"""),275.66)</f>
        <v>275.66000000000003</v>
      </c>
    </row>
    <row r="326" spans="1:4" ht="13.2" x14ac:dyDescent="0.25">
      <c r="A326" s="142">
        <v>43935.666666666664</v>
      </c>
      <c r="B326" s="146">
        <v>23.73</v>
      </c>
      <c r="C326" s="150">
        <f ca="1">IFERROR(__xludf.DUMMYFUNCTION("""COMPUTED_VALUE"""),40.28)</f>
        <v>40.28</v>
      </c>
      <c r="D326" s="150">
        <f ca="1">IFERROR(__xludf.DUMMYFUNCTION("""COMPUTED_VALUE"""),283.79)</f>
        <v>283.79000000000002</v>
      </c>
    </row>
    <row r="327" spans="1:4" ht="13.2" x14ac:dyDescent="0.25">
      <c r="A327" s="142">
        <v>43936.666666666664</v>
      </c>
      <c r="B327" s="146">
        <v>22.19</v>
      </c>
      <c r="C327" s="150">
        <f ca="1">IFERROR(__xludf.DUMMYFUNCTION("""COMPUTED_VALUE"""),40.22)</f>
        <v>40.22</v>
      </c>
      <c r="D327" s="150">
        <f ca="1">IFERROR(__xludf.DUMMYFUNCTION("""COMPUTED_VALUE"""),277.76)</f>
        <v>277.76</v>
      </c>
    </row>
    <row r="328" spans="1:4" ht="13.2" x14ac:dyDescent="0.25">
      <c r="A328" s="142">
        <v>43937.666666666664</v>
      </c>
      <c r="B328" s="146">
        <v>21.42</v>
      </c>
      <c r="C328" s="150">
        <f ca="1">IFERROR(__xludf.DUMMYFUNCTION("""COMPUTED_VALUE"""),37.53)</f>
        <v>37.53</v>
      </c>
      <c r="D328" s="150">
        <f ca="1">IFERROR(__xludf.DUMMYFUNCTION("""COMPUTED_VALUE"""),279.1)</f>
        <v>279.10000000000002</v>
      </c>
    </row>
    <row r="329" spans="1:4" ht="13.2" x14ac:dyDescent="0.25">
      <c r="A329" s="142">
        <v>43938.666666666664</v>
      </c>
      <c r="B329" s="146">
        <v>23.28</v>
      </c>
      <c r="C329" s="150">
        <f ca="1">IFERROR(__xludf.DUMMYFUNCTION("""COMPUTED_VALUE"""),40.4)</f>
        <v>40.4</v>
      </c>
      <c r="D329" s="150">
        <f ca="1">IFERROR(__xludf.DUMMYFUNCTION("""COMPUTED_VALUE"""),286.64)</f>
        <v>286.64</v>
      </c>
    </row>
    <row r="330" spans="1:4" ht="13.2" x14ac:dyDescent="0.25">
      <c r="A330" s="142">
        <v>43941.666666666664</v>
      </c>
      <c r="B330" s="146">
        <v>22.5</v>
      </c>
      <c r="C330" s="150">
        <f ca="1">IFERROR(__xludf.DUMMYFUNCTION("""COMPUTED_VALUE"""),41.41)</f>
        <v>41.41</v>
      </c>
      <c r="D330" s="150">
        <f ca="1">IFERROR(__xludf.DUMMYFUNCTION("""COMPUTED_VALUE"""),281.59)</f>
        <v>281.58999999999997</v>
      </c>
    </row>
    <row r="331" spans="1:4" ht="13.2" x14ac:dyDescent="0.25">
      <c r="A331" s="142">
        <v>43942.666666666664</v>
      </c>
      <c r="B331" s="146">
        <v>21.64</v>
      </c>
      <c r="C331" s="150">
        <f ca="1">IFERROR(__xludf.DUMMYFUNCTION("""COMPUTED_VALUE"""),38.32)</f>
        <v>38.32</v>
      </c>
      <c r="D331" s="150">
        <f ca="1">IFERROR(__xludf.DUMMYFUNCTION("""COMPUTED_VALUE"""),273.04)</f>
        <v>273.04000000000002</v>
      </c>
    </row>
    <row r="332" spans="1:4" ht="13.2" x14ac:dyDescent="0.25">
      <c r="A332" s="142">
        <v>43943.666666666664</v>
      </c>
      <c r="B332" s="146">
        <v>21.8</v>
      </c>
      <c r="C332" s="150">
        <f ca="1">IFERROR(__xludf.DUMMYFUNCTION("""COMPUTED_VALUE"""),38.83)</f>
        <v>38.83</v>
      </c>
      <c r="D332" s="150">
        <f ca="1">IFERROR(__xludf.DUMMYFUNCTION("""COMPUTED_VALUE"""),279.1)</f>
        <v>279.10000000000002</v>
      </c>
    </row>
    <row r="333" spans="1:4" ht="13.2" x14ac:dyDescent="0.25">
      <c r="A333" s="142">
        <v>43944.666666666664</v>
      </c>
      <c r="B333" s="146">
        <v>21.87</v>
      </c>
      <c r="C333" s="150">
        <f ca="1">IFERROR(__xludf.DUMMYFUNCTION("""COMPUTED_VALUE"""),40.11)</f>
        <v>40.11</v>
      </c>
      <c r="D333" s="150">
        <f ca="1">IFERROR(__xludf.DUMMYFUNCTION("""COMPUTED_VALUE"""),279.08)</f>
        <v>279.08</v>
      </c>
    </row>
    <row r="334" spans="1:4" ht="13.2" x14ac:dyDescent="0.25">
      <c r="A334" s="142">
        <v>43945.666666666664</v>
      </c>
      <c r="B334" s="146">
        <v>22.18</v>
      </c>
      <c r="C334" s="150">
        <f ca="1">IFERROR(__xludf.DUMMYFUNCTION("""COMPUTED_VALUE"""),38.74)</f>
        <v>38.74</v>
      </c>
      <c r="D334" s="150">
        <f ca="1">IFERROR(__xludf.DUMMYFUNCTION("""COMPUTED_VALUE"""),282.97)</f>
        <v>282.97000000000003</v>
      </c>
    </row>
    <row r="335" spans="1:4" ht="13.2" x14ac:dyDescent="0.25">
      <c r="A335" s="142">
        <v>43948.666666666664</v>
      </c>
      <c r="B335" s="146">
        <v>23.47</v>
      </c>
      <c r="C335" s="150">
        <f ca="1">IFERROR(__xludf.DUMMYFUNCTION("""COMPUTED_VALUE"""),42.27)</f>
        <v>42.27</v>
      </c>
      <c r="D335" s="150">
        <f ca="1">IFERROR(__xludf.DUMMYFUNCTION("""COMPUTED_VALUE"""),287.05)</f>
        <v>287.05</v>
      </c>
    </row>
    <row r="336" spans="1:4" ht="13.2" x14ac:dyDescent="0.25">
      <c r="A336" s="142">
        <v>43949.666666666664</v>
      </c>
      <c r="B336" s="146">
        <v>23.89</v>
      </c>
      <c r="C336" s="150">
        <f ca="1">IFERROR(__xludf.DUMMYFUNCTION("""COMPUTED_VALUE"""),43.83)</f>
        <v>43.83</v>
      </c>
      <c r="D336" s="150">
        <f ca="1">IFERROR(__xludf.DUMMYFUNCTION("""COMPUTED_VALUE"""),285.73)</f>
        <v>285.73</v>
      </c>
    </row>
    <row r="337" spans="1:4" ht="13.2" x14ac:dyDescent="0.25">
      <c r="A337" s="142">
        <v>43950.666666666664</v>
      </c>
      <c r="B337" s="146">
        <v>24.78</v>
      </c>
      <c r="C337" s="150">
        <f ca="1">IFERROR(__xludf.DUMMYFUNCTION("""COMPUTED_VALUE"""),46.25)</f>
        <v>46.25</v>
      </c>
      <c r="D337" s="150">
        <f ca="1">IFERROR(__xludf.DUMMYFUNCTION("""COMPUTED_VALUE"""),293.21)</f>
        <v>293.20999999999998</v>
      </c>
    </row>
    <row r="338" spans="1:4" ht="13.2" x14ac:dyDescent="0.25">
      <c r="A338" s="142">
        <v>43951.666666666664</v>
      </c>
      <c r="B338" s="146">
        <v>24.05</v>
      </c>
      <c r="C338" s="150">
        <f ca="1">IFERROR(__xludf.DUMMYFUNCTION("""COMPUTED_VALUE"""),44.49)</f>
        <v>44.49</v>
      </c>
      <c r="D338" s="150">
        <f ca="1">IFERROR(__xludf.DUMMYFUNCTION("""COMPUTED_VALUE"""),290.48)</f>
        <v>290.48</v>
      </c>
    </row>
    <row r="339" spans="1:4" ht="13.2" x14ac:dyDescent="0.25">
      <c r="A339" s="142">
        <v>43952.666666666664</v>
      </c>
      <c r="B339" s="146">
        <v>23.08</v>
      </c>
      <c r="C339" s="150">
        <f ca="1">IFERROR(__xludf.DUMMYFUNCTION("""COMPUTED_VALUE"""),40.55)</f>
        <v>40.549999999999997</v>
      </c>
      <c r="D339" s="150">
        <f ca="1">IFERROR(__xludf.DUMMYFUNCTION("""COMPUTED_VALUE"""),282.79)</f>
        <v>282.79000000000002</v>
      </c>
    </row>
    <row r="340" spans="1:4" ht="13.2" x14ac:dyDescent="0.25">
      <c r="A340" s="142">
        <v>43955.666666666664</v>
      </c>
      <c r="B340" s="146">
        <v>22.93</v>
      </c>
      <c r="C340" s="150">
        <f ca="1">IFERROR(__xludf.DUMMYFUNCTION("""COMPUTED_VALUE"""),42.23)</f>
        <v>42.23</v>
      </c>
      <c r="D340" s="150">
        <f ca="1">IFERROR(__xludf.DUMMYFUNCTION("""COMPUTED_VALUE"""),283.57)</f>
        <v>283.57</v>
      </c>
    </row>
    <row r="341" spans="1:4" ht="13.2" x14ac:dyDescent="0.25">
      <c r="A341" s="142">
        <v>43956.666666666664</v>
      </c>
      <c r="B341" s="146">
        <v>22.66</v>
      </c>
      <c r="C341" s="150">
        <f ca="1">IFERROR(__xludf.DUMMYFUNCTION("""COMPUTED_VALUE"""),39.68)</f>
        <v>39.68</v>
      </c>
      <c r="D341" s="150">
        <f ca="1">IFERROR(__xludf.DUMMYFUNCTION("""COMPUTED_VALUE"""),286.19)</f>
        <v>286.19</v>
      </c>
    </row>
    <row r="342" spans="1:4" ht="13.2" x14ac:dyDescent="0.25">
      <c r="A342" s="142">
        <v>43957.666666666664</v>
      </c>
      <c r="B342" s="146">
        <v>22.35</v>
      </c>
      <c r="C342" s="150">
        <f ca="1">IFERROR(__xludf.DUMMYFUNCTION("""COMPUTED_VALUE"""),39.88)</f>
        <v>39.880000000000003</v>
      </c>
      <c r="D342" s="150">
        <f ca="1">IFERROR(__xludf.DUMMYFUNCTION("""COMPUTED_VALUE"""),284.25)</f>
        <v>284.25</v>
      </c>
    </row>
    <row r="343" spans="1:4" ht="13.2" x14ac:dyDescent="0.25">
      <c r="A343" s="142">
        <v>43958.666666666664</v>
      </c>
      <c r="B343" s="146">
        <v>22.84</v>
      </c>
      <c r="C343" s="150">
        <f ca="1">IFERROR(__xludf.DUMMYFUNCTION("""COMPUTED_VALUE"""),42.04)</f>
        <v>42.04</v>
      </c>
      <c r="D343" s="150">
        <f ca="1">IFERROR(__xludf.DUMMYFUNCTION("""COMPUTED_VALUE"""),287.68)</f>
        <v>287.68</v>
      </c>
    </row>
    <row r="344" spans="1:4" ht="13.2" x14ac:dyDescent="0.25">
      <c r="A344" s="142">
        <v>43959.666666666664</v>
      </c>
      <c r="B344" s="146">
        <v>23.57</v>
      </c>
      <c r="C344" s="150">
        <f ca="1">IFERROR(__xludf.DUMMYFUNCTION("""COMPUTED_VALUE"""),41)</f>
        <v>41</v>
      </c>
      <c r="D344" s="150">
        <f ca="1">IFERROR(__xludf.DUMMYFUNCTION("""COMPUTED_VALUE"""),292.44)</f>
        <v>292.44</v>
      </c>
    </row>
    <row r="345" spans="1:4" ht="13.2" x14ac:dyDescent="0.25">
      <c r="A345" s="142">
        <v>43962.666666666664</v>
      </c>
      <c r="B345" s="146">
        <v>22.58</v>
      </c>
      <c r="C345" s="150">
        <f ca="1">IFERROR(__xludf.DUMMYFUNCTION("""COMPUTED_VALUE"""),40.05)</f>
        <v>40.049999999999997</v>
      </c>
      <c r="D345" s="150">
        <f ca="1">IFERROR(__xludf.DUMMYFUNCTION("""COMPUTED_VALUE"""),292.5)</f>
        <v>292.5</v>
      </c>
    </row>
    <row r="346" spans="1:4" ht="13.2" x14ac:dyDescent="0.25">
      <c r="A346" s="142">
        <v>43963.666666666664</v>
      </c>
      <c r="B346" s="146">
        <v>21.87</v>
      </c>
      <c r="C346" s="150">
        <f ca="1">IFERROR(__xludf.DUMMYFUNCTION("""COMPUTED_VALUE"""),37.59)</f>
        <v>37.590000000000003</v>
      </c>
      <c r="D346" s="150">
        <f ca="1">IFERROR(__xludf.DUMMYFUNCTION("""COMPUTED_VALUE"""),286.67)</f>
        <v>286.67</v>
      </c>
    </row>
    <row r="347" spans="1:4" ht="13.2" x14ac:dyDescent="0.25">
      <c r="A347" s="142">
        <v>43964.666666666664</v>
      </c>
      <c r="B347" s="146">
        <v>20.87</v>
      </c>
      <c r="C347" s="150">
        <f ca="1">IFERROR(__xludf.DUMMYFUNCTION("""COMPUTED_VALUE"""),37.87)</f>
        <v>37.869999999999997</v>
      </c>
      <c r="D347" s="150">
        <f ca="1">IFERROR(__xludf.DUMMYFUNCTION("""COMPUTED_VALUE"""),281.6)</f>
        <v>281.60000000000002</v>
      </c>
    </row>
    <row r="348" spans="1:4" ht="13.2" x14ac:dyDescent="0.25">
      <c r="A348" s="142">
        <v>43965.666666666664</v>
      </c>
      <c r="B348" s="146">
        <v>21.71</v>
      </c>
      <c r="C348" s="150">
        <f ca="1">IFERROR(__xludf.DUMMYFUNCTION("""COMPUTED_VALUE"""),38.59)</f>
        <v>38.590000000000003</v>
      </c>
      <c r="D348" s="150">
        <f ca="1">IFERROR(__xludf.DUMMYFUNCTION("""COMPUTED_VALUE"""),284.97)</f>
        <v>284.97000000000003</v>
      </c>
    </row>
    <row r="349" spans="1:4" ht="13.2" x14ac:dyDescent="0.25">
      <c r="A349" s="142">
        <v>43966.666666666664</v>
      </c>
      <c r="B349" s="146">
        <v>21.44</v>
      </c>
      <c r="C349" s="150">
        <f ca="1">IFERROR(__xludf.DUMMYFUNCTION("""COMPUTED_VALUE"""),40.85)</f>
        <v>40.85</v>
      </c>
      <c r="D349" s="150">
        <f ca="1">IFERROR(__xludf.DUMMYFUNCTION("""COMPUTED_VALUE"""),286.28)</f>
        <v>286.27999999999997</v>
      </c>
    </row>
    <row r="350" spans="1:4" ht="13.2" x14ac:dyDescent="0.25">
      <c r="A350" s="142">
        <v>43969.666666666664</v>
      </c>
      <c r="B350" s="146">
        <v>22.93</v>
      </c>
      <c r="C350" s="150">
        <f ca="1">IFERROR(__xludf.DUMMYFUNCTION("""COMPUTED_VALUE"""),41.79)</f>
        <v>41.79</v>
      </c>
      <c r="D350" s="150">
        <f ca="1">IFERROR(__xludf.DUMMYFUNCTION("""COMPUTED_VALUE"""),295)</f>
        <v>295</v>
      </c>
    </row>
    <row r="351" spans="1:4" ht="13.2" x14ac:dyDescent="0.25">
      <c r="A351" s="142">
        <v>43970.666666666664</v>
      </c>
      <c r="B351" s="146">
        <v>22.21</v>
      </c>
      <c r="C351" s="150">
        <f ca="1">IFERROR(__xludf.DUMMYFUNCTION("""COMPUTED_VALUE"""),41.4)</f>
        <v>41.4</v>
      </c>
      <c r="D351" s="150">
        <f ca="1">IFERROR(__xludf.DUMMYFUNCTION("""COMPUTED_VALUE"""),291.97)</f>
        <v>291.97000000000003</v>
      </c>
    </row>
    <row r="352" spans="1:4" ht="13.2" x14ac:dyDescent="0.25">
      <c r="A352" s="142">
        <v>43971.666666666664</v>
      </c>
      <c r="B352" s="146">
        <v>22.91</v>
      </c>
      <c r="C352" s="150">
        <f ca="1">IFERROR(__xludf.DUMMYFUNCTION("""COMPUTED_VALUE"""),41.1)</f>
        <v>41.1</v>
      </c>
      <c r="D352" s="150">
        <f ca="1">IFERROR(__xludf.DUMMYFUNCTION("""COMPUTED_VALUE"""),296.93)</f>
        <v>296.93</v>
      </c>
    </row>
    <row r="353" spans="1:4" ht="13.2" x14ac:dyDescent="0.25">
      <c r="A353" s="142">
        <v>43972.666666666664</v>
      </c>
      <c r="B353" s="146">
        <v>22.9</v>
      </c>
      <c r="C353" s="150">
        <f ca="1">IFERROR(__xludf.DUMMYFUNCTION("""COMPUTED_VALUE"""),40.38)</f>
        <v>40.380000000000003</v>
      </c>
      <c r="D353" s="150">
        <f ca="1">IFERROR(__xludf.DUMMYFUNCTION("""COMPUTED_VALUE"""),294.88)</f>
        <v>294.88</v>
      </c>
    </row>
    <row r="354" spans="1:4" ht="13.2" x14ac:dyDescent="0.25">
      <c r="A354" s="142">
        <v>43973.666666666664</v>
      </c>
      <c r="B354" s="146">
        <v>22.66</v>
      </c>
      <c r="C354" s="150">
        <f ca="1">IFERROR(__xludf.DUMMYFUNCTION("""COMPUTED_VALUE"""),40.83)</f>
        <v>40.83</v>
      </c>
      <c r="D354" s="150">
        <f ca="1">IFERROR(__xludf.DUMMYFUNCTION("""COMPUTED_VALUE"""),295.44)</f>
        <v>295.44</v>
      </c>
    </row>
    <row r="355" spans="1:4" ht="13.2" x14ac:dyDescent="0.25">
      <c r="A355" s="142">
        <v>43977.666666666664</v>
      </c>
      <c r="B355" s="146">
        <v>24.28</v>
      </c>
      <c r="C355" s="150">
        <f ca="1">IFERROR(__xludf.DUMMYFUNCTION("""COMPUTED_VALUE"""),43.77)</f>
        <v>43.77</v>
      </c>
      <c r="D355" s="150">
        <f ca="1">IFERROR(__xludf.DUMMYFUNCTION("""COMPUTED_VALUE"""),299.08)</f>
        <v>299.08</v>
      </c>
    </row>
    <row r="356" spans="1:4" ht="13.2" x14ac:dyDescent="0.25">
      <c r="A356" s="142">
        <v>43978.666666666664</v>
      </c>
      <c r="B356" s="146">
        <v>25.98</v>
      </c>
      <c r="C356" s="150">
        <f ca="1">IFERROR(__xludf.DUMMYFUNCTION("""COMPUTED_VALUE"""),46.38)</f>
        <v>46.38</v>
      </c>
      <c r="D356" s="150">
        <f ca="1">IFERROR(__xludf.DUMMYFUNCTION("""COMPUTED_VALUE"""),303.53)</f>
        <v>303.52999999999997</v>
      </c>
    </row>
    <row r="357" spans="1:4" ht="13.2" x14ac:dyDescent="0.25">
      <c r="A357" s="142">
        <v>43979.666666666664</v>
      </c>
      <c r="B357" s="146">
        <v>24.86</v>
      </c>
      <c r="C357" s="150">
        <f ca="1">IFERROR(__xludf.DUMMYFUNCTION("""COMPUTED_VALUE"""),45.71)</f>
        <v>45.71</v>
      </c>
      <c r="D357" s="150">
        <f ca="1">IFERROR(__xludf.DUMMYFUNCTION("""COMPUTED_VALUE"""),302.97)</f>
        <v>302.97000000000003</v>
      </c>
    </row>
    <row r="358" spans="1:4" ht="13.2" x14ac:dyDescent="0.25">
      <c r="A358" s="142">
        <v>43980.666666666664</v>
      </c>
      <c r="B358" s="146">
        <v>24.12</v>
      </c>
      <c r="C358" s="150">
        <f ca="1">IFERROR(__xludf.DUMMYFUNCTION("""COMPUTED_VALUE"""),43.41)</f>
        <v>43.41</v>
      </c>
      <c r="D358" s="150">
        <f ca="1">IFERROR(__xludf.DUMMYFUNCTION("""COMPUTED_VALUE"""),304.32)</f>
        <v>304.32</v>
      </c>
    </row>
    <row r="359" spans="1:4" ht="13.2" x14ac:dyDescent="0.25">
      <c r="A359" s="142">
        <v>43983.666666666664</v>
      </c>
      <c r="B359" s="146">
        <v>24.61</v>
      </c>
      <c r="C359" s="150">
        <f ca="1">IFERROR(__xludf.DUMMYFUNCTION("""COMPUTED_VALUE"""),45.36)</f>
        <v>45.36</v>
      </c>
      <c r="D359" s="150">
        <f ca="1">IFERROR(__xludf.DUMMYFUNCTION("""COMPUTED_VALUE"""),305.55)</f>
        <v>305.55</v>
      </c>
    </row>
    <row r="360" spans="1:4" ht="13.2" x14ac:dyDescent="0.25">
      <c r="A360" s="142">
        <v>43984.666666666664</v>
      </c>
      <c r="B360" s="146">
        <v>24.84</v>
      </c>
      <c r="C360" s="150">
        <f ca="1">IFERROR(__xludf.DUMMYFUNCTION("""COMPUTED_VALUE"""),47.68)</f>
        <v>47.68</v>
      </c>
      <c r="D360" s="150">
        <f ca="1">IFERROR(__xludf.DUMMYFUNCTION("""COMPUTED_VALUE"""),308.08)</f>
        <v>308.08</v>
      </c>
    </row>
    <row r="361" spans="1:4" ht="13.2" x14ac:dyDescent="0.25">
      <c r="A361" s="142">
        <v>43985.666666666664</v>
      </c>
      <c r="B361" s="146">
        <v>25.99</v>
      </c>
      <c r="C361" s="150">
        <f ca="1">IFERROR(__xludf.DUMMYFUNCTION("""COMPUTED_VALUE"""),47.99)</f>
        <v>47.99</v>
      </c>
      <c r="D361" s="150">
        <f ca="1">IFERROR(__xludf.DUMMYFUNCTION("""COMPUTED_VALUE"""),312.18)</f>
        <v>312.18</v>
      </c>
    </row>
    <row r="362" spans="1:4" ht="13.2" x14ac:dyDescent="0.25">
      <c r="A362" s="142">
        <v>43986.666666666664</v>
      </c>
      <c r="B362" s="146">
        <v>26.78</v>
      </c>
      <c r="C362" s="150">
        <f ca="1">IFERROR(__xludf.DUMMYFUNCTION("""COMPUTED_VALUE"""),53.01)</f>
        <v>53.01</v>
      </c>
      <c r="D362" s="150">
        <f ca="1">IFERROR(__xludf.DUMMYFUNCTION("""COMPUTED_VALUE"""),311.36)</f>
        <v>311.36</v>
      </c>
    </row>
    <row r="363" spans="1:4" ht="13.2" x14ac:dyDescent="0.25">
      <c r="A363" s="142">
        <v>43987.666666666664</v>
      </c>
      <c r="B363" s="146">
        <v>28.11</v>
      </c>
      <c r="C363" s="150">
        <f ca="1">IFERROR(__xludf.DUMMYFUNCTION("""COMPUTED_VALUE"""),53.8)</f>
        <v>53.8</v>
      </c>
      <c r="D363" s="150">
        <f ca="1">IFERROR(__xludf.DUMMYFUNCTION("""COMPUTED_VALUE"""),319.34)</f>
        <v>319.33999999999997</v>
      </c>
    </row>
    <row r="364" spans="1:4" ht="13.2" x14ac:dyDescent="0.25">
      <c r="A364" s="142">
        <v>43990.666666666664</v>
      </c>
      <c r="B364" s="146">
        <v>28.54</v>
      </c>
      <c r="C364" s="150">
        <f ca="1">IFERROR(__xludf.DUMMYFUNCTION("""COMPUTED_VALUE"""),51.57)</f>
        <v>51.57</v>
      </c>
      <c r="D364" s="150">
        <f ca="1">IFERROR(__xludf.DUMMYFUNCTION("""COMPUTED_VALUE"""),323.2)</f>
        <v>323.2</v>
      </c>
    </row>
    <row r="365" spans="1:4" ht="13.2" x14ac:dyDescent="0.25">
      <c r="A365" s="142">
        <v>43991.666666666664</v>
      </c>
      <c r="B365" s="146">
        <v>28.22</v>
      </c>
      <c r="C365" s="150">
        <f ca="1">IFERROR(__xludf.DUMMYFUNCTION("""COMPUTED_VALUE"""),50.35)</f>
        <v>50.35</v>
      </c>
      <c r="D365" s="150">
        <f ca="1">IFERROR(__xludf.DUMMYFUNCTION("""COMPUTED_VALUE"""),320.79)</f>
        <v>320.79000000000002</v>
      </c>
    </row>
    <row r="366" spans="1:4" ht="13.2" x14ac:dyDescent="0.25">
      <c r="A366" s="142">
        <v>43992.666666666664</v>
      </c>
      <c r="B366" s="146">
        <v>26.6</v>
      </c>
      <c r="C366" s="150">
        <f ca="1">IFERROR(__xludf.DUMMYFUNCTION("""COMPUTED_VALUE"""),45.47)</f>
        <v>45.47</v>
      </c>
      <c r="D366" s="150">
        <f ca="1">IFERROR(__xludf.DUMMYFUNCTION("""COMPUTED_VALUE"""),319)</f>
        <v>319</v>
      </c>
    </row>
    <row r="367" spans="1:4" ht="13.2" x14ac:dyDescent="0.25">
      <c r="A367" s="142">
        <v>43993.666666666664</v>
      </c>
      <c r="B367" s="146">
        <v>23.93</v>
      </c>
      <c r="C367" s="150">
        <f ca="1">IFERROR(__xludf.DUMMYFUNCTION("""COMPUTED_VALUE"""),44.86)</f>
        <v>44.86</v>
      </c>
      <c r="D367" s="150">
        <f ca="1">IFERROR(__xludf.DUMMYFUNCTION("""COMPUTED_VALUE"""),300.61)</f>
        <v>300.61</v>
      </c>
    </row>
    <row r="368" spans="1:4" ht="13.2" x14ac:dyDescent="0.25">
      <c r="A368" s="142">
        <v>43994.666666666664</v>
      </c>
      <c r="B368" s="146">
        <v>24.78</v>
      </c>
      <c r="C368" s="150">
        <f ca="1">IFERROR(__xludf.DUMMYFUNCTION("""COMPUTED_VALUE"""),45.1)</f>
        <v>45.1</v>
      </c>
      <c r="D368" s="150">
        <f ca="1">IFERROR(__xludf.DUMMYFUNCTION("""COMPUTED_VALUE"""),304.21)</f>
        <v>304.20999999999998</v>
      </c>
    </row>
    <row r="369" spans="1:4" ht="13.2" x14ac:dyDescent="0.25">
      <c r="A369" s="142">
        <v>43997.666666666664</v>
      </c>
      <c r="B369" s="146">
        <v>25.15</v>
      </c>
      <c r="C369" s="150">
        <f ca="1">IFERROR(__xludf.DUMMYFUNCTION("""COMPUTED_VALUE"""),48.16)</f>
        <v>48.16</v>
      </c>
      <c r="D369" s="150">
        <f ca="1">IFERROR(__xludf.DUMMYFUNCTION("""COMPUTED_VALUE"""),307.05)</f>
        <v>307.05</v>
      </c>
    </row>
    <row r="370" spans="1:4" ht="13.2" x14ac:dyDescent="0.25">
      <c r="A370" s="142">
        <v>43998.666666666664</v>
      </c>
      <c r="B370" s="146">
        <v>25.8</v>
      </c>
      <c r="C370" s="150">
        <f ca="1">IFERROR(__xludf.DUMMYFUNCTION("""COMPUTED_VALUE"""),47.39)</f>
        <v>47.39</v>
      </c>
      <c r="D370" s="150">
        <f ca="1">IFERROR(__xludf.DUMMYFUNCTION("""COMPUTED_VALUE"""),312.96)</f>
        <v>312.95999999999998</v>
      </c>
    </row>
    <row r="371" spans="1:4" ht="13.2" x14ac:dyDescent="0.25">
      <c r="A371" s="142">
        <v>43999.666666666664</v>
      </c>
      <c r="B371" s="146">
        <v>25</v>
      </c>
      <c r="C371" s="150">
        <f ca="1">IFERROR(__xludf.DUMMYFUNCTION("""COMPUTED_VALUE"""),47.35)</f>
        <v>47.35</v>
      </c>
      <c r="D371" s="150">
        <f ca="1">IFERROR(__xludf.DUMMYFUNCTION("""COMPUTED_VALUE"""),311.66)</f>
        <v>311.66000000000003</v>
      </c>
    </row>
    <row r="372" spans="1:4" ht="13.2" x14ac:dyDescent="0.25">
      <c r="A372" s="142">
        <v>44000.666666666664</v>
      </c>
      <c r="B372" s="146">
        <v>25.04</v>
      </c>
      <c r="C372" s="150">
        <f ca="1">IFERROR(__xludf.DUMMYFUNCTION("""COMPUTED_VALUE"""),47)</f>
        <v>47</v>
      </c>
      <c r="D372" s="150">
        <f ca="1">IFERROR(__xludf.DUMMYFUNCTION("""COMPUTED_VALUE"""),311.78)</f>
        <v>311.77999999999997</v>
      </c>
    </row>
    <row r="373" spans="1:4" ht="13.2" x14ac:dyDescent="0.25">
      <c r="A373" s="142">
        <v>44001.666666666664</v>
      </c>
      <c r="B373" s="146">
        <v>25.25</v>
      </c>
      <c r="C373" s="150">
        <f ca="1">IFERROR(__xludf.DUMMYFUNCTION("""COMPUTED_VALUE"""),46.04)</f>
        <v>46.04</v>
      </c>
      <c r="D373" s="150">
        <f ca="1">IFERROR(__xludf.DUMMYFUNCTION("""COMPUTED_VALUE"""),308.64)</f>
        <v>308.64</v>
      </c>
    </row>
    <row r="374" spans="1:4" ht="13.2" x14ac:dyDescent="0.25">
      <c r="A374" s="142">
        <v>44004.666666666664</v>
      </c>
      <c r="B374" s="146">
        <v>24.62</v>
      </c>
      <c r="C374" s="150">
        <f ca="1">IFERROR(__xludf.DUMMYFUNCTION("""COMPUTED_VALUE"""),46.88)</f>
        <v>46.88</v>
      </c>
      <c r="D374" s="150">
        <f ca="1">IFERROR(__xludf.DUMMYFUNCTION("""COMPUTED_VALUE"""),310.62)</f>
        <v>310.62</v>
      </c>
    </row>
    <row r="375" spans="1:4" ht="13.2" x14ac:dyDescent="0.25">
      <c r="A375" s="142">
        <v>44005.666666666664</v>
      </c>
      <c r="B375" s="146">
        <v>24.79</v>
      </c>
      <c r="C375" s="150">
        <f ca="1">IFERROR(__xludf.DUMMYFUNCTION("""COMPUTED_VALUE"""),44.97)</f>
        <v>44.97</v>
      </c>
      <c r="D375" s="150">
        <f ca="1">IFERROR(__xludf.DUMMYFUNCTION("""COMPUTED_VALUE"""),312.05)</f>
        <v>312.05</v>
      </c>
    </row>
    <row r="376" spans="1:4" ht="13.2" x14ac:dyDescent="0.25">
      <c r="A376" s="142">
        <v>44006.666666666664</v>
      </c>
      <c r="B376" s="146">
        <v>23.81</v>
      </c>
      <c r="C376" s="150">
        <f ca="1">IFERROR(__xludf.DUMMYFUNCTION("""COMPUTED_VALUE"""),46)</f>
        <v>46</v>
      </c>
      <c r="D376" s="150">
        <f ca="1">IFERROR(__xludf.DUMMYFUNCTION("""COMPUTED_VALUE"""),304.09)</f>
        <v>304.08999999999997</v>
      </c>
    </row>
    <row r="377" spans="1:4" ht="13.2" x14ac:dyDescent="0.25">
      <c r="A377" s="142">
        <v>44007.666666666664</v>
      </c>
      <c r="B377" s="146">
        <v>24.72</v>
      </c>
      <c r="C377" s="150">
        <f ca="1">IFERROR(__xludf.DUMMYFUNCTION("""COMPUTED_VALUE"""),44.78)</f>
        <v>44.78</v>
      </c>
      <c r="D377" s="150">
        <f ca="1">IFERROR(__xludf.DUMMYFUNCTION("""COMPUTED_VALUE"""),307.35)</f>
        <v>307.35000000000002</v>
      </c>
    </row>
    <row r="378" spans="1:4" ht="13.2" x14ac:dyDescent="0.25">
      <c r="A378" s="142">
        <v>44008.666666666664</v>
      </c>
      <c r="B378" s="146">
        <v>23.15</v>
      </c>
      <c r="C378" s="150">
        <f ca="1">IFERROR(__xludf.DUMMYFUNCTION("""COMPUTED_VALUE"""),44.91)</f>
        <v>44.91</v>
      </c>
      <c r="D378" s="150">
        <f ca="1">IFERROR(__xludf.DUMMYFUNCTION("""COMPUTED_VALUE"""),300.05)</f>
        <v>300.05</v>
      </c>
    </row>
    <row r="379" spans="1:4" ht="13.2" x14ac:dyDescent="0.25">
      <c r="A379" s="142">
        <v>44011.666666666664</v>
      </c>
      <c r="B379" s="146">
        <v>23.39</v>
      </c>
      <c r="C379" s="150">
        <f ca="1">IFERROR(__xludf.DUMMYFUNCTION("""COMPUTED_VALUE"""),45.05)</f>
        <v>45.05</v>
      </c>
      <c r="D379" s="150">
        <f ca="1">IFERROR(__xludf.DUMMYFUNCTION("""COMPUTED_VALUE"""),304.46)</f>
        <v>304.45999999999998</v>
      </c>
    </row>
    <row r="380" spans="1:4" ht="13.2" x14ac:dyDescent="0.25">
      <c r="A380" s="142">
        <v>44012.666666666664</v>
      </c>
      <c r="B380" s="146">
        <v>23.75</v>
      </c>
      <c r="C380" s="150">
        <f ca="1">IFERROR(__xludf.DUMMYFUNCTION("""COMPUTED_VALUE"""),46.3)</f>
        <v>46.3</v>
      </c>
      <c r="D380" s="150">
        <f ca="1">IFERROR(__xludf.DUMMYFUNCTION("""COMPUTED_VALUE"""),308.36)</f>
        <v>308.36</v>
      </c>
    </row>
    <row r="381" spans="1:4" ht="13.2" x14ac:dyDescent="0.25">
      <c r="A381" s="142">
        <v>44013.666666666664</v>
      </c>
      <c r="B381" s="146">
        <v>23.26</v>
      </c>
      <c r="C381" s="150">
        <f ca="1">IFERROR(__xludf.DUMMYFUNCTION("""COMPUTED_VALUE"""),45.07)</f>
        <v>45.07</v>
      </c>
      <c r="D381" s="150">
        <f ca="1">IFERROR(__xludf.DUMMYFUNCTION("""COMPUTED_VALUE"""),310.52)</f>
        <v>310.52</v>
      </c>
    </row>
    <row r="382" spans="1:4" ht="13.2" x14ac:dyDescent="0.25">
      <c r="A382" s="142">
        <v>44014.666666666664</v>
      </c>
      <c r="B382" s="146">
        <v>23.29</v>
      </c>
      <c r="C382" s="150">
        <f ca="1">IFERROR(__xludf.DUMMYFUNCTION("""COMPUTED_VALUE"""),45.61)</f>
        <v>45.61</v>
      </c>
      <c r="D382" s="150">
        <f ca="1">IFERROR(__xludf.DUMMYFUNCTION("""COMPUTED_VALUE"""),312.23)</f>
        <v>312.23</v>
      </c>
    </row>
    <row r="383" spans="1:4" ht="13.2" x14ac:dyDescent="0.25">
      <c r="A383" s="142">
        <v>44018.666666666664</v>
      </c>
      <c r="B383" s="146">
        <v>23.66</v>
      </c>
      <c r="C383" s="150">
        <f ca="1">IFERROR(__xludf.DUMMYFUNCTION("""COMPUTED_VALUE"""),44.74)</f>
        <v>44.74</v>
      </c>
      <c r="D383" s="150">
        <f ca="1">IFERROR(__xludf.DUMMYFUNCTION("""COMPUTED_VALUE"""),317.05)</f>
        <v>317.05</v>
      </c>
    </row>
    <row r="384" spans="1:4" ht="13.2" x14ac:dyDescent="0.25">
      <c r="A384" s="142">
        <v>44019.666666666664</v>
      </c>
      <c r="B384" s="146">
        <v>23.01</v>
      </c>
      <c r="C384" s="150">
        <f ca="1">IFERROR(__xludf.DUMMYFUNCTION("""COMPUTED_VALUE"""),44.35)</f>
        <v>44.35</v>
      </c>
      <c r="D384" s="150">
        <f ca="1">IFERROR(__xludf.DUMMYFUNCTION("""COMPUTED_VALUE"""),313.78)</f>
        <v>313.77999999999997</v>
      </c>
    </row>
    <row r="385" spans="1:4" ht="13.2" x14ac:dyDescent="0.25">
      <c r="A385" s="142">
        <v>44020.666666666664</v>
      </c>
      <c r="B385" s="146">
        <v>23.1</v>
      </c>
      <c r="C385" s="150">
        <f ca="1">IFERROR(__xludf.DUMMYFUNCTION("""COMPUTED_VALUE"""),43.7)</f>
        <v>43.7</v>
      </c>
      <c r="D385" s="150">
        <f ca="1">IFERROR(__xludf.DUMMYFUNCTION("""COMPUTED_VALUE"""),316.18)</f>
        <v>316.18</v>
      </c>
    </row>
    <row r="386" spans="1:4" ht="13.2" x14ac:dyDescent="0.25">
      <c r="A386" s="142">
        <v>44021.666666666664</v>
      </c>
      <c r="B386" s="146">
        <v>22.77</v>
      </c>
      <c r="C386" s="150">
        <f ca="1">IFERROR(__xludf.DUMMYFUNCTION("""COMPUTED_VALUE"""),45.03)</f>
        <v>45.03</v>
      </c>
      <c r="D386" s="150">
        <f ca="1">IFERROR(__xludf.DUMMYFUNCTION("""COMPUTED_VALUE"""),314.38)</f>
        <v>314.38</v>
      </c>
    </row>
    <row r="387" spans="1:4" ht="13.2" x14ac:dyDescent="0.25">
      <c r="A387" s="142">
        <v>44022.666666666664</v>
      </c>
      <c r="B387" s="146">
        <v>24.02</v>
      </c>
      <c r="C387" s="150">
        <f ca="1">IFERROR(__xludf.DUMMYFUNCTION("""COMPUTED_VALUE"""),46.08)</f>
        <v>46.08</v>
      </c>
      <c r="D387" s="150">
        <f ca="1">IFERROR(__xludf.DUMMYFUNCTION("""COMPUTED_VALUE"""),317.59)</f>
        <v>317.58999999999997</v>
      </c>
    </row>
    <row r="388" spans="1:4" ht="13.2" x14ac:dyDescent="0.25">
      <c r="A388" s="142">
        <v>44025.666666666664</v>
      </c>
      <c r="B388" s="146">
        <v>24.19</v>
      </c>
      <c r="C388" s="150">
        <f ca="1">IFERROR(__xludf.DUMMYFUNCTION("""COMPUTED_VALUE"""),44.52)</f>
        <v>44.52</v>
      </c>
      <c r="D388" s="150">
        <f ca="1">IFERROR(__xludf.DUMMYFUNCTION("""COMPUTED_VALUE"""),314.84)</f>
        <v>314.83999999999997</v>
      </c>
    </row>
    <row r="389" spans="1:4" ht="13.2" x14ac:dyDescent="0.25">
      <c r="A389" s="142">
        <v>44026.666666666664</v>
      </c>
      <c r="B389" s="146">
        <v>24.14</v>
      </c>
      <c r="C389" s="150">
        <f ca="1">IFERROR(__xludf.DUMMYFUNCTION("""COMPUTED_VALUE"""),44.55)</f>
        <v>44.55</v>
      </c>
      <c r="D389" s="150">
        <f ca="1">IFERROR(__xludf.DUMMYFUNCTION("""COMPUTED_VALUE"""),318.92)</f>
        <v>318.92</v>
      </c>
    </row>
    <row r="390" spans="1:4" ht="13.2" x14ac:dyDescent="0.25">
      <c r="A390" s="142">
        <v>44027.666666666664</v>
      </c>
      <c r="B390" s="146">
        <v>24.6</v>
      </c>
      <c r="C390" s="150">
        <f ca="1">IFERROR(__xludf.DUMMYFUNCTION("""COMPUTED_VALUE"""),45.67)</f>
        <v>45.67</v>
      </c>
      <c r="D390" s="150">
        <f ca="1">IFERROR(__xludf.DUMMYFUNCTION("""COMPUTED_VALUE"""),321.85)</f>
        <v>321.85000000000002</v>
      </c>
    </row>
    <row r="391" spans="1:4" ht="13.2" x14ac:dyDescent="0.25">
      <c r="A391" s="142">
        <v>44028.666666666664</v>
      </c>
      <c r="B391" s="146">
        <v>23.93</v>
      </c>
      <c r="C391" s="150">
        <f ca="1">IFERROR(__xludf.DUMMYFUNCTION("""COMPUTED_VALUE"""),44.46)</f>
        <v>44.46</v>
      </c>
      <c r="D391" s="150">
        <f ca="1">IFERROR(__xludf.DUMMYFUNCTION("""COMPUTED_VALUE"""),320.79)</f>
        <v>320.79000000000002</v>
      </c>
    </row>
    <row r="392" spans="1:4" ht="13.2" x14ac:dyDescent="0.25">
      <c r="A392" s="142">
        <v>44029.666666666664</v>
      </c>
      <c r="B392" s="146">
        <v>23.22</v>
      </c>
      <c r="C392" s="150">
        <f ca="1">IFERROR(__xludf.DUMMYFUNCTION("""COMPUTED_VALUE"""),43.71)</f>
        <v>43.71</v>
      </c>
      <c r="D392" s="150">
        <f ca="1">IFERROR(__xludf.DUMMYFUNCTION("""COMPUTED_VALUE"""),321.72)</f>
        <v>321.72000000000003</v>
      </c>
    </row>
    <row r="393" spans="1:4" ht="13.2" x14ac:dyDescent="0.25">
      <c r="A393" s="142">
        <v>44032.666666666664</v>
      </c>
      <c r="B393" s="146">
        <v>23.58</v>
      </c>
      <c r="C393" s="150">
        <f ca="1">IFERROR(__xludf.DUMMYFUNCTION("""COMPUTED_VALUE"""),44.9)</f>
        <v>44.9</v>
      </c>
      <c r="D393" s="150">
        <f ca="1">IFERROR(__xludf.DUMMYFUNCTION("""COMPUTED_VALUE"""),324.32)</f>
        <v>324.32</v>
      </c>
    </row>
    <row r="394" spans="1:4" ht="13.2" x14ac:dyDescent="0.25">
      <c r="A394" s="142">
        <v>44033.666666666664</v>
      </c>
      <c r="B394" s="146">
        <v>24.42</v>
      </c>
      <c r="C394" s="150">
        <f ca="1">IFERROR(__xludf.DUMMYFUNCTION("""COMPUTED_VALUE"""),44.42)</f>
        <v>44.42</v>
      </c>
      <c r="D394" s="150">
        <f ca="1">IFERROR(__xludf.DUMMYFUNCTION("""COMPUTED_VALUE"""),325.01)</f>
        <v>325.01</v>
      </c>
    </row>
    <row r="395" spans="1:4" ht="13.2" x14ac:dyDescent="0.25">
      <c r="A395" s="142">
        <v>44034.666666666664</v>
      </c>
      <c r="B395" s="146">
        <v>24.31</v>
      </c>
      <c r="C395" s="150">
        <f ca="1">IFERROR(__xludf.DUMMYFUNCTION("""COMPUTED_VALUE"""),44.41)</f>
        <v>44.41</v>
      </c>
      <c r="D395" s="150">
        <f ca="1">IFERROR(__xludf.DUMMYFUNCTION("""COMPUTED_VALUE"""),326.86)</f>
        <v>326.86</v>
      </c>
    </row>
    <row r="396" spans="1:4" ht="13.2" x14ac:dyDescent="0.25">
      <c r="A396" s="142">
        <v>44035.666666666664</v>
      </c>
      <c r="B396" s="146">
        <v>24.54</v>
      </c>
      <c r="C396" s="150">
        <f ca="1">IFERROR(__xludf.DUMMYFUNCTION("""COMPUTED_VALUE"""),44.38)</f>
        <v>44.38</v>
      </c>
      <c r="D396" s="150">
        <f ca="1">IFERROR(__xludf.DUMMYFUNCTION("""COMPUTED_VALUE"""),322.96)</f>
        <v>322.95999999999998</v>
      </c>
    </row>
    <row r="397" spans="1:4" ht="13.2" x14ac:dyDescent="0.25">
      <c r="A397" s="142">
        <v>44036.666666666664</v>
      </c>
      <c r="B397" s="146">
        <v>24.35</v>
      </c>
      <c r="C397" s="150">
        <f ca="1">IFERROR(__xludf.DUMMYFUNCTION("""COMPUTED_VALUE"""),43.41)</f>
        <v>43.41</v>
      </c>
      <c r="D397" s="150">
        <f ca="1">IFERROR(__xludf.DUMMYFUNCTION("""COMPUTED_VALUE"""),320.88)</f>
        <v>320.88</v>
      </c>
    </row>
    <row r="398" spans="1:4" ht="13.2" x14ac:dyDescent="0.25">
      <c r="A398" s="142">
        <v>44039.666666666664</v>
      </c>
      <c r="B398" s="146">
        <v>24.14</v>
      </c>
      <c r="C398" s="150">
        <f ca="1">IFERROR(__xludf.DUMMYFUNCTION("""COMPUTED_VALUE"""),43.72)</f>
        <v>43.72</v>
      </c>
      <c r="D398" s="150">
        <f ca="1">IFERROR(__xludf.DUMMYFUNCTION("""COMPUTED_VALUE"""),323.22)</f>
        <v>323.22000000000003</v>
      </c>
    </row>
    <row r="399" spans="1:4" ht="13.2" x14ac:dyDescent="0.25">
      <c r="A399" s="142">
        <v>44040.666666666664</v>
      </c>
      <c r="B399" s="146">
        <v>24.36</v>
      </c>
      <c r="C399" s="150">
        <f ca="1">IFERROR(__xludf.DUMMYFUNCTION("""COMPUTED_VALUE"""),43.65)</f>
        <v>43.65</v>
      </c>
      <c r="D399" s="150">
        <f ca="1">IFERROR(__xludf.DUMMYFUNCTION("""COMPUTED_VALUE"""),321.17)</f>
        <v>321.17</v>
      </c>
    </row>
    <row r="400" spans="1:4" ht="13.2" x14ac:dyDescent="0.25">
      <c r="A400" s="142">
        <v>44041.666666666664</v>
      </c>
      <c r="B400" s="146">
        <v>25.27</v>
      </c>
      <c r="C400" s="150">
        <f ca="1">IFERROR(__xludf.DUMMYFUNCTION("""COMPUTED_VALUE"""),42.55)</f>
        <v>42.55</v>
      </c>
      <c r="D400" s="150">
        <f ca="1">IFERROR(__xludf.DUMMYFUNCTION("""COMPUTED_VALUE"""),325.12)</f>
        <v>325.12</v>
      </c>
    </row>
    <row r="401" spans="1:4" ht="13.2" x14ac:dyDescent="0.25">
      <c r="A401" s="142">
        <v>44042.666666666664</v>
      </c>
      <c r="B401" s="146">
        <v>24.84</v>
      </c>
      <c r="C401" s="150">
        <f ca="1">IFERROR(__xludf.DUMMYFUNCTION("""COMPUTED_VALUE"""),42.05)</f>
        <v>42.05</v>
      </c>
      <c r="D401" s="150">
        <f ca="1">IFERROR(__xludf.DUMMYFUNCTION("""COMPUTED_VALUE"""),323.96)</f>
        <v>323.95999999999998</v>
      </c>
    </row>
    <row r="402" spans="1:4" ht="13.2" x14ac:dyDescent="0.25">
      <c r="A402" s="142">
        <v>44043.666666666664</v>
      </c>
      <c r="B402" s="146">
        <v>24.88</v>
      </c>
      <c r="C402" s="150">
        <f ca="1">IFERROR(__xludf.DUMMYFUNCTION("""COMPUTED_VALUE"""),43.05)</f>
        <v>43.05</v>
      </c>
      <c r="D402" s="150">
        <f ca="1">IFERROR(__xludf.DUMMYFUNCTION("""COMPUTED_VALUE"""),326.52)</f>
        <v>326.52</v>
      </c>
    </row>
    <row r="403" spans="1:4" ht="13.2" x14ac:dyDescent="0.25">
      <c r="A403" s="142">
        <v>44046.666666666664</v>
      </c>
      <c r="B403" s="146">
        <v>24.99</v>
      </c>
      <c r="C403" s="150">
        <f ca="1">IFERROR(__xludf.DUMMYFUNCTION("""COMPUTED_VALUE"""),42.43)</f>
        <v>42.43</v>
      </c>
      <c r="D403" s="150">
        <f ca="1">IFERROR(__xludf.DUMMYFUNCTION("""COMPUTED_VALUE"""),328.79)</f>
        <v>328.79</v>
      </c>
    </row>
    <row r="404" spans="1:4" ht="13.2" x14ac:dyDescent="0.25">
      <c r="A404" s="142">
        <v>44047.666666666664</v>
      </c>
      <c r="B404" s="146">
        <v>25.01</v>
      </c>
      <c r="C404" s="150">
        <f ca="1">IFERROR(__xludf.DUMMYFUNCTION("""COMPUTED_VALUE"""),42.96)</f>
        <v>42.96</v>
      </c>
      <c r="D404" s="150">
        <f ca="1">IFERROR(__xludf.DUMMYFUNCTION("""COMPUTED_VALUE"""),330.06)</f>
        <v>330.06</v>
      </c>
    </row>
    <row r="405" spans="1:4" ht="13.2" x14ac:dyDescent="0.25">
      <c r="A405" s="142">
        <v>44048.666666666664</v>
      </c>
      <c r="B405" s="146">
        <v>25.39</v>
      </c>
      <c r="C405" s="150">
        <f ca="1">IFERROR(__xludf.DUMMYFUNCTION("""COMPUTED_VALUE"""),42.91)</f>
        <v>42.91</v>
      </c>
      <c r="D405" s="150">
        <f ca="1">IFERROR(__xludf.DUMMYFUNCTION("""COMPUTED_VALUE"""),332.11)</f>
        <v>332.11</v>
      </c>
    </row>
    <row r="406" spans="1:4" ht="13.2" x14ac:dyDescent="0.25">
      <c r="A406" s="142">
        <v>44049.666666666664</v>
      </c>
      <c r="B406" s="146">
        <v>25.47</v>
      </c>
      <c r="C406" s="150">
        <f ca="1">IFERROR(__xludf.DUMMYFUNCTION("""COMPUTED_VALUE"""),42.9)</f>
        <v>42.9</v>
      </c>
      <c r="D406" s="150">
        <f ca="1">IFERROR(__xludf.DUMMYFUNCTION("""COMPUTED_VALUE"""),334.33)</f>
        <v>334.33</v>
      </c>
    </row>
    <row r="407" spans="1:4" ht="13.2" x14ac:dyDescent="0.25">
      <c r="A407" s="142">
        <v>44050.666666666664</v>
      </c>
      <c r="B407" s="146">
        <v>26.11</v>
      </c>
      <c r="C407" s="150">
        <f ca="1">IFERROR(__xludf.DUMMYFUNCTION("""COMPUTED_VALUE"""),44.87)</f>
        <v>44.87</v>
      </c>
      <c r="D407" s="150">
        <f ca="1">IFERROR(__xludf.DUMMYFUNCTION("""COMPUTED_VALUE"""),334.57)</f>
        <v>334.57</v>
      </c>
    </row>
    <row r="408" spans="1:4" ht="13.2" x14ac:dyDescent="0.25">
      <c r="A408" s="142">
        <v>44053.666666666664</v>
      </c>
      <c r="B408" s="146">
        <v>26.56</v>
      </c>
      <c r="C408" s="150">
        <f ca="1">IFERROR(__xludf.DUMMYFUNCTION("""COMPUTED_VALUE"""),46.03)</f>
        <v>46.03</v>
      </c>
      <c r="D408" s="150">
        <f ca="1">IFERROR(__xludf.DUMMYFUNCTION("""COMPUTED_VALUE"""),335.57)</f>
        <v>335.57</v>
      </c>
    </row>
    <row r="409" spans="1:4" ht="13.2" x14ac:dyDescent="0.25">
      <c r="A409" s="142">
        <v>44054.666666666664</v>
      </c>
      <c r="B409" s="146">
        <v>26.92</v>
      </c>
      <c r="C409" s="150">
        <f ca="1">IFERROR(__xludf.DUMMYFUNCTION("""COMPUTED_VALUE"""),45.37)</f>
        <v>45.37</v>
      </c>
      <c r="D409" s="150">
        <f ca="1">IFERROR(__xludf.DUMMYFUNCTION("""COMPUTED_VALUE"""),332.8)</f>
        <v>332.8</v>
      </c>
    </row>
    <row r="410" spans="1:4" ht="13.2" x14ac:dyDescent="0.25">
      <c r="A410" s="142">
        <v>44055.666666666664</v>
      </c>
      <c r="B410" s="146">
        <v>26.73</v>
      </c>
      <c r="C410" s="150">
        <f ca="1">IFERROR(__xludf.DUMMYFUNCTION("""COMPUTED_VALUE"""),44.6)</f>
        <v>44.6</v>
      </c>
      <c r="D410" s="150">
        <f ca="1">IFERROR(__xludf.DUMMYFUNCTION("""COMPUTED_VALUE"""),337.44)</f>
        <v>337.44</v>
      </c>
    </row>
    <row r="411" spans="1:4" ht="13.2" x14ac:dyDescent="0.25">
      <c r="A411" s="142">
        <v>44056.666666666664</v>
      </c>
      <c r="B411" s="146">
        <v>26.35</v>
      </c>
      <c r="C411" s="150">
        <f ca="1">IFERROR(__xludf.DUMMYFUNCTION("""COMPUTED_VALUE"""),44.89)</f>
        <v>44.89</v>
      </c>
      <c r="D411" s="150">
        <f ca="1">IFERROR(__xludf.DUMMYFUNCTION("""COMPUTED_VALUE"""),336.83)</f>
        <v>336.83</v>
      </c>
    </row>
    <row r="412" spans="1:4" ht="13.2" x14ac:dyDescent="0.25">
      <c r="A412" s="142">
        <v>44057.666666666664</v>
      </c>
      <c r="B412" s="146">
        <v>26.47</v>
      </c>
      <c r="C412" s="150">
        <f ca="1">IFERROR(__xludf.DUMMYFUNCTION("""COMPUTED_VALUE"""),43.66)</f>
        <v>43.66</v>
      </c>
      <c r="D412" s="150">
        <f ca="1">IFERROR(__xludf.DUMMYFUNCTION("""COMPUTED_VALUE"""),336.84)</f>
        <v>336.84</v>
      </c>
    </row>
    <row r="413" spans="1:4" ht="13.2" x14ac:dyDescent="0.25">
      <c r="A413" s="142">
        <v>44060.666666666664</v>
      </c>
      <c r="B413" s="146">
        <v>25.9</v>
      </c>
      <c r="C413" s="150">
        <f ca="1">IFERROR(__xludf.DUMMYFUNCTION("""COMPUTED_VALUE"""),42.67)</f>
        <v>42.67</v>
      </c>
      <c r="D413" s="150">
        <f ca="1">IFERROR(__xludf.DUMMYFUNCTION("""COMPUTED_VALUE"""),337.91)</f>
        <v>337.91</v>
      </c>
    </row>
    <row r="414" spans="1:4" ht="13.2" x14ac:dyDescent="0.25">
      <c r="A414" s="142">
        <v>44061.666666666664</v>
      </c>
      <c r="B414" s="146">
        <v>25.53</v>
      </c>
      <c r="C414" s="150">
        <f ca="1">IFERROR(__xludf.DUMMYFUNCTION("""COMPUTED_VALUE"""),42.63)</f>
        <v>42.63</v>
      </c>
      <c r="D414" s="150">
        <f ca="1">IFERROR(__xludf.DUMMYFUNCTION("""COMPUTED_VALUE"""),338.64)</f>
        <v>338.64</v>
      </c>
    </row>
    <row r="415" spans="1:4" ht="13.2" x14ac:dyDescent="0.25">
      <c r="A415" s="142">
        <v>44062.666666666664</v>
      </c>
      <c r="B415" s="146">
        <v>25.5</v>
      </c>
      <c r="C415" s="150">
        <f ca="1">IFERROR(__xludf.DUMMYFUNCTION("""COMPUTED_VALUE"""),41.8)</f>
        <v>41.8</v>
      </c>
      <c r="D415" s="150">
        <f ca="1">IFERROR(__xludf.DUMMYFUNCTION("""COMPUTED_VALUE"""),337.23)</f>
        <v>337.23</v>
      </c>
    </row>
    <row r="416" spans="1:4" ht="13.2" x14ac:dyDescent="0.25">
      <c r="A416" s="142">
        <v>44063.666666666664</v>
      </c>
      <c r="B416" s="146">
        <v>25.1</v>
      </c>
      <c r="C416" s="150">
        <f ca="1">IFERROR(__xludf.DUMMYFUNCTION("""COMPUTED_VALUE"""),41.89)</f>
        <v>41.89</v>
      </c>
      <c r="D416" s="150">
        <f ca="1">IFERROR(__xludf.DUMMYFUNCTION("""COMPUTED_VALUE"""),338.28)</f>
        <v>338.28</v>
      </c>
    </row>
    <row r="417" spans="1:4" ht="13.2" x14ac:dyDescent="0.25">
      <c r="A417" s="142">
        <v>44064.666666666664</v>
      </c>
      <c r="B417" s="146">
        <v>24.98</v>
      </c>
      <c r="C417" s="150">
        <f ca="1">IFERROR(__xludf.DUMMYFUNCTION("""COMPUTED_VALUE"""),42.77)</f>
        <v>42.77</v>
      </c>
      <c r="D417" s="150">
        <f ca="1">IFERROR(__xludf.DUMMYFUNCTION("""COMPUTED_VALUE"""),339.48)</f>
        <v>339.48</v>
      </c>
    </row>
    <row r="418" spans="1:4" ht="13.2" x14ac:dyDescent="0.25">
      <c r="A418" s="142">
        <v>44067.666666666664</v>
      </c>
      <c r="B418" s="146">
        <v>25.69</v>
      </c>
      <c r="C418" s="150">
        <f ca="1">IFERROR(__xludf.DUMMYFUNCTION("""COMPUTED_VALUE"""),43.41)</f>
        <v>43.41</v>
      </c>
      <c r="D418" s="150">
        <f ca="1">IFERROR(__xludf.DUMMYFUNCTION("""COMPUTED_VALUE"""),342.92)</f>
        <v>342.92</v>
      </c>
    </row>
    <row r="419" spans="1:4" ht="13.2" x14ac:dyDescent="0.25">
      <c r="A419" s="142">
        <v>44068.666666666664</v>
      </c>
      <c r="B419" s="146">
        <v>26</v>
      </c>
      <c r="C419" s="150">
        <f ca="1">IFERROR(__xludf.DUMMYFUNCTION("""COMPUTED_VALUE"""),43.3)</f>
        <v>43.3</v>
      </c>
      <c r="D419" s="150">
        <f ca="1">IFERROR(__xludf.DUMMYFUNCTION("""COMPUTED_VALUE"""),344.12)</f>
        <v>344.12</v>
      </c>
    </row>
    <row r="420" spans="1:4" ht="13.2" x14ac:dyDescent="0.25">
      <c r="A420" s="142">
        <v>44069.666666666664</v>
      </c>
      <c r="B420" s="146">
        <v>25.56</v>
      </c>
      <c r="C420" s="150">
        <f ca="1">IFERROR(__xludf.DUMMYFUNCTION("""COMPUTED_VALUE"""),43.75)</f>
        <v>43.75</v>
      </c>
      <c r="D420" s="150">
        <f ca="1">IFERROR(__xludf.DUMMYFUNCTION("""COMPUTED_VALUE"""),347.57)</f>
        <v>347.57</v>
      </c>
    </row>
    <row r="421" spans="1:4" ht="13.2" x14ac:dyDescent="0.25">
      <c r="A421" s="142">
        <v>44070.666666666664</v>
      </c>
      <c r="B421" s="146">
        <v>26.05</v>
      </c>
      <c r="C421" s="150">
        <f ca="1">IFERROR(__xludf.DUMMYFUNCTION("""COMPUTED_VALUE"""),43.46)</f>
        <v>43.46</v>
      </c>
      <c r="D421" s="150">
        <f ca="1">IFERROR(__xludf.DUMMYFUNCTION("""COMPUTED_VALUE"""),348.33)</f>
        <v>348.33</v>
      </c>
    </row>
    <row r="422" spans="1:4" ht="13.2" x14ac:dyDescent="0.25">
      <c r="A422" s="142">
        <v>44071.666666666664</v>
      </c>
      <c r="B422" s="146">
        <v>26.3</v>
      </c>
      <c r="C422" s="150">
        <f ca="1">IFERROR(__xludf.DUMMYFUNCTION("""COMPUTED_VALUE"""),43.02)</f>
        <v>43.02</v>
      </c>
      <c r="D422" s="150">
        <f ca="1">IFERROR(__xludf.DUMMYFUNCTION("""COMPUTED_VALUE"""),350.58)</f>
        <v>350.58</v>
      </c>
    </row>
    <row r="423" spans="1:4" ht="13.2" x14ac:dyDescent="0.25">
      <c r="A423" s="142">
        <v>44074.666666666664</v>
      </c>
      <c r="B423" s="146">
        <v>25.74</v>
      </c>
      <c r="C423" s="150">
        <f ca="1">IFERROR(__xludf.DUMMYFUNCTION("""COMPUTED_VALUE"""),42.97)</f>
        <v>42.97</v>
      </c>
      <c r="D423" s="150">
        <f ca="1">IFERROR(__xludf.DUMMYFUNCTION("""COMPUTED_VALUE"""),349.31)</f>
        <v>349.31</v>
      </c>
    </row>
    <row r="424" spans="1:4" ht="13.2" x14ac:dyDescent="0.25">
      <c r="A424" s="142">
        <v>44075.666666666664</v>
      </c>
      <c r="B424" s="146">
        <v>25.71</v>
      </c>
      <c r="C424" s="150">
        <f ca="1">IFERROR(__xludf.DUMMYFUNCTION("""COMPUTED_VALUE"""),43.65)</f>
        <v>43.65</v>
      </c>
      <c r="D424" s="150">
        <f ca="1">IFERROR(__xludf.DUMMYFUNCTION("""COMPUTED_VALUE"""),352.6)</f>
        <v>352.6</v>
      </c>
    </row>
    <row r="425" spans="1:4" ht="13.2" x14ac:dyDescent="0.25">
      <c r="A425" s="142">
        <v>44076.666666666664</v>
      </c>
      <c r="B425" s="146">
        <v>26.02</v>
      </c>
      <c r="C425" s="150">
        <f ca="1">IFERROR(__xludf.DUMMYFUNCTION("""COMPUTED_VALUE"""),43.74)</f>
        <v>43.74</v>
      </c>
      <c r="D425" s="150">
        <f ca="1">IFERROR(__xludf.DUMMYFUNCTION("""COMPUTED_VALUE"""),357.7)</f>
        <v>357.7</v>
      </c>
    </row>
    <row r="426" spans="1:4" ht="13.2" x14ac:dyDescent="0.25">
      <c r="A426" s="142">
        <v>44077.666666666664</v>
      </c>
      <c r="B426" s="146">
        <v>25.66</v>
      </c>
      <c r="C426" s="150">
        <f ca="1">IFERROR(__xludf.DUMMYFUNCTION("""COMPUTED_VALUE"""),43.9)</f>
        <v>43.9</v>
      </c>
      <c r="D426" s="150">
        <f ca="1">IFERROR(__xludf.DUMMYFUNCTION("""COMPUTED_VALUE"""),345.39)</f>
        <v>345.39</v>
      </c>
    </row>
    <row r="427" spans="1:4" ht="13.2" x14ac:dyDescent="0.25">
      <c r="A427" s="142">
        <v>44078.666666666664</v>
      </c>
      <c r="B427" s="146">
        <v>26.54</v>
      </c>
      <c r="C427" s="150">
        <f ca="1">IFERROR(__xludf.DUMMYFUNCTION("""COMPUTED_VALUE"""),44.47)</f>
        <v>44.47</v>
      </c>
      <c r="D427" s="150">
        <f ca="1">IFERROR(__xludf.DUMMYFUNCTION("""COMPUTED_VALUE"""),342.57)</f>
        <v>342.57</v>
      </c>
    </row>
    <row r="428" spans="1:4" ht="13.2" x14ac:dyDescent="0.25">
      <c r="A428" s="142">
        <v>44082.666666666664</v>
      </c>
      <c r="B428" s="146">
        <v>25.48</v>
      </c>
      <c r="C428" s="150">
        <f ca="1">IFERROR(__xludf.DUMMYFUNCTION("""COMPUTED_VALUE"""),43.17)</f>
        <v>43.17</v>
      </c>
      <c r="D428" s="150">
        <f ca="1">IFERROR(__xludf.DUMMYFUNCTION("""COMPUTED_VALUE"""),333.21)</f>
        <v>333.21</v>
      </c>
    </row>
    <row r="429" spans="1:4" ht="13.2" x14ac:dyDescent="0.25">
      <c r="A429" s="142">
        <v>44083.666666666664</v>
      </c>
      <c r="B429" s="146">
        <v>25.51</v>
      </c>
      <c r="C429" s="150">
        <f ca="1">IFERROR(__xludf.DUMMYFUNCTION("""COMPUTED_VALUE"""),43.22)</f>
        <v>43.22</v>
      </c>
      <c r="D429" s="150">
        <f ca="1">IFERROR(__xludf.DUMMYFUNCTION("""COMPUTED_VALUE"""),339.79)</f>
        <v>339.79</v>
      </c>
    </row>
    <row r="430" spans="1:4" ht="13.2" x14ac:dyDescent="0.25">
      <c r="A430" s="142">
        <v>44084.666666666664</v>
      </c>
      <c r="B430" s="146">
        <v>25.14</v>
      </c>
      <c r="C430" s="150">
        <f ca="1">IFERROR(__xludf.DUMMYFUNCTION("""COMPUTED_VALUE"""),43.29)</f>
        <v>43.29</v>
      </c>
      <c r="D430" s="150">
        <f ca="1">IFERROR(__xludf.DUMMYFUNCTION("""COMPUTED_VALUE"""),333.89)</f>
        <v>333.89</v>
      </c>
    </row>
    <row r="431" spans="1:4" ht="13.2" x14ac:dyDescent="0.25">
      <c r="A431" s="142">
        <v>44085.666666666664</v>
      </c>
      <c r="B431" s="146">
        <v>25.5</v>
      </c>
      <c r="C431" s="150">
        <f ca="1">IFERROR(__xludf.DUMMYFUNCTION("""COMPUTED_VALUE"""),43.3)</f>
        <v>43.3</v>
      </c>
      <c r="D431" s="150">
        <f ca="1">IFERROR(__xludf.DUMMYFUNCTION("""COMPUTED_VALUE"""),334.06)</f>
        <v>334.06</v>
      </c>
    </row>
    <row r="432" spans="1:4" ht="13.2" x14ac:dyDescent="0.25">
      <c r="A432" s="142">
        <v>44088.666666666664</v>
      </c>
      <c r="B432" s="146">
        <v>25.75</v>
      </c>
      <c r="C432" s="150">
        <f ca="1">IFERROR(__xludf.DUMMYFUNCTION("""COMPUTED_VALUE"""),43.69)</f>
        <v>43.69</v>
      </c>
      <c r="D432" s="150">
        <f ca="1">IFERROR(__xludf.DUMMYFUNCTION("""COMPUTED_VALUE"""),338.46)</f>
        <v>338.46</v>
      </c>
    </row>
    <row r="433" spans="1:4" ht="13.2" x14ac:dyDescent="0.25">
      <c r="A433" s="142">
        <v>44089.666666666664</v>
      </c>
      <c r="B433" s="146">
        <v>25.28</v>
      </c>
      <c r="C433" s="150">
        <f ca="1">IFERROR(__xludf.DUMMYFUNCTION("""COMPUTED_VALUE"""),39.08)</f>
        <v>39.08</v>
      </c>
      <c r="D433" s="150">
        <f ca="1">IFERROR(__xludf.DUMMYFUNCTION("""COMPUTED_VALUE"""),340.17)</f>
        <v>340.17</v>
      </c>
    </row>
    <row r="434" spans="1:4" ht="13.2" x14ac:dyDescent="0.25">
      <c r="A434" s="142">
        <v>44090.666666666664</v>
      </c>
      <c r="B434" s="146">
        <v>25.6</v>
      </c>
      <c r="C434" s="150">
        <f ca="1">IFERROR(__xludf.DUMMYFUNCTION("""COMPUTED_VALUE"""),39.14)</f>
        <v>39.14</v>
      </c>
      <c r="D434" s="150">
        <f ca="1">IFERROR(__xludf.DUMMYFUNCTION("""COMPUTED_VALUE"""),338.82)</f>
        <v>338.82</v>
      </c>
    </row>
    <row r="435" spans="1:4" ht="13.2" x14ac:dyDescent="0.25">
      <c r="A435" s="142">
        <v>44091.666666666664</v>
      </c>
      <c r="B435" s="146">
        <v>25.35</v>
      </c>
      <c r="C435" s="150">
        <f ca="1">IFERROR(__xludf.DUMMYFUNCTION("""COMPUTED_VALUE"""),38.59)</f>
        <v>38.590000000000003</v>
      </c>
      <c r="D435" s="150">
        <f ca="1">IFERROR(__xludf.DUMMYFUNCTION("""COMPUTED_VALUE"""),335.84)</f>
        <v>335.84</v>
      </c>
    </row>
    <row r="436" spans="1:4" ht="13.2" x14ac:dyDescent="0.25">
      <c r="A436" s="142">
        <v>44092.666666666664</v>
      </c>
      <c r="B436" s="146">
        <v>25.21</v>
      </c>
      <c r="C436" s="150">
        <f ca="1">IFERROR(__xludf.DUMMYFUNCTION("""COMPUTED_VALUE"""),38)</f>
        <v>38</v>
      </c>
      <c r="D436" s="150">
        <f ca="1">IFERROR(__xludf.DUMMYFUNCTION("""COMPUTED_VALUE"""),330.65)</f>
        <v>330.65</v>
      </c>
    </row>
    <row r="437" spans="1:4" ht="13.2" x14ac:dyDescent="0.25">
      <c r="A437" s="142">
        <v>44095.666666666664</v>
      </c>
      <c r="B437" s="146">
        <v>24.47</v>
      </c>
      <c r="C437" s="150">
        <f ca="1">IFERROR(__xludf.DUMMYFUNCTION("""COMPUTED_VALUE"""),37.1)</f>
        <v>37.1</v>
      </c>
      <c r="D437" s="150">
        <f ca="1">IFERROR(__xludf.DUMMYFUNCTION("""COMPUTED_VALUE"""),326.97)</f>
        <v>326.97000000000003</v>
      </c>
    </row>
    <row r="438" spans="1:4" ht="13.2" x14ac:dyDescent="0.25">
      <c r="A438" s="142">
        <v>44096.666666666664</v>
      </c>
      <c r="B438" s="146">
        <v>23.94</v>
      </c>
      <c r="C438" s="150">
        <f ca="1">IFERROR(__xludf.DUMMYFUNCTION("""COMPUTED_VALUE"""),37.13)</f>
        <v>37.130000000000003</v>
      </c>
      <c r="D438" s="150">
        <f ca="1">IFERROR(__xludf.DUMMYFUNCTION("""COMPUTED_VALUE"""),330.3)</f>
        <v>330.3</v>
      </c>
    </row>
    <row r="439" spans="1:4" ht="13.2" x14ac:dyDescent="0.25">
      <c r="A439" s="142">
        <v>44097.666666666664</v>
      </c>
      <c r="B439" s="146">
        <v>23.26</v>
      </c>
      <c r="C439" s="150">
        <f ca="1">IFERROR(__xludf.DUMMYFUNCTION("""COMPUTED_VALUE"""),36.82)</f>
        <v>36.82</v>
      </c>
      <c r="D439" s="150">
        <f ca="1">IFERROR(__xludf.DUMMYFUNCTION("""COMPUTED_VALUE"""),322.64)</f>
        <v>322.64</v>
      </c>
    </row>
    <row r="440" spans="1:4" ht="13.2" x14ac:dyDescent="0.25">
      <c r="A440" s="142">
        <v>44098.666666666664</v>
      </c>
      <c r="B440" s="146">
        <v>23.34</v>
      </c>
      <c r="C440" s="150">
        <f ca="1">IFERROR(__xludf.DUMMYFUNCTION("""COMPUTED_VALUE"""),35.82)</f>
        <v>35.82</v>
      </c>
      <c r="D440" s="150">
        <f ca="1">IFERROR(__xludf.DUMMYFUNCTION("""COMPUTED_VALUE"""),323.5)</f>
        <v>323.5</v>
      </c>
    </row>
    <row r="441" spans="1:4" ht="13.2" x14ac:dyDescent="0.25">
      <c r="A441" s="142">
        <v>44099.666666666664</v>
      </c>
      <c r="B441" s="146">
        <v>23.49</v>
      </c>
      <c r="C441" s="150">
        <f ca="1">IFERROR(__xludf.DUMMYFUNCTION("""COMPUTED_VALUE"""),35.85)</f>
        <v>35.85</v>
      </c>
      <c r="D441" s="150">
        <f ca="1">IFERROR(__xludf.DUMMYFUNCTION("""COMPUTED_VALUE"""),328.73)</f>
        <v>328.73</v>
      </c>
    </row>
    <row r="442" spans="1:4" ht="13.2" x14ac:dyDescent="0.25">
      <c r="A442" s="142">
        <v>44102.666666666664</v>
      </c>
      <c r="B442" s="146">
        <v>24.09</v>
      </c>
      <c r="C442" s="150">
        <f ca="1">IFERROR(__xludf.DUMMYFUNCTION("""COMPUTED_VALUE"""),37.35)</f>
        <v>37.35</v>
      </c>
      <c r="D442" s="150">
        <f ca="1">IFERROR(__xludf.DUMMYFUNCTION("""COMPUTED_VALUE"""),334.19)</f>
        <v>334.19</v>
      </c>
    </row>
    <row r="443" spans="1:4" ht="13.2" x14ac:dyDescent="0.25">
      <c r="A443" s="142">
        <v>44103.666666666664</v>
      </c>
      <c r="B443" s="146">
        <v>23.77</v>
      </c>
      <c r="C443" s="150">
        <f ca="1">IFERROR(__xludf.DUMMYFUNCTION("""COMPUTED_VALUE"""),35.91)</f>
        <v>35.909999999999997</v>
      </c>
      <c r="D443" s="150">
        <f ca="1">IFERROR(__xludf.DUMMYFUNCTION("""COMPUTED_VALUE"""),332.37)</f>
        <v>332.37</v>
      </c>
    </row>
    <row r="444" spans="1:4" ht="13.2" x14ac:dyDescent="0.25">
      <c r="A444" s="142">
        <v>44104.666666666664</v>
      </c>
      <c r="B444" s="146">
        <v>24.09</v>
      </c>
      <c r="C444" s="150">
        <f ca="1">IFERROR(__xludf.DUMMYFUNCTION("""COMPUTED_VALUE"""),36.7)</f>
        <v>36.700000000000003</v>
      </c>
      <c r="D444" s="150">
        <f ca="1">IFERROR(__xludf.DUMMYFUNCTION("""COMPUTED_VALUE"""),334.89)</f>
        <v>334.89</v>
      </c>
    </row>
    <row r="445" spans="1:4" ht="13.2" x14ac:dyDescent="0.25">
      <c r="A445" s="142">
        <v>44105.666666666664</v>
      </c>
      <c r="B445" s="146">
        <v>24.1</v>
      </c>
      <c r="C445" s="150">
        <f ca="1">IFERROR(__xludf.DUMMYFUNCTION("""COMPUTED_VALUE"""),36.59)</f>
        <v>36.590000000000003</v>
      </c>
      <c r="D445" s="150">
        <f ca="1">IFERROR(__xludf.DUMMYFUNCTION("""COMPUTED_VALUE"""),337.04)</f>
        <v>337.04</v>
      </c>
    </row>
    <row r="446" spans="1:4" ht="13.2" x14ac:dyDescent="0.25">
      <c r="A446" s="142">
        <v>44106.666666666664</v>
      </c>
      <c r="B446" s="146">
        <v>24.21</v>
      </c>
      <c r="C446" s="150">
        <f ca="1">IFERROR(__xludf.DUMMYFUNCTION("""COMPUTED_VALUE"""),36.73)</f>
        <v>36.729999999999997</v>
      </c>
      <c r="D446" s="150">
        <f ca="1">IFERROR(__xludf.DUMMYFUNCTION("""COMPUTED_VALUE"""),333.84)</f>
        <v>333.84</v>
      </c>
    </row>
    <row r="447" spans="1:4" ht="13.2" x14ac:dyDescent="0.25">
      <c r="A447" s="142">
        <v>44109.666666666664</v>
      </c>
      <c r="B447" s="146">
        <v>24.62</v>
      </c>
      <c r="C447" s="150">
        <f ca="1">IFERROR(__xludf.DUMMYFUNCTION("""COMPUTED_VALUE"""),38.12)</f>
        <v>38.119999999999997</v>
      </c>
      <c r="D447" s="150">
        <f ca="1">IFERROR(__xludf.DUMMYFUNCTION("""COMPUTED_VALUE"""),339.76)</f>
        <v>339.76</v>
      </c>
    </row>
    <row r="448" spans="1:4" ht="13.2" x14ac:dyDescent="0.25">
      <c r="A448" s="142">
        <v>44110.666666666664</v>
      </c>
      <c r="B448" s="146">
        <v>24.37</v>
      </c>
      <c r="C448" s="150">
        <f ca="1">IFERROR(__xludf.DUMMYFUNCTION("""COMPUTED_VALUE"""),38.87)</f>
        <v>38.869999999999997</v>
      </c>
      <c r="D448" s="150">
        <f ca="1">IFERROR(__xludf.DUMMYFUNCTION("""COMPUTED_VALUE"""),334.93)</f>
        <v>334.93</v>
      </c>
    </row>
    <row r="449" spans="1:4" ht="13.2" x14ac:dyDescent="0.25">
      <c r="A449" s="142">
        <v>44111.666666666664</v>
      </c>
      <c r="B449" s="146">
        <v>24.88</v>
      </c>
      <c r="C449" s="150">
        <f ca="1">IFERROR(__xludf.DUMMYFUNCTION("""COMPUTED_VALUE"""),38.16)</f>
        <v>38.159999999999997</v>
      </c>
      <c r="D449" s="150">
        <f ca="1">IFERROR(__xludf.DUMMYFUNCTION("""COMPUTED_VALUE"""),340.76)</f>
        <v>340.76</v>
      </c>
    </row>
    <row r="450" spans="1:4" ht="13.2" x14ac:dyDescent="0.25">
      <c r="A450" s="142">
        <v>44112.666666666664</v>
      </c>
      <c r="B450" s="146">
        <v>25.24</v>
      </c>
      <c r="C450" s="150">
        <f ca="1">IFERROR(__xludf.DUMMYFUNCTION("""COMPUTED_VALUE"""),37.79)</f>
        <v>37.79</v>
      </c>
      <c r="D450" s="150">
        <f ca="1">IFERROR(__xludf.DUMMYFUNCTION("""COMPUTED_VALUE"""),343.78)</f>
        <v>343.78</v>
      </c>
    </row>
    <row r="451" spans="1:4" ht="13.2" x14ac:dyDescent="0.25">
      <c r="A451" s="142">
        <v>44113.666666666664</v>
      </c>
      <c r="B451" s="146">
        <v>25.36</v>
      </c>
      <c r="C451" s="150">
        <f ca="1">IFERROR(__xludf.DUMMYFUNCTION("""COMPUTED_VALUE"""),38.19)</f>
        <v>38.19</v>
      </c>
      <c r="D451" s="150">
        <f ca="1">IFERROR(__xludf.DUMMYFUNCTION("""COMPUTED_VALUE"""),346.85)</f>
        <v>346.85</v>
      </c>
    </row>
    <row r="452" spans="1:4" ht="13.2" x14ac:dyDescent="0.25">
      <c r="A452" s="142">
        <v>44116.666666666664</v>
      </c>
      <c r="B452" s="146">
        <v>25.68</v>
      </c>
      <c r="C452" s="150">
        <f ca="1">IFERROR(__xludf.DUMMYFUNCTION("""COMPUTED_VALUE"""),38.55)</f>
        <v>38.549999999999997</v>
      </c>
      <c r="D452" s="150">
        <f ca="1">IFERROR(__xludf.DUMMYFUNCTION("""COMPUTED_VALUE"""),352.43)</f>
        <v>352.43</v>
      </c>
    </row>
    <row r="453" spans="1:4" ht="13.2" x14ac:dyDescent="0.25">
      <c r="A453" s="142">
        <v>44117.666666666664</v>
      </c>
      <c r="B453" s="146">
        <v>24.95</v>
      </c>
      <c r="C453" s="150">
        <f ca="1">IFERROR(__xludf.DUMMYFUNCTION("""COMPUTED_VALUE"""),37.53)</f>
        <v>37.53</v>
      </c>
      <c r="D453" s="150">
        <f ca="1">IFERROR(__xludf.DUMMYFUNCTION("""COMPUTED_VALUE"""),350.13)</f>
        <v>350.13</v>
      </c>
    </row>
    <row r="454" spans="1:4" ht="13.2" x14ac:dyDescent="0.25">
      <c r="A454" s="142">
        <v>44118.666666666664</v>
      </c>
      <c r="B454" s="146">
        <v>23.62</v>
      </c>
      <c r="C454" s="150">
        <f ca="1">IFERROR(__xludf.DUMMYFUNCTION("""COMPUTED_VALUE"""),37.09)</f>
        <v>37.090000000000003</v>
      </c>
      <c r="D454" s="150">
        <f ca="1">IFERROR(__xludf.DUMMYFUNCTION("""COMPUTED_VALUE"""),347.93)</f>
        <v>347.93</v>
      </c>
    </row>
    <row r="455" spans="1:4" ht="13.2" x14ac:dyDescent="0.25">
      <c r="A455" s="142">
        <v>44119.666666666664</v>
      </c>
      <c r="B455" s="146">
        <v>24.15</v>
      </c>
      <c r="C455" s="150">
        <f ca="1">IFERROR(__xludf.DUMMYFUNCTION("""COMPUTED_VALUE"""),36.76)</f>
        <v>36.76</v>
      </c>
      <c r="D455" s="150">
        <f ca="1">IFERROR(__xludf.DUMMYFUNCTION("""COMPUTED_VALUE"""),347.5)</f>
        <v>347.5</v>
      </c>
    </row>
    <row r="456" spans="1:4" ht="13.2" x14ac:dyDescent="0.25">
      <c r="A456" s="142">
        <v>44120.666666666664</v>
      </c>
      <c r="B456" s="146">
        <v>24.24</v>
      </c>
      <c r="C456" s="150">
        <f ca="1">IFERROR(__xludf.DUMMYFUNCTION("""COMPUTED_VALUE"""),37.17)</f>
        <v>37.17</v>
      </c>
      <c r="D456" s="150">
        <f ca="1">IFERROR(__xludf.DUMMYFUNCTION("""COMPUTED_VALUE"""),347.29)</f>
        <v>347.29</v>
      </c>
    </row>
    <row r="457" spans="1:4" ht="13.2" x14ac:dyDescent="0.25">
      <c r="A457" s="142">
        <v>44123.666666666664</v>
      </c>
      <c r="B457" s="146">
        <v>23.72</v>
      </c>
      <c r="C457" s="150">
        <f ca="1">IFERROR(__xludf.DUMMYFUNCTION("""COMPUTED_VALUE"""),36.6)</f>
        <v>36.6</v>
      </c>
      <c r="D457" s="150">
        <f ca="1">IFERROR(__xludf.DUMMYFUNCTION("""COMPUTED_VALUE"""),342.01)</f>
        <v>342.01</v>
      </c>
    </row>
    <row r="458" spans="1:4" ht="13.2" x14ac:dyDescent="0.25">
      <c r="A458" s="142">
        <v>44124.666666666664</v>
      </c>
      <c r="B458" s="146">
        <v>24.14</v>
      </c>
      <c r="C458" s="150">
        <f ca="1">IFERROR(__xludf.DUMMYFUNCTION("""COMPUTED_VALUE"""),36.99)</f>
        <v>36.99</v>
      </c>
      <c r="D458" s="150">
        <f ca="1">IFERROR(__xludf.DUMMYFUNCTION("""COMPUTED_VALUE"""),343.38)</f>
        <v>343.38</v>
      </c>
    </row>
    <row r="459" spans="1:4" ht="13.2" x14ac:dyDescent="0.25">
      <c r="A459" s="142">
        <v>44125.666666666664</v>
      </c>
      <c r="B459" s="146">
        <v>24.05</v>
      </c>
      <c r="C459" s="150">
        <f ca="1">IFERROR(__xludf.DUMMYFUNCTION("""COMPUTED_VALUE"""),36.59)</f>
        <v>36.590000000000003</v>
      </c>
      <c r="D459" s="150">
        <f ca="1">IFERROR(__xludf.DUMMYFUNCTION("""COMPUTED_VALUE"""),342.73)</f>
        <v>342.73</v>
      </c>
    </row>
    <row r="460" spans="1:4" ht="13.2" x14ac:dyDescent="0.25">
      <c r="A460" s="142">
        <v>44126.666666666664</v>
      </c>
      <c r="B460" s="146">
        <v>24.87</v>
      </c>
      <c r="C460" s="150">
        <f ca="1">IFERROR(__xludf.DUMMYFUNCTION("""COMPUTED_VALUE"""),36.9)</f>
        <v>36.9</v>
      </c>
      <c r="D460" s="150">
        <f ca="1">IFERROR(__xludf.DUMMYFUNCTION("""COMPUTED_VALUE"""),344.61)</f>
        <v>344.61</v>
      </c>
    </row>
    <row r="461" spans="1:4" ht="13.2" x14ac:dyDescent="0.25">
      <c r="A461" s="142">
        <v>44127.666666666664</v>
      </c>
      <c r="B461" s="146">
        <v>24.9</v>
      </c>
      <c r="C461" s="150">
        <f ca="1">IFERROR(__xludf.DUMMYFUNCTION("""COMPUTED_VALUE"""),37.36)</f>
        <v>37.36</v>
      </c>
      <c r="D461" s="150">
        <f ca="1">IFERROR(__xludf.DUMMYFUNCTION("""COMPUTED_VALUE"""),345.78)</f>
        <v>345.78</v>
      </c>
    </row>
    <row r="462" spans="1:4" ht="13.2" x14ac:dyDescent="0.25">
      <c r="A462" s="142">
        <v>44130.666666666664</v>
      </c>
      <c r="B462" s="146">
        <v>24.54</v>
      </c>
      <c r="C462" s="150">
        <f ca="1">IFERROR(__xludf.DUMMYFUNCTION("""COMPUTED_VALUE"""),35.85)</f>
        <v>35.85</v>
      </c>
      <c r="D462" s="150">
        <f ca="1">IFERROR(__xludf.DUMMYFUNCTION("""COMPUTED_VALUE"""),339.39)</f>
        <v>339.39</v>
      </c>
    </row>
    <row r="463" spans="1:4" ht="13.2" x14ac:dyDescent="0.25">
      <c r="A463" s="142">
        <v>44131.666666666664</v>
      </c>
      <c r="B463" s="146">
        <v>23.85</v>
      </c>
      <c r="C463" s="150">
        <f ca="1">IFERROR(__xludf.DUMMYFUNCTION("""COMPUTED_VALUE"""),35.24)</f>
        <v>35.24</v>
      </c>
      <c r="D463" s="150">
        <f ca="1">IFERROR(__xludf.DUMMYFUNCTION("""COMPUTED_VALUE"""),338.22)</f>
        <v>338.22</v>
      </c>
    </row>
    <row r="464" spans="1:4" ht="13.2" x14ac:dyDescent="0.25">
      <c r="A464" s="142">
        <v>44132.666666666664</v>
      </c>
      <c r="B464" s="146">
        <v>23.47</v>
      </c>
      <c r="C464" s="150">
        <f ca="1">IFERROR(__xludf.DUMMYFUNCTION("""COMPUTED_VALUE"""),35.49)</f>
        <v>35.49</v>
      </c>
      <c r="D464" s="150">
        <f ca="1">IFERROR(__xludf.DUMMYFUNCTION("""COMPUTED_VALUE"""),326.66)</f>
        <v>326.66000000000003</v>
      </c>
    </row>
    <row r="465" spans="1:4" ht="13.2" x14ac:dyDescent="0.25">
      <c r="A465" s="142">
        <v>44133.666666666664</v>
      </c>
      <c r="B465" s="146">
        <v>23.54</v>
      </c>
      <c r="C465" s="150">
        <f ca="1">IFERROR(__xludf.DUMMYFUNCTION("""COMPUTED_VALUE"""),35.21)</f>
        <v>35.21</v>
      </c>
      <c r="D465" s="150">
        <f ca="1">IFERROR(__xludf.DUMMYFUNCTION("""COMPUTED_VALUE"""),329.98)</f>
        <v>329.98</v>
      </c>
    </row>
    <row r="466" spans="1:4" ht="13.2" x14ac:dyDescent="0.25">
      <c r="A466" s="142">
        <v>44134.666666666664</v>
      </c>
      <c r="B466" s="146">
        <v>23.7</v>
      </c>
      <c r="C466" s="150">
        <f ca="1">IFERROR(__xludf.DUMMYFUNCTION("""COMPUTED_VALUE"""),36.46)</f>
        <v>36.46</v>
      </c>
      <c r="D466" s="150">
        <f ca="1">IFERROR(__xludf.DUMMYFUNCTION("""COMPUTED_VALUE"""),326.54)</f>
        <v>326.54000000000002</v>
      </c>
    </row>
    <row r="467" spans="1:4" ht="13.2" x14ac:dyDescent="0.25">
      <c r="A467" s="142">
        <v>44137.666666666664</v>
      </c>
      <c r="B467" s="146">
        <v>24.08</v>
      </c>
      <c r="C467" s="150">
        <f ca="1">IFERROR(__xludf.DUMMYFUNCTION("""COMPUTED_VALUE"""),37.27)</f>
        <v>37.270000000000003</v>
      </c>
      <c r="D467" s="150">
        <f ca="1">IFERROR(__xludf.DUMMYFUNCTION("""COMPUTED_VALUE"""),330.2)</f>
        <v>330.2</v>
      </c>
    </row>
    <row r="468" spans="1:4" ht="13.2" x14ac:dyDescent="0.25">
      <c r="A468" s="142">
        <v>44138.666666666664</v>
      </c>
      <c r="B468" s="146">
        <v>24.69</v>
      </c>
      <c r="C468" s="150">
        <f ca="1">IFERROR(__xludf.DUMMYFUNCTION("""COMPUTED_VALUE"""),36.63)</f>
        <v>36.630000000000003</v>
      </c>
      <c r="D468" s="150">
        <f ca="1">IFERROR(__xludf.DUMMYFUNCTION("""COMPUTED_VALUE"""),336.03)</f>
        <v>336.03</v>
      </c>
    </row>
    <row r="469" spans="1:4" ht="13.2" x14ac:dyDescent="0.25">
      <c r="A469" s="142">
        <v>44139.666666666664</v>
      </c>
      <c r="B469" s="146">
        <v>23.68</v>
      </c>
      <c r="C469" s="150">
        <f ca="1">IFERROR(__xludf.DUMMYFUNCTION("""COMPUTED_VALUE"""),36.72)</f>
        <v>36.72</v>
      </c>
      <c r="D469" s="150">
        <f ca="1">IFERROR(__xludf.DUMMYFUNCTION("""COMPUTED_VALUE"""),343.54)</f>
        <v>343.54</v>
      </c>
    </row>
    <row r="470" spans="1:4" ht="13.2" x14ac:dyDescent="0.25">
      <c r="A470" s="142">
        <v>44140.666666666664</v>
      </c>
      <c r="B470" s="146">
        <v>24.61</v>
      </c>
      <c r="C470" s="150">
        <f ca="1">IFERROR(__xludf.DUMMYFUNCTION("""COMPUTED_VALUE"""),36.15)</f>
        <v>36.15</v>
      </c>
      <c r="D470" s="150">
        <f ca="1">IFERROR(__xludf.DUMMYFUNCTION("""COMPUTED_VALUE"""),350.24)</f>
        <v>350.24</v>
      </c>
    </row>
    <row r="471" spans="1:4" ht="13.2" x14ac:dyDescent="0.25">
      <c r="A471" s="142">
        <v>44141.666666666664</v>
      </c>
      <c r="B471" s="146">
        <v>24.31</v>
      </c>
      <c r="C471" s="150">
        <f ca="1">IFERROR(__xludf.DUMMYFUNCTION("""COMPUTED_VALUE"""),39.74)</f>
        <v>39.74</v>
      </c>
      <c r="D471" s="150">
        <f ca="1">IFERROR(__xludf.DUMMYFUNCTION("""COMPUTED_VALUE"""),350.16)</f>
        <v>350.16</v>
      </c>
    </row>
    <row r="472" spans="1:4" ht="13.2" x14ac:dyDescent="0.25">
      <c r="A472" s="142">
        <v>44144.666666666664</v>
      </c>
      <c r="B472" s="146">
        <v>27.76</v>
      </c>
      <c r="C472" s="150">
        <f ca="1">IFERROR(__xludf.DUMMYFUNCTION("""COMPUTED_VALUE"""),40.87)</f>
        <v>40.869999999999997</v>
      </c>
      <c r="D472" s="150">
        <f ca="1">IFERROR(__xludf.DUMMYFUNCTION("""COMPUTED_VALUE"""),354.56)</f>
        <v>354.56</v>
      </c>
    </row>
    <row r="473" spans="1:4" ht="13.2" x14ac:dyDescent="0.25">
      <c r="A473" s="142">
        <v>44145.666666666664</v>
      </c>
      <c r="B473" s="146">
        <v>27.66</v>
      </c>
      <c r="C473" s="150">
        <f ca="1">IFERROR(__xludf.DUMMYFUNCTION("""COMPUTED_VALUE"""),41.07)</f>
        <v>41.07</v>
      </c>
      <c r="D473" s="150">
        <f ca="1">IFERROR(__xludf.DUMMYFUNCTION("""COMPUTED_VALUE"""),354.04)</f>
        <v>354.04</v>
      </c>
    </row>
    <row r="474" spans="1:4" ht="13.2" x14ac:dyDescent="0.25">
      <c r="A474" s="142">
        <v>44146.666666666664</v>
      </c>
      <c r="B474" s="146">
        <v>27.34</v>
      </c>
      <c r="C474" s="150">
        <f ca="1">IFERROR(__xludf.DUMMYFUNCTION("""COMPUTED_VALUE"""),40.49)</f>
        <v>40.49</v>
      </c>
      <c r="D474" s="150">
        <f ca="1">IFERROR(__xludf.DUMMYFUNCTION("""COMPUTED_VALUE"""),356.67)</f>
        <v>356.67</v>
      </c>
    </row>
    <row r="475" spans="1:4" ht="13.2" x14ac:dyDescent="0.25">
      <c r="A475" s="142">
        <v>44147.666666666664</v>
      </c>
      <c r="B475" s="146">
        <v>26.69</v>
      </c>
      <c r="C475" s="150">
        <f ca="1">IFERROR(__xludf.DUMMYFUNCTION("""COMPUTED_VALUE"""),41.15)</f>
        <v>41.15</v>
      </c>
      <c r="D475" s="150">
        <f ca="1">IFERROR(__xludf.DUMMYFUNCTION("""COMPUTED_VALUE"""),353.21)</f>
        <v>353.21</v>
      </c>
    </row>
    <row r="476" spans="1:4" ht="13.2" x14ac:dyDescent="0.25">
      <c r="A476" s="142">
        <v>44148.666666666664</v>
      </c>
      <c r="B476" s="146">
        <v>27</v>
      </c>
      <c r="C476" s="150">
        <f ca="1">IFERROR(__xludf.DUMMYFUNCTION("""COMPUTED_VALUE"""),42.79)</f>
        <v>42.79</v>
      </c>
      <c r="D476" s="150">
        <f ca="1">IFERROR(__xludf.DUMMYFUNCTION("""COMPUTED_VALUE"""),358.1)</f>
        <v>358.1</v>
      </c>
    </row>
    <row r="477" spans="1:4" ht="13.2" x14ac:dyDescent="0.25">
      <c r="A477" s="142">
        <v>44151.666666666664</v>
      </c>
      <c r="B477" s="146">
        <v>27.58</v>
      </c>
      <c r="C477" s="150">
        <f ca="1">IFERROR(__xludf.DUMMYFUNCTION("""COMPUTED_VALUE"""),42.71)</f>
        <v>42.71</v>
      </c>
      <c r="D477" s="150">
        <f ca="1">IFERROR(__xludf.DUMMYFUNCTION("""COMPUTED_VALUE"""),362.57)</f>
        <v>362.57</v>
      </c>
    </row>
    <row r="478" spans="1:4" ht="13.2" x14ac:dyDescent="0.25">
      <c r="A478" s="142">
        <v>44152.666666666664</v>
      </c>
      <c r="B478" s="146">
        <v>27.55</v>
      </c>
      <c r="C478" s="150">
        <f ca="1">IFERROR(__xludf.DUMMYFUNCTION("""COMPUTED_VALUE"""),44.1)</f>
        <v>44.1</v>
      </c>
      <c r="D478" s="150">
        <f ca="1">IFERROR(__xludf.DUMMYFUNCTION("""COMPUTED_VALUE"""),360.62)</f>
        <v>360.62</v>
      </c>
    </row>
    <row r="479" spans="1:4" ht="13.2" x14ac:dyDescent="0.25">
      <c r="A479" s="142">
        <v>44153.666666666664</v>
      </c>
      <c r="B479" s="146">
        <v>26.98</v>
      </c>
      <c r="C479" s="150">
        <f ca="1">IFERROR(__xludf.DUMMYFUNCTION("""COMPUTED_VALUE"""),43.64)</f>
        <v>43.64</v>
      </c>
      <c r="D479" s="150">
        <f ca="1">IFERROR(__xludf.DUMMYFUNCTION("""COMPUTED_VALUE"""),356.28)</f>
        <v>356.28</v>
      </c>
    </row>
    <row r="480" spans="1:4" ht="13.2" x14ac:dyDescent="0.25">
      <c r="A480" s="142">
        <v>44154.666666666664</v>
      </c>
      <c r="B480" s="146">
        <v>26.98</v>
      </c>
      <c r="C480" s="150">
        <f ca="1">IFERROR(__xludf.DUMMYFUNCTION("""COMPUTED_VALUE"""),43.48)</f>
        <v>43.48</v>
      </c>
      <c r="D480" s="150">
        <f ca="1">IFERROR(__xludf.DUMMYFUNCTION("""COMPUTED_VALUE"""),357.78)</f>
        <v>357.78</v>
      </c>
    </row>
    <row r="481" spans="1:4" ht="13.2" x14ac:dyDescent="0.25">
      <c r="A481" s="142">
        <v>44155.666666666664</v>
      </c>
      <c r="B481" s="146">
        <v>26.81</v>
      </c>
      <c r="C481" s="150">
        <f ca="1">IFERROR(__xludf.DUMMYFUNCTION("""COMPUTED_VALUE"""),45.17)</f>
        <v>45.17</v>
      </c>
      <c r="D481" s="150">
        <f ca="1">IFERROR(__xludf.DUMMYFUNCTION("""COMPUTED_VALUE"""),355.33)</f>
        <v>355.33</v>
      </c>
    </row>
    <row r="482" spans="1:4" ht="13.2" x14ac:dyDescent="0.25">
      <c r="A482" s="142">
        <v>44158.666666666664</v>
      </c>
      <c r="B482" s="146">
        <v>27.39</v>
      </c>
      <c r="C482" s="150">
        <f ca="1">IFERROR(__xludf.DUMMYFUNCTION("""COMPUTED_VALUE"""),46.87)</f>
        <v>46.87</v>
      </c>
      <c r="D482" s="150">
        <f ca="1">IFERROR(__xludf.DUMMYFUNCTION("""COMPUTED_VALUE"""),357.46)</f>
        <v>357.46</v>
      </c>
    </row>
    <row r="483" spans="1:4" ht="13.2" x14ac:dyDescent="0.25">
      <c r="A483" s="142">
        <v>44159.666666666664</v>
      </c>
      <c r="B483" s="146">
        <v>28.98</v>
      </c>
      <c r="C483" s="150">
        <f ca="1">IFERROR(__xludf.DUMMYFUNCTION("""COMPUTED_VALUE"""),47.77)</f>
        <v>47.77</v>
      </c>
      <c r="D483" s="150">
        <f ca="1">IFERROR(__xludf.DUMMYFUNCTION("""COMPUTED_VALUE"""),363.22)</f>
        <v>363.22</v>
      </c>
    </row>
    <row r="484" spans="1:4" ht="13.2" x14ac:dyDescent="0.25">
      <c r="A484" s="142">
        <v>44160.666666666664</v>
      </c>
      <c r="B484" s="146">
        <v>29.03</v>
      </c>
      <c r="C484" s="150">
        <f ca="1">IFERROR(__xludf.DUMMYFUNCTION("""COMPUTED_VALUE"""),47.91)</f>
        <v>47.91</v>
      </c>
      <c r="D484" s="150">
        <f ca="1">IFERROR(__xludf.DUMMYFUNCTION("""COMPUTED_VALUE"""),362.66)</f>
        <v>362.66</v>
      </c>
    </row>
    <row r="485" spans="1:4" ht="13.2" x14ac:dyDescent="0.25">
      <c r="A485" s="142">
        <v>44162.541666666664</v>
      </c>
      <c r="B485" s="146">
        <v>28.99</v>
      </c>
      <c r="C485" s="150">
        <f ca="1">IFERROR(__xludf.DUMMYFUNCTION("""COMPUTED_VALUE"""),47.16)</f>
        <v>47.16</v>
      </c>
      <c r="D485" s="150">
        <f ca="1">IFERROR(__xludf.DUMMYFUNCTION("""COMPUTED_VALUE"""),363.67)</f>
        <v>363.67</v>
      </c>
    </row>
    <row r="486" spans="1:4" ht="13.2" x14ac:dyDescent="0.25">
      <c r="A486" s="142">
        <v>44165.666666666664</v>
      </c>
      <c r="B486" s="146">
        <v>28.16</v>
      </c>
      <c r="C486" s="150">
        <f ca="1">IFERROR(__xludf.DUMMYFUNCTION("""COMPUTED_VALUE"""),46.63)</f>
        <v>46.63</v>
      </c>
      <c r="D486" s="150">
        <f ca="1">IFERROR(__xludf.DUMMYFUNCTION("""COMPUTED_VALUE"""),362.06)</f>
        <v>362.06</v>
      </c>
    </row>
    <row r="487" spans="1:4" ht="13.2" x14ac:dyDescent="0.25">
      <c r="A487" s="142">
        <v>44166.666666666664</v>
      </c>
      <c r="B487" s="146">
        <v>28.69</v>
      </c>
      <c r="C487" s="150">
        <f ca="1">IFERROR(__xludf.DUMMYFUNCTION("""COMPUTED_VALUE"""),46.84)</f>
        <v>46.84</v>
      </c>
      <c r="D487" s="150">
        <f ca="1">IFERROR(__xludf.DUMMYFUNCTION("""COMPUTED_VALUE"""),366.02)</f>
        <v>366.02</v>
      </c>
    </row>
    <row r="488" spans="1:4" ht="13.2" x14ac:dyDescent="0.25">
      <c r="A488" s="142">
        <v>44167.666666666664</v>
      </c>
      <c r="B488" s="146">
        <v>29.06</v>
      </c>
      <c r="C488" s="150">
        <f ca="1">IFERROR(__xludf.DUMMYFUNCTION("""COMPUTED_VALUE"""),47.22)</f>
        <v>47.22</v>
      </c>
      <c r="D488" s="150">
        <f ca="1">IFERROR(__xludf.DUMMYFUNCTION("""COMPUTED_VALUE"""),366.79)</f>
        <v>366.79</v>
      </c>
    </row>
    <row r="489" spans="1:4" ht="13.2" x14ac:dyDescent="0.25">
      <c r="A489" s="142">
        <v>44168.666666666664</v>
      </c>
      <c r="B489" s="146">
        <v>28.91</v>
      </c>
      <c r="C489" s="150">
        <f ca="1">IFERROR(__xludf.DUMMYFUNCTION("""COMPUTED_VALUE"""),46.95)</f>
        <v>46.95</v>
      </c>
      <c r="D489" s="150">
        <f ca="1">IFERROR(__xludf.DUMMYFUNCTION("""COMPUTED_VALUE"""),366.69)</f>
        <v>366.69</v>
      </c>
    </row>
    <row r="490" spans="1:4" ht="13.2" x14ac:dyDescent="0.25">
      <c r="A490" s="142">
        <v>44169.666666666664</v>
      </c>
      <c r="B490" s="146">
        <v>29.29</v>
      </c>
      <c r="C490" s="150">
        <f ca="1">IFERROR(__xludf.DUMMYFUNCTION("""COMPUTED_VALUE"""),47.98)</f>
        <v>47.98</v>
      </c>
      <c r="D490" s="150">
        <f ca="1">IFERROR(__xludf.DUMMYFUNCTION("""COMPUTED_VALUE"""),369.85)</f>
        <v>369.85</v>
      </c>
    </row>
    <row r="491" spans="1:4" ht="13.2" x14ac:dyDescent="0.25">
      <c r="A491" s="142">
        <v>44172.666666666664</v>
      </c>
      <c r="B491" s="146">
        <v>29.09</v>
      </c>
      <c r="C491" s="150">
        <f ca="1">IFERROR(__xludf.DUMMYFUNCTION("""COMPUTED_VALUE"""),48.02)</f>
        <v>48.02</v>
      </c>
      <c r="D491" s="150">
        <f ca="1">IFERROR(__xludf.DUMMYFUNCTION("""COMPUTED_VALUE"""),369.09)</f>
        <v>369.09</v>
      </c>
    </row>
    <row r="492" spans="1:4" ht="13.2" x14ac:dyDescent="0.25">
      <c r="A492" s="142">
        <v>44173.666666666664</v>
      </c>
      <c r="B492" s="146">
        <v>28.93</v>
      </c>
      <c r="C492" s="150">
        <f ca="1">IFERROR(__xludf.DUMMYFUNCTION("""COMPUTED_VALUE"""),48.05)</f>
        <v>48.05</v>
      </c>
      <c r="D492" s="150">
        <f ca="1">IFERROR(__xludf.DUMMYFUNCTION("""COMPUTED_VALUE"""),370.17)</f>
        <v>370.17</v>
      </c>
    </row>
    <row r="493" spans="1:4" ht="13.2" x14ac:dyDescent="0.25">
      <c r="A493" s="142">
        <v>44174.666666666664</v>
      </c>
      <c r="B493" s="146">
        <v>28.8</v>
      </c>
      <c r="C493" s="150">
        <f ca="1">IFERROR(__xludf.DUMMYFUNCTION("""COMPUTED_VALUE"""),48.36)</f>
        <v>48.36</v>
      </c>
      <c r="D493" s="150">
        <f ca="1">IFERROR(__xludf.DUMMYFUNCTION("""COMPUTED_VALUE"""),366.85)</f>
        <v>366.85</v>
      </c>
    </row>
    <row r="494" spans="1:4" ht="13.2" x14ac:dyDescent="0.25">
      <c r="A494" s="142">
        <v>44175.666666666664</v>
      </c>
      <c r="B494" s="146">
        <v>29.11</v>
      </c>
      <c r="C494" s="150">
        <f ca="1">IFERROR(__xludf.DUMMYFUNCTION("""COMPUTED_VALUE"""),49.1)</f>
        <v>49.1</v>
      </c>
      <c r="D494" s="150">
        <f ca="1">IFERROR(__xludf.DUMMYFUNCTION("""COMPUTED_VALUE"""),366.73)</f>
        <v>366.73</v>
      </c>
    </row>
    <row r="495" spans="1:4" ht="13.2" x14ac:dyDescent="0.25">
      <c r="A495" s="142">
        <v>44176.666666666664</v>
      </c>
      <c r="B495" s="146">
        <v>28.57</v>
      </c>
      <c r="C495" s="150">
        <f ca="1">IFERROR(__xludf.DUMMYFUNCTION("""COMPUTED_VALUE"""),48.51)</f>
        <v>48.51</v>
      </c>
      <c r="D495" s="150">
        <f ca="1">IFERROR(__xludf.DUMMYFUNCTION("""COMPUTED_VALUE"""),366.3)</f>
        <v>366.3</v>
      </c>
    </row>
    <row r="496" spans="1:4" ht="13.2" x14ac:dyDescent="0.25">
      <c r="A496" s="142">
        <v>44179.666666666664</v>
      </c>
      <c r="B496" s="146">
        <v>28.22</v>
      </c>
      <c r="C496" s="150">
        <f ca="1">IFERROR(__xludf.DUMMYFUNCTION("""COMPUTED_VALUE"""),48.61)</f>
        <v>48.61</v>
      </c>
      <c r="D496" s="150">
        <f ca="1">IFERROR(__xludf.DUMMYFUNCTION("""COMPUTED_VALUE"""),364.66)</f>
        <v>364.66</v>
      </c>
    </row>
    <row r="497" spans="1:4" ht="13.2" x14ac:dyDescent="0.25">
      <c r="A497" s="142">
        <v>44180.666666666664</v>
      </c>
      <c r="B497" s="146">
        <v>28.64</v>
      </c>
      <c r="C497" s="150">
        <f ca="1">IFERROR(__xludf.DUMMYFUNCTION("""COMPUTED_VALUE"""),48.77)</f>
        <v>48.77</v>
      </c>
      <c r="D497" s="150">
        <f ca="1">IFERROR(__xludf.DUMMYFUNCTION("""COMPUTED_VALUE"""),369.59)</f>
        <v>369.59</v>
      </c>
    </row>
    <row r="498" spans="1:4" ht="13.2" x14ac:dyDescent="0.25">
      <c r="A498" s="142">
        <v>44181.666666666664</v>
      </c>
      <c r="B498" s="146">
        <v>28.72</v>
      </c>
      <c r="C498" s="150">
        <f ca="1">IFERROR(__xludf.DUMMYFUNCTION("""COMPUTED_VALUE"""),49.12)</f>
        <v>49.12</v>
      </c>
      <c r="D498" s="150">
        <f ca="1">IFERROR(__xludf.DUMMYFUNCTION("""COMPUTED_VALUE"""),370.17)</f>
        <v>370.17</v>
      </c>
    </row>
    <row r="499" spans="1:4" ht="13.2" x14ac:dyDescent="0.25">
      <c r="A499" s="142">
        <v>44182.666666666664</v>
      </c>
      <c r="B499" s="146">
        <v>28.83</v>
      </c>
      <c r="C499" s="150">
        <f ca="1">IFERROR(__xludf.DUMMYFUNCTION("""COMPUTED_VALUE"""),48.98)</f>
        <v>48.98</v>
      </c>
      <c r="D499" s="150">
        <f ca="1">IFERROR(__xludf.DUMMYFUNCTION("""COMPUTED_VALUE"""),372.24)</f>
        <v>372.24</v>
      </c>
    </row>
    <row r="500" spans="1:4" ht="13.2" x14ac:dyDescent="0.25">
      <c r="A500" s="142">
        <v>44183.666666666664</v>
      </c>
      <c r="B500" s="146">
        <v>28.67</v>
      </c>
      <c r="C500" s="150">
        <f ca="1">IFERROR(__xludf.DUMMYFUNCTION("""COMPUTED_VALUE"""),48.53)</f>
        <v>48.53</v>
      </c>
      <c r="D500" s="150">
        <f ca="1">IFERROR(__xludf.DUMMYFUNCTION("""COMPUTED_VALUE"""),369.18)</f>
        <v>369.18</v>
      </c>
    </row>
    <row r="501" spans="1:4" ht="13.2" x14ac:dyDescent="0.25">
      <c r="A501" s="142">
        <v>44186.666666666664</v>
      </c>
      <c r="B501" s="146">
        <v>29.74</v>
      </c>
      <c r="C501" s="150">
        <f ca="1">IFERROR(__xludf.DUMMYFUNCTION("""COMPUTED_VALUE"""),49.66)</f>
        <v>49.66</v>
      </c>
      <c r="D501" s="150">
        <f ca="1">IFERROR(__xludf.DUMMYFUNCTION("""COMPUTED_VALUE"""),367.86)</f>
        <v>367.86</v>
      </c>
    </row>
    <row r="502" spans="1:4" ht="13.2" x14ac:dyDescent="0.25">
      <c r="A502" s="142">
        <v>44187.666666666664</v>
      </c>
      <c r="B502" s="146">
        <v>29.21</v>
      </c>
      <c r="C502" s="150">
        <f ca="1">IFERROR(__xludf.DUMMYFUNCTION("""COMPUTED_VALUE"""),49.46)</f>
        <v>49.46</v>
      </c>
      <c r="D502" s="150">
        <f ca="1">IFERROR(__xludf.DUMMYFUNCTION("""COMPUTED_VALUE"""),367.24)</f>
        <v>367.24</v>
      </c>
    </row>
    <row r="503" spans="1:4" ht="13.2" x14ac:dyDescent="0.25">
      <c r="A503" s="142">
        <v>44188.666666666664</v>
      </c>
      <c r="B503" s="146">
        <v>30.05</v>
      </c>
      <c r="C503" s="150">
        <f ca="1">IFERROR(__xludf.DUMMYFUNCTION("""COMPUTED_VALUE"""),49.96)</f>
        <v>49.96</v>
      </c>
      <c r="D503" s="150">
        <f ca="1">IFERROR(__xludf.DUMMYFUNCTION("""COMPUTED_VALUE"""),367.57)</f>
        <v>367.57</v>
      </c>
    </row>
    <row r="504" spans="1:4" ht="13.2" x14ac:dyDescent="0.25">
      <c r="A504" s="142">
        <v>44189.541666666664</v>
      </c>
      <c r="B504" s="146">
        <v>29.96</v>
      </c>
      <c r="C504" s="150">
        <f ca="1">IFERROR(__xludf.DUMMYFUNCTION("""COMPUTED_VALUE"""),50.07)</f>
        <v>50.07</v>
      </c>
      <c r="D504" s="150">
        <f ca="1">IFERROR(__xludf.DUMMYFUNCTION("""COMPUTED_VALUE"""),369)</f>
        <v>369</v>
      </c>
    </row>
    <row r="505" spans="1:4" ht="13.2" x14ac:dyDescent="0.25">
      <c r="A505" s="142">
        <v>44193.666666666664</v>
      </c>
      <c r="B505" s="146">
        <v>30.13</v>
      </c>
      <c r="C505" s="150">
        <f ca="1">IFERROR(__xludf.DUMMYFUNCTION("""COMPUTED_VALUE"""),49.58)</f>
        <v>49.58</v>
      </c>
      <c r="D505" s="150">
        <f ca="1">IFERROR(__xludf.DUMMYFUNCTION("""COMPUTED_VALUE"""),372.17)</f>
        <v>372.17</v>
      </c>
    </row>
    <row r="506" spans="1:4" ht="13.2" x14ac:dyDescent="0.25">
      <c r="A506" s="142">
        <v>44194.666666666664</v>
      </c>
      <c r="B506" s="146">
        <v>30.01</v>
      </c>
      <c r="C506" s="150">
        <f ca="1">IFERROR(__xludf.DUMMYFUNCTION("""COMPUTED_VALUE"""),49.74)</f>
        <v>49.74</v>
      </c>
      <c r="D506" s="150">
        <f ca="1">IFERROR(__xludf.DUMMYFUNCTION("""COMPUTED_VALUE"""),371.46)</f>
        <v>371.46</v>
      </c>
    </row>
    <row r="507" spans="1:4" ht="13.2" x14ac:dyDescent="0.25">
      <c r="A507" s="142">
        <v>44195.666666666664</v>
      </c>
      <c r="B507" s="146">
        <v>29.98</v>
      </c>
      <c r="C507" s="150">
        <f ca="1">IFERROR(__xludf.DUMMYFUNCTION("""COMPUTED_VALUE"""),49.18)</f>
        <v>49.18</v>
      </c>
      <c r="D507" s="150">
        <f ca="1">IFERROR(__xludf.DUMMYFUNCTION("""COMPUTED_VALUE"""),371.99)</f>
        <v>371.99</v>
      </c>
    </row>
    <row r="508" spans="1:4" ht="13.2" x14ac:dyDescent="0.25">
      <c r="A508" s="142">
        <v>44196.666666666664</v>
      </c>
      <c r="B508" s="146">
        <v>30.31</v>
      </c>
      <c r="C508" s="150">
        <f ca="1">IFERROR(__xludf.DUMMYFUNCTION("""COMPUTED_VALUE"""),49.47)</f>
        <v>49.47</v>
      </c>
      <c r="D508" s="150">
        <f ca="1">IFERROR(__xludf.DUMMYFUNCTION("""COMPUTED_VALUE"""),373.88)</f>
        <v>373.88</v>
      </c>
    </row>
    <row r="509" spans="1:4" ht="13.2" x14ac:dyDescent="0.25">
      <c r="A509" s="142">
        <v>44200.666666666664</v>
      </c>
      <c r="B509" s="146">
        <v>30.03</v>
      </c>
      <c r="C509" s="150">
        <f ca="1">IFERROR(__xludf.DUMMYFUNCTION("""COMPUTED_VALUE"""),53.73)</f>
        <v>53.73</v>
      </c>
      <c r="D509" s="150">
        <f ca="1">IFERROR(__xludf.DUMMYFUNCTION("""COMPUTED_VALUE"""),368.79)</f>
        <v>368.79</v>
      </c>
    </row>
    <row r="510" spans="1:4" ht="13.2" x14ac:dyDescent="0.25">
      <c r="A510" s="142">
        <v>44201.666666666664</v>
      </c>
      <c r="B510" s="146">
        <v>30.26</v>
      </c>
      <c r="C510" s="150">
        <f ca="1">IFERROR(__xludf.DUMMYFUNCTION("""COMPUTED_VALUE"""),54.68)</f>
        <v>54.68</v>
      </c>
      <c r="D510" s="150">
        <f ca="1">IFERROR(__xludf.DUMMYFUNCTION("""COMPUTED_VALUE"""),371.33)</f>
        <v>371.33</v>
      </c>
    </row>
    <row r="511" spans="1:4" ht="13.2" x14ac:dyDescent="0.25">
      <c r="A511" s="142">
        <v>44202.666666666664</v>
      </c>
      <c r="B511" s="146">
        <v>32.15</v>
      </c>
      <c r="C511" s="150">
        <f ca="1">IFERROR(__xludf.DUMMYFUNCTION("""COMPUTED_VALUE"""),52.98)</f>
        <v>52.98</v>
      </c>
      <c r="D511" s="150">
        <f ca="1">IFERROR(__xludf.DUMMYFUNCTION("""COMPUTED_VALUE"""),373.55)</f>
        <v>373.55</v>
      </c>
    </row>
    <row r="512" spans="1:4" ht="13.2" x14ac:dyDescent="0.25">
      <c r="A512" s="142">
        <v>44203.666666666664</v>
      </c>
      <c r="B512" s="146">
        <v>32.86</v>
      </c>
      <c r="C512" s="150">
        <f ca="1">IFERROR(__xludf.DUMMYFUNCTION("""COMPUTED_VALUE"""),53.94)</f>
        <v>53.94</v>
      </c>
      <c r="D512" s="150">
        <f ca="1">IFERROR(__xludf.DUMMYFUNCTION("""COMPUTED_VALUE"""),379.1)</f>
        <v>379.1</v>
      </c>
    </row>
    <row r="513" spans="1:4" ht="13.2" x14ac:dyDescent="0.25">
      <c r="A513" s="142">
        <v>44204.666666666664</v>
      </c>
      <c r="B513" s="146">
        <v>32.53</v>
      </c>
      <c r="C513" s="150">
        <f ca="1">IFERROR(__xludf.DUMMYFUNCTION("""COMPUTED_VALUE"""),55.03)</f>
        <v>55.03</v>
      </c>
      <c r="D513" s="150">
        <f ca="1">IFERROR(__xludf.DUMMYFUNCTION("""COMPUTED_VALUE"""),381.26)</f>
        <v>381.26</v>
      </c>
    </row>
    <row r="514" spans="1:4" ht="13.2" x14ac:dyDescent="0.25">
      <c r="A514" s="142">
        <v>44207.666666666664</v>
      </c>
      <c r="B514" s="146">
        <v>33.07</v>
      </c>
      <c r="C514" s="150">
        <f ca="1">IFERROR(__xludf.DUMMYFUNCTION("""COMPUTED_VALUE"""),54.48)</f>
        <v>54.48</v>
      </c>
      <c r="D514" s="150">
        <f ca="1">IFERROR(__xludf.DUMMYFUNCTION("""COMPUTED_VALUE"""),378.69)</f>
        <v>378.69</v>
      </c>
    </row>
    <row r="515" spans="1:4" ht="13.2" x14ac:dyDescent="0.25">
      <c r="A515" s="142">
        <v>44208.666666666664</v>
      </c>
      <c r="B515" s="146">
        <v>33.659999999999997</v>
      </c>
      <c r="C515" s="150">
        <f ca="1">IFERROR(__xludf.DUMMYFUNCTION("""COMPUTED_VALUE"""),56.39)</f>
        <v>56.39</v>
      </c>
      <c r="D515" s="150">
        <f ca="1">IFERROR(__xludf.DUMMYFUNCTION("""COMPUTED_VALUE"""),378.77)</f>
        <v>378.77</v>
      </c>
    </row>
    <row r="516" spans="1:4" ht="13.2" x14ac:dyDescent="0.25">
      <c r="A516" s="142">
        <v>44209.666666666664</v>
      </c>
      <c r="B516" s="146">
        <v>33.46</v>
      </c>
      <c r="C516" s="150">
        <f ca="1">IFERROR(__xludf.DUMMYFUNCTION("""COMPUTED_VALUE"""),54.32)</f>
        <v>54.32</v>
      </c>
      <c r="D516" s="150">
        <f ca="1">IFERROR(__xludf.DUMMYFUNCTION("""COMPUTED_VALUE"""),379.79)</f>
        <v>379.79</v>
      </c>
    </row>
    <row r="517" spans="1:4" ht="13.2" x14ac:dyDescent="0.25">
      <c r="A517" s="142">
        <v>44210.666666666664</v>
      </c>
      <c r="B517" s="146">
        <v>33.99</v>
      </c>
      <c r="C517" s="150">
        <f ca="1">IFERROR(__xludf.DUMMYFUNCTION("""COMPUTED_VALUE"""),52.83)</f>
        <v>52.83</v>
      </c>
      <c r="D517" s="150">
        <f ca="1">IFERROR(__xludf.DUMMYFUNCTION("""COMPUTED_VALUE"""),378.46)</f>
        <v>378.46</v>
      </c>
    </row>
    <row r="518" spans="1:4" ht="13.2" x14ac:dyDescent="0.25">
      <c r="A518" s="142">
        <v>44211.666666666664</v>
      </c>
      <c r="B518" s="146">
        <v>33.01</v>
      </c>
      <c r="C518" s="150">
        <f ca="1">IFERROR(__xludf.DUMMYFUNCTION("""COMPUTED_VALUE"""),52.8)</f>
        <v>52.8</v>
      </c>
      <c r="D518" s="150">
        <f ca="1">IFERROR(__xludf.DUMMYFUNCTION("""COMPUTED_VALUE"""),375.7)</f>
        <v>375.7</v>
      </c>
    </row>
    <row r="519" spans="1:4" ht="13.2" x14ac:dyDescent="0.25">
      <c r="A519" s="142">
        <v>44215.666666666664</v>
      </c>
      <c r="B519" s="146">
        <v>32.770000000000003</v>
      </c>
      <c r="C519" s="150">
        <f ca="1">IFERROR(__xludf.DUMMYFUNCTION("""COMPUTED_VALUE"""),52.13)</f>
        <v>52.13</v>
      </c>
      <c r="D519" s="150">
        <f ca="1">IFERROR(__xludf.DUMMYFUNCTION("""COMPUTED_VALUE"""),378.65)</f>
        <v>378.65</v>
      </c>
    </row>
    <row r="520" spans="1:4" ht="13.2" x14ac:dyDescent="0.25">
      <c r="A520" s="142">
        <v>44216.666666666664</v>
      </c>
      <c r="B520" s="146">
        <v>32.340000000000003</v>
      </c>
      <c r="C520" s="150">
        <f ca="1">IFERROR(__xludf.DUMMYFUNCTION("""COMPUTED_VALUE"""),51.21)</f>
        <v>51.21</v>
      </c>
      <c r="D520" s="150">
        <f ca="1">IFERROR(__xludf.DUMMYFUNCTION("""COMPUTED_VALUE"""),383.89)</f>
        <v>383.89</v>
      </c>
    </row>
    <row r="521" spans="1:4" ht="13.2" x14ac:dyDescent="0.25">
      <c r="A521" s="142">
        <v>44217.666666666664</v>
      </c>
      <c r="B521" s="146">
        <v>31.77</v>
      </c>
      <c r="C521" s="150">
        <f ca="1">IFERROR(__xludf.DUMMYFUNCTION("""COMPUTED_VALUE"""),49.81)</f>
        <v>49.81</v>
      </c>
      <c r="D521" s="150">
        <f ca="1">IFERROR(__xludf.DUMMYFUNCTION("""COMPUTED_VALUE"""),384.24)</f>
        <v>384.24</v>
      </c>
    </row>
    <row r="522" spans="1:4" ht="13.2" x14ac:dyDescent="0.25">
      <c r="A522" s="142">
        <v>44218.666666666664</v>
      </c>
      <c r="B522" s="146">
        <v>31.55</v>
      </c>
      <c r="C522" s="150">
        <f ca="1">IFERROR(__xludf.DUMMYFUNCTION("""COMPUTED_VALUE"""),48.95)</f>
        <v>48.95</v>
      </c>
      <c r="D522" s="150">
        <f ca="1">IFERROR(__xludf.DUMMYFUNCTION("""COMPUTED_VALUE"""),382.88)</f>
        <v>382.88</v>
      </c>
    </row>
    <row r="523" spans="1:4" ht="13.2" x14ac:dyDescent="0.25">
      <c r="A523" s="142">
        <v>44221.666666666664</v>
      </c>
      <c r="B523" s="146">
        <v>31.16</v>
      </c>
      <c r="C523" s="150">
        <f ca="1">IFERROR(__xludf.DUMMYFUNCTION("""COMPUTED_VALUE"""),49.73)</f>
        <v>49.73</v>
      </c>
      <c r="D523" s="150">
        <f ca="1">IFERROR(__xludf.DUMMYFUNCTION("""COMPUTED_VALUE"""),384.39)</f>
        <v>384.39</v>
      </c>
    </row>
    <row r="524" spans="1:4" ht="13.2" x14ac:dyDescent="0.25">
      <c r="A524" s="142">
        <v>44222.666666666664</v>
      </c>
      <c r="B524" s="146">
        <v>30.94</v>
      </c>
      <c r="C524" s="150">
        <f ca="1">IFERROR(__xludf.DUMMYFUNCTION("""COMPUTED_VALUE"""),49.33)</f>
        <v>49.33</v>
      </c>
      <c r="D524" s="150">
        <f ca="1">IFERROR(__xludf.DUMMYFUNCTION("""COMPUTED_VALUE"""),383.79)</f>
        <v>383.79</v>
      </c>
    </row>
    <row r="525" spans="1:4" ht="13.2" x14ac:dyDescent="0.25">
      <c r="A525" s="142">
        <v>44223.666666666664</v>
      </c>
      <c r="B525" s="146">
        <v>29.83</v>
      </c>
      <c r="C525" s="150">
        <f ca="1">IFERROR(__xludf.DUMMYFUNCTION("""COMPUTED_VALUE"""),49.75)</f>
        <v>49.75</v>
      </c>
      <c r="D525" s="150">
        <f ca="1">IFERROR(__xludf.DUMMYFUNCTION("""COMPUTED_VALUE"""),374.41)</f>
        <v>374.41</v>
      </c>
    </row>
    <row r="526" spans="1:4" ht="13.2" x14ac:dyDescent="0.25">
      <c r="A526" s="142">
        <v>44224.666666666664</v>
      </c>
      <c r="B526" s="146">
        <v>30.32</v>
      </c>
      <c r="C526" s="150">
        <f ca="1">IFERROR(__xludf.DUMMYFUNCTION("""COMPUTED_VALUE"""),48.5)</f>
        <v>48.5</v>
      </c>
      <c r="D526" s="150">
        <f ca="1">IFERROR(__xludf.DUMMYFUNCTION("""COMPUTED_VALUE"""),377.63)</f>
        <v>377.63</v>
      </c>
    </row>
    <row r="527" spans="1:4" ht="13.2" x14ac:dyDescent="0.25">
      <c r="A527" s="142">
        <v>44225.666666666664</v>
      </c>
      <c r="B527" s="146">
        <v>29.65</v>
      </c>
      <c r="C527" s="150">
        <f ca="1">IFERROR(__xludf.DUMMYFUNCTION("""COMPUTED_VALUE"""),47.89)</f>
        <v>47.89</v>
      </c>
      <c r="D527" s="150">
        <f ca="1">IFERROR(__xludf.DUMMYFUNCTION("""COMPUTED_VALUE"""),370.07)</f>
        <v>370.07</v>
      </c>
    </row>
    <row r="528" spans="1:4" ht="13.2" x14ac:dyDescent="0.25">
      <c r="A528" s="142">
        <v>44228.666666666664</v>
      </c>
      <c r="B528" s="146">
        <v>29.96</v>
      </c>
      <c r="C528" s="150">
        <f ca="1">IFERROR(__xludf.DUMMYFUNCTION("""COMPUTED_VALUE"""),49.76)</f>
        <v>49.76</v>
      </c>
      <c r="D528" s="150">
        <f ca="1">IFERROR(__xludf.DUMMYFUNCTION("""COMPUTED_VALUE"""),376.23)</f>
        <v>376.23</v>
      </c>
    </row>
    <row r="529" spans="1:4" ht="13.2" x14ac:dyDescent="0.25">
      <c r="A529" s="142">
        <v>44229.666666666664</v>
      </c>
      <c r="B529" s="146">
        <v>31.03</v>
      </c>
      <c r="C529" s="150">
        <f ca="1">IFERROR(__xludf.DUMMYFUNCTION("""COMPUTED_VALUE"""),49.89)</f>
        <v>49.89</v>
      </c>
      <c r="D529" s="150">
        <f ca="1">IFERROR(__xludf.DUMMYFUNCTION("""COMPUTED_VALUE"""),381.55)</f>
        <v>381.55</v>
      </c>
    </row>
    <row r="530" spans="1:4" ht="13.2" x14ac:dyDescent="0.25">
      <c r="A530" s="142">
        <v>44230.666666666664</v>
      </c>
      <c r="B530" s="146">
        <v>31.58</v>
      </c>
      <c r="C530" s="150">
        <f ca="1">IFERROR(__xludf.DUMMYFUNCTION("""COMPUTED_VALUE"""),51.72)</f>
        <v>51.72</v>
      </c>
      <c r="D530" s="150">
        <f ca="1">IFERROR(__xludf.DUMMYFUNCTION("""COMPUTED_VALUE"""),381.85)</f>
        <v>381.85</v>
      </c>
    </row>
    <row r="531" spans="1:4" ht="13.2" x14ac:dyDescent="0.25">
      <c r="A531" s="142">
        <v>44231.666666666664</v>
      </c>
      <c r="B531" s="146">
        <v>32.5</v>
      </c>
      <c r="C531" s="150">
        <f ca="1">IFERROR(__xludf.DUMMYFUNCTION("""COMPUTED_VALUE"""),52.31)</f>
        <v>52.31</v>
      </c>
      <c r="D531" s="150">
        <f ca="1">IFERROR(__xludf.DUMMYFUNCTION("""COMPUTED_VALUE"""),386.19)</f>
        <v>386.19</v>
      </c>
    </row>
    <row r="532" spans="1:4" ht="13.2" x14ac:dyDescent="0.25">
      <c r="A532" s="142">
        <v>44232.666666666664</v>
      </c>
      <c r="B532" s="146">
        <v>32.369999999999997</v>
      </c>
      <c r="C532" s="150">
        <f ca="1">IFERROR(__xludf.DUMMYFUNCTION("""COMPUTED_VALUE"""),52.4)</f>
        <v>52.4</v>
      </c>
      <c r="D532" s="150">
        <f ca="1">IFERROR(__xludf.DUMMYFUNCTION("""COMPUTED_VALUE"""),387.71)</f>
        <v>387.71</v>
      </c>
    </row>
    <row r="533" spans="1:4" ht="13.2" x14ac:dyDescent="0.25">
      <c r="A533" s="142">
        <v>44235.666666666664</v>
      </c>
      <c r="B533" s="146">
        <v>33.090000000000003</v>
      </c>
      <c r="C533" s="150">
        <f ca="1">IFERROR(__xludf.DUMMYFUNCTION("""COMPUTED_VALUE"""),52.13)</f>
        <v>52.13</v>
      </c>
      <c r="D533" s="150">
        <f ca="1">IFERROR(__xludf.DUMMYFUNCTION("""COMPUTED_VALUE"""),390.51)</f>
        <v>390.51</v>
      </c>
    </row>
    <row r="534" spans="1:4" ht="13.2" x14ac:dyDescent="0.25">
      <c r="A534" s="142">
        <v>44236.666666666664</v>
      </c>
      <c r="B534" s="146">
        <v>32.950000000000003</v>
      </c>
      <c r="C534" s="150">
        <f ca="1">IFERROR(__xludf.DUMMYFUNCTION("""COMPUTED_VALUE"""),52.49)</f>
        <v>52.49</v>
      </c>
      <c r="D534" s="150">
        <f ca="1">IFERROR(__xludf.DUMMYFUNCTION("""COMPUTED_VALUE"""),390.25)</f>
        <v>390.25</v>
      </c>
    </row>
    <row r="535" spans="1:4" ht="13.2" x14ac:dyDescent="0.25">
      <c r="A535" s="142">
        <v>44237.666666666664</v>
      </c>
      <c r="B535" s="146">
        <v>32.979999999999997</v>
      </c>
      <c r="C535" s="150">
        <f ca="1">IFERROR(__xludf.DUMMYFUNCTION("""COMPUTED_VALUE"""),52.05)</f>
        <v>52.05</v>
      </c>
      <c r="D535" s="150">
        <f ca="1">IFERROR(__xludf.DUMMYFUNCTION("""COMPUTED_VALUE"""),390.08)</f>
        <v>390.08</v>
      </c>
    </row>
    <row r="536" spans="1:4" ht="13.2" x14ac:dyDescent="0.25">
      <c r="A536" s="142">
        <v>44238.666666666664</v>
      </c>
      <c r="B536" s="146">
        <v>32.880000000000003</v>
      </c>
      <c r="C536" s="150">
        <f ca="1">IFERROR(__xludf.DUMMYFUNCTION("""COMPUTED_VALUE"""),52.58)</f>
        <v>52.58</v>
      </c>
      <c r="D536" s="150">
        <f ca="1">IFERROR(__xludf.DUMMYFUNCTION("""COMPUTED_VALUE"""),390.71)</f>
        <v>390.71</v>
      </c>
    </row>
    <row r="537" spans="1:4" ht="13.2" x14ac:dyDescent="0.25">
      <c r="A537" s="142">
        <v>44239.666666666664</v>
      </c>
      <c r="B537" s="146">
        <v>33.369999999999997</v>
      </c>
      <c r="C537" s="150">
        <f ca="1">IFERROR(__xludf.DUMMYFUNCTION("""COMPUTED_VALUE"""),52.91)</f>
        <v>52.91</v>
      </c>
      <c r="D537" s="150">
        <f ca="1">IFERROR(__xludf.DUMMYFUNCTION("""COMPUTED_VALUE"""),392.64)</f>
        <v>392.64</v>
      </c>
    </row>
    <row r="538" spans="1:4" ht="13.2" x14ac:dyDescent="0.25">
      <c r="A538" s="142">
        <v>44243.666666666664</v>
      </c>
      <c r="B538" s="146">
        <v>34.270000000000003</v>
      </c>
      <c r="C538" s="150">
        <f ca="1">IFERROR(__xludf.DUMMYFUNCTION("""COMPUTED_VALUE"""),52.74)</f>
        <v>52.74</v>
      </c>
      <c r="D538" s="150">
        <f ca="1">IFERROR(__xludf.DUMMYFUNCTION("""COMPUTED_VALUE"""),392.3)</f>
        <v>392.3</v>
      </c>
    </row>
    <row r="539" spans="1:4" ht="13.2" x14ac:dyDescent="0.25">
      <c r="A539" s="142">
        <v>44244.666666666664</v>
      </c>
      <c r="B539" s="146">
        <v>34.409999999999997</v>
      </c>
      <c r="C539" s="150">
        <f ca="1">IFERROR(__xludf.DUMMYFUNCTION("""COMPUTED_VALUE"""),53.54)</f>
        <v>53.54</v>
      </c>
      <c r="D539" s="150">
        <f ca="1">IFERROR(__xludf.DUMMYFUNCTION("""COMPUTED_VALUE"""),392.39)</f>
        <v>392.39</v>
      </c>
    </row>
    <row r="540" spans="1:4" ht="13.2" x14ac:dyDescent="0.25">
      <c r="A540" s="142">
        <v>44245.666666666664</v>
      </c>
      <c r="B540" s="146">
        <v>34.19</v>
      </c>
      <c r="C540" s="150">
        <f ca="1">IFERROR(__xludf.DUMMYFUNCTION("""COMPUTED_VALUE"""),52.55)</f>
        <v>52.55</v>
      </c>
      <c r="D540" s="150">
        <f ca="1">IFERROR(__xludf.DUMMYFUNCTION("""COMPUTED_VALUE"""),390.72)</f>
        <v>390.72</v>
      </c>
    </row>
    <row r="541" spans="1:4" ht="13.2" x14ac:dyDescent="0.25">
      <c r="A541" s="142">
        <v>44246.666666666664</v>
      </c>
      <c r="B541" s="146">
        <v>34.54</v>
      </c>
      <c r="C541" s="150">
        <f ca="1">IFERROR(__xludf.DUMMYFUNCTION("""COMPUTED_VALUE"""),53.17)</f>
        <v>53.17</v>
      </c>
      <c r="D541" s="150">
        <f ca="1">IFERROR(__xludf.DUMMYFUNCTION("""COMPUTED_VALUE"""),390.03)</f>
        <v>390.03</v>
      </c>
    </row>
    <row r="542" spans="1:4" ht="13.2" x14ac:dyDescent="0.25">
      <c r="A542" s="142">
        <v>44249.666666666664</v>
      </c>
      <c r="B542" s="146">
        <v>35.15</v>
      </c>
      <c r="C542" s="150">
        <f ca="1">IFERROR(__xludf.DUMMYFUNCTION("""COMPUTED_VALUE"""),54.97)</f>
        <v>54.97</v>
      </c>
      <c r="D542" s="150">
        <f ca="1">IFERROR(__xludf.DUMMYFUNCTION("""COMPUTED_VALUE"""),387.03)</f>
        <v>387.03</v>
      </c>
    </row>
    <row r="543" spans="1:4" ht="13.2" x14ac:dyDescent="0.25">
      <c r="A543" s="142">
        <v>44250.666666666664</v>
      </c>
      <c r="B543" s="146">
        <v>35.520000000000003</v>
      </c>
      <c r="C543" s="150">
        <f ca="1">IFERROR(__xludf.DUMMYFUNCTION("""COMPUTED_VALUE"""),54.41)</f>
        <v>54.41</v>
      </c>
      <c r="D543" s="150">
        <f ca="1">IFERROR(__xludf.DUMMYFUNCTION("""COMPUTED_VALUE"""),387.5)</f>
        <v>387.5</v>
      </c>
    </row>
    <row r="544" spans="1:4" ht="13.2" x14ac:dyDescent="0.25">
      <c r="A544" s="142">
        <v>44251.666666666664</v>
      </c>
      <c r="B544" s="146">
        <v>36.380000000000003</v>
      </c>
      <c r="C544" s="150">
        <f ca="1">IFERROR(__xludf.DUMMYFUNCTION("""COMPUTED_VALUE"""),56.02)</f>
        <v>56.02</v>
      </c>
      <c r="D544" s="150">
        <f ca="1">IFERROR(__xludf.DUMMYFUNCTION("""COMPUTED_VALUE"""),391.77)</f>
        <v>391.77</v>
      </c>
    </row>
    <row r="545" spans="1:4" ht="13.2" x14ac:dyDescent="0.25">
      <c r="A545" s="142">
        <v>44252.666666666664</v>
      </c>
      <c r="B545" s="146">
        <v>35.93</v>
      </c>
      <c r="C545" s="150">
        <f ca="1">IFERROR(__xludf.DUMMYFUNCTION("""COMPUTED_VALUE"""),56.11)</f>
        <v>56.11</v>
      </c>
      <c r="D545" s="150">
        <f ca="1">IFERROR(__xludf.DUMMYFUNCTION("""COMPUTED_VALUE"""),382.33)</f>
        <v>382.33</v>
      </c>
    </row>
    <row r="546" spans="1:4" ht="13.2" x14ac:dyDescent="0.25">
      <c r="A546" s="142">
        <v>44253.666666666664</v>
      </c>
      <c r="B546" s="146">
        <v>34.71</v>
      </c>
      <c r="C546" s="150">
        <f ca="1">IFERROR(__xludf.DUMMYFUNCTION("""COMPUTED_VALUE"""),55.09)</f>
        <v>55.09</v>
      </c>
      <c r="D546" s="150">
        <f ca="1">IFERROR(__xludf.DUMMYFUNCTION("""COMPUTED_VALUE"""),380.36)</f>
        <v>380.36</v>
      </c>
    </row>
    <row r="547" spans="1:4" ht="13.2" x14ac:dyDescent="0.25">
      <c r="A547" s="142">
        <v>44256.666666666664</v>
      </c>
      <c r="B547" s="146">
        <v>35.79</v>
      </c>
      <c r="C547" s="150">
        <f ca="1">IFERROR(__xludf.DUMMYFUNCTION("""COMPUTED_VALUE"""),56.87)</f>
        <v>56.87</v>
      </c>
      <c r="D547" s="150">
        <f ca="1">IFERROR(__xludf.DUMMYFUNCTION("""COMPUTED_VALUE"""),389.58)</f>
        <v>389.58</v>
      </c>
    </row>
    <row r="548" spans="1:4" ht="13.2" x14ac:dyDescent="0.25">
      <c r="A548" s="142">
        <v>44257.666666666664</v>
      </c>
      <c r="B548" s="146">
        <v>35.53</v>
      </c>
      <c r="C548" s="150">
        <f ca="1">IFERROR(__xludf.DUMMYFUNCTION("""COMPUTED_VALUE"""),57.48)</f>
        <v>57.48</v>
      </c>
      <c r="D548" s="150">
        <f ca="1">IFERROR(__xludf.DUMMYFUNCTION("""COMPUTED_VALUE"""),386.54)</f>
        <v>386.54</v>
      </c>
    </row>
    <row r="549" spans="1:4" ht="13.2" x14ac:dyDescent="0.25">
      <c r="A549" s="142">
        <v>44258.666666666664</v>
      </c>
      <c r="B549" s="146">
        <v>36.42</v>
      </c>
      <c r="C549" s="150">
        <f ca="1">IFERROR(__xludf.DUMMYFUNCTION("""COMPUTED_VALUE"""),58.79)</f>
        <v>58.79</v>
      </c>
      <c r="D549" s="150">
        <f ca="1">IFERROR(__xludf.DUMMYFUNCTION("""COMPUTED_VALUE"""),381.42)</f>
        <v>381.42</v>
      </c>
    </row>
    <row r="550" spans="1:4" ht="13.2" x14ac:dyDescent="0.25">
      <c r="A550" s="142">
        <v>44259.666666666664</v>
      </c>
      <c r="B550" s="146">
        <v>36.5</v>
      </c>
      <c r="C550" s="150">
        <f ca="1">IFERROR(__xludf.DUMMYFUNCTION("""COMPUTED_VALUE"""),57.62)</f>
        <v>57.62</v>
      </c>
      <c r="D550" s="150">
        <f ca="1">IFERROR(__xludf.DUMMYFUNCTION("""COMPUTED_VALUE"""),376.7)</f>
        <v>376.7</v>
      </c>
    </row>
    <row r="551" spans="1:4" ht="13.2" x14ac:dyDescent="0.25">
      <c r="A551" s="142">
        <v>44260.666666666664</v>
      </c>
      <c r="B551" s="146">
        <v>36.93</v>
      </c>
      <c r="C551" s="150">
        <f ca="1">IFERROR(__xludf.DUMMYFUNCTION("""COMPUTED_VALUE"""),57.74)</f>
        <v>57.74</v>
      </c>
      <c r="D551" s="150">
        <f ca="1">IFERROR(__xludf.DUMMYFUNCTION("""COMPUTED_VALUE"""),383.63)</f>
        <v>383.63</v>
      </c>
    </row>
    <row r="552" spans="1:4" ht="13.2" x14ac:dyDescent="0.25">
      <c r="A552" s="142">
        <v>44263.666666666664</v>
      </c>
      <c r="B552" s="146">
        <v>37.130000000000003</v>
      </c>
      <c r="C552" s="150">
        <f ca="1">IFERROR(__xludf.DUMMYFUNCTION("""COMPUTED_VALUE"""),60.77)</f>
        <v>60.77</v>
      </c>
      <c r="D552" s="150">
        <f ca="1">IFERROR(__xludf.DUMMYFUNCTION("""COMPUTED_VALUE"""),381.72)</f>
        <v>381.72</v>
      </c>
    </row>
    <row r="553" spans="1:4" ht="13.2" x14ac:dyDescent="0.25">
      <c r="A553" s="142">
        <v>44264.666666666664</v>
      </c>
      <c r="B553" s="146">
        <v>36.32</v>
      </c>
      <c r="C553" s="150">
        <f ca="1">IFERROR(__xludf.DUMMYFUNCTION("""COMPUTED_VALUE"""),60.34)</f>
        <v>60.34</v>
      </c>
      <c r="D553" s="150">
        <f ca="1">IFERROR(__xludf.DUMMYFUNCTION("""COMPUTED_VALUE"""),387.17)</f>
        <v>387.17</v>
      </c>
    </row>
    <row r="554" spans="1:4" ht="13.2" x14ac:dyDescent="0.25">
      <c r="A554" s="142">
        <v>44265.666666666664</v>
      </c>
      <c r="B554" s="146">
        <v>37.369999999999997</v>
      </c>
      <c r="C554" s="150">
        <f ca="1">IFERROR(__xludf.DUMMYFUNCTION("""COMPUTED_VALUE"""),61.13)</f>
        <v>61.13</v>
      </c>
      <c r="D554" s="150">
        <f ca="1">IFERROR(__xludf.DUMMYFUNCTION("""COMPUTED_VALUE"""),389.58)</f>
        <v>389.58</v>
      </c>
    </row>
    <row r="555" spans="1:4" ht="13.2" x14ac:dyDescent="0.25">
      <c r="A555" s="142">
        <v>44266.666666666664</v>
      </c>
      <c r="B555" s="146">
        <v>37.24</v>
      </c>
      <c r="C555" s="150">
        <f ca="1">IFERROR(__xludf.DUMMYFUNCTION("""COMPUTED_VALUE"""),61.84)</f>
        <v>61.84</v>
      </c>
      <c r="D555" s="150">
        <f ca="1">IFERROR(__xludf.DUMMYFUNCTION("""COMPUTED_VALUE"""),393.53)</f>
        <v>393.53</v>
      </c>
    </row>
    <row r="556" spans="1:4" ht="13.2" x14ac:dyDescent="0.25">
      <c r="A556" s="142">
        <v>44267.666666666664</v>
      </c>
      <c r="B556" s="146">
        <v>37.94</v>
      </c>
      <c r="C556" s="150">
        <f ca="1">IFERROR(__xludf.DUMMYFUNCTION("""COMPUTED_VALUE"""),62.5)</f>
        <v>62.5</v>
      </c>
      <c r="D556" s="150">
        <f ca="1">IFERROR(__xludf.DUMMYFUNCTION("""COMPUTED_VALUE"""),394.06)</f>
        <v>394.06</v>
      </c>
    </row>
    <row r="557" spans="1:4" ht="13.2" x14ac:dyDescent="0.25">
      <c r="A557" s="142">
        <v>44270.666666666664</v>
      </c>
      <c r="B557" s="146">
        <v>37.75</v>
      </c>
      <c r="C557" s="150">
        <f ca="1">IFERROR(__xludf.DUMMYFUNCTION("""COMPUTED_VALUE"""),61.74)</f>
        <v>61.74</v>
      </c>
      <c r="D557" s="150">
        <f ca="1">IFERROR(__xludf.DUMMYFUNCTION("""COMPUTED_VALUE"""),396.41)</f>
        <v>396.41</v>
      </c>
    </row>
    <row r="558" spans="1:4" ht="13.2" x14ac:dyDescent="0.25">
      <c r="A558" s="142">
        <v>44271.666666666664</v>
      </c>
      <c r="B558" s="146">
        <v>37.64</v>
      </c>
      <c r="C558" s="150">
        <f ca="1">IFERROR(__xludf.DUMMYFUNCTION("""COMPUTED_VALUE"""),61.52)</f>
        <v>61.52</v>
      </c>
      <c r="D558" s="150">
        <f ca="1">IFERROR(__xludf.DUMMYFUNCTION("""COMPUTED_VALUE"""),395.91)</f>
        <v>395.91</v>
      </c>
    </row>
    <row r="559" spans="1:4" ht="13.2" x14ac:dyDescent="0.25">
      <c r="A559" s="142">
        <v>44272.666666666664</v>
      </c>
      <c r="B559" s="146">
        <v>37.950000000000003</v>
      </c>
      <c r="C559" s="150">
        <f ca="1">IFERROR(__xludf.DUMMYFUNCTION("""COMPUTED_VALUE"""),61.58)</f>
        <v>61.58</v>
      </c>
      <c r="D559" s="150">
        <f ca="1">IFERROR(__xludf.DUMMYFUNCTION("""COMPUTED_VALUE"""),397.26)</f>
        <v>397.26</v>
      </c>
    </row>
    <row r="560" spans="1:4" ht="13.2" x14ac:dyDescent="0.25">
      <c r="A560" s="142">
        <v>44273.666666666664</v>
      </c>
      <c r="B560" s="146">
        <v>38.94</v>
      </c>
      <c r="C560" s="150">
        <f ca="1">IFERROR(__xludf.DUMMYFUNCTION("""COMPUTED_VALUE"""),63.53)</f>
        <v>63.53</v>
      </c>
      <c r="D560" s="150">
        <f ca="1">IFERROR(__xludf.DUMMYFUNCTION("""COMPUTED_VALUE"""),391.48)</f>
        <v>391.48</v>
      </c>
    </row>
    <row r="561" spans="1:4" ht="13.2" x14ac:dyDescent="0.25">
      <c r="A561" s="142">
        <v>44274.666666666664</v>
      </c>
      <c r="B561" s="146">
        <v>38.53</v>
      </c>
      <c r="C561" s="150">
        <f ca="1">IFERROR(__xludf.DUMMYFUNCTION("""COMPUTED_VALUE"""),61.51)</f>
        <v>61.51</v>
      </c>
      <c r="D561" s="150">
        <f ca="1">IFERROR(__xludf.DUMMYFUNCTION("""COMPUTED_VALUE"""),389.48)</f>
        <v>389.48</v>
      </c>
    </row>
    <row r="562" spans="1:4" ht="13.2" x14ac:dyDescent="0.25">
      <c r="A562" s="142">
        <v>44277.666666666664</v>
      </c>
      <c r="B562" s="146">
        <v>37.659999999999997</v>
      </c>
      <c r="C562" s="150">
        <f ca="1">IFERROR(__xludf.DUMMYFUNCTION("""COMPUTED_VALUE"""),60.3)</f>
        <v>60.3</v>
      </c>
      <c r="D562" s="150">
        <f ca="1">IFERROR(__xludf.DUMMYFUNCTION("""COMPUTED_VALUE"""),392.59)</f>
        <v>392.59</v>
      </c>
    </row>
    <row r="563" spans="1:4" ht="13.2" x14ac:dyDescent="0.25">
      <c r="A563" s="142">
        <v>44278.666666666664</v>
      </c>
      <c r="B563" s="146">
        <v>36.9</v>
      </c>
      <c r="C563" s="150">
        <f ca="1">IFERROR(__xludf.DUMMYFUNCTION("""COMPUTED_VALUE"""),60.52)</f>
        <v>60.52</v>
      </c>
      <c r="D563" s="150">
        <f ca="1">IFERROR(__xludf.DUMMYFUNCTION("""COMPUTED_VALUE"""),389.5)</f>
        <v>389.5</v>
      </c>
    </row>
    <row r="564" spans="1:4" ht="13.2" x14ac:dyDescent="0.25">
      <c r="A564" s="142">
        <v>44279.666666666664</v>
      </c>
      <c r="B564" s="146">
        <v>36.9</v>
      </c>
      <c r="C564" s="150">
        <f ca="1">IFERROR(__xludf.DUMMYFUNCTION("""COMPUTED_VALUE"""),60.56)</f>
        <v>60.56</v>
      </c>
      <c r="D564" s="150">
        <f ca="1">IFERROR(__xludf.DUMMYFUNCTION("""COMPUTED_VALUE"""),387.52)</f>
        <v>387.52</v>
      </c>
    </row>
    <row r="565" spans="1:4" ht="13.2" x14ac:dyDescent="0.25">
      <c r="A565" s="142">
        <v>44280.666666666664</v>
      </c>
      <c r="B565" s="146">
        <v>37.659999999999997</v>
      </c>
      <c r="C565" s="150">
        <f ca="1">IFERROR(__xludf.DUMMYFUNCTION("""COMPUTED_VALUE"""),60.36)</f>
        <v>60.36</v>
      </c>
      <c r="D565" s="150">
        <f ca="1">IFERROR(__xludf.DUMMYFUNCTION("""COMPUTED_VALUE"""),389.7)</f>
        <v>389.7</v>
      </c>
    </row>
    <row r="566" spans="1:4" ht="13.2" x14ac:dyDescent="0.25">
      <c r="A566" s="142">
        <v>44281.666666666664</v>
      </c>
      <c r="B566" s="146">
        <v>38.68</v>
      </c>
      <c r="C566" s="150">
        <f ca="1">IFERROR(__xludf.DUMMYFUNCTION("""COMPUTED_VALUE"""),61.39)</f>
        <v>61.39</v>
      </c>
      <c r="D566" s="150">
        <f ca="1">IFERROR(__xludf.DUMMYFUNCTION("""COMPUTED_VALUE"""),395.98)</f>
        <v>395.98</v>
      </c>
    </row>
    <row r="567" spans="1:4" ht="13.2" x14ac:dyDescent="0.25">
      <c r="A567" s="142">
        <v>44284.666666666664</v>
      </c>
      <c r="B567" s="146">
        <v>38.31</v>
      </c>
      <c r="C567" s="150">
        <f ca="1">IFERROR(__xludf.DUMMYFUNCTION("""COMPUTED_VALUE"""),59.94)</f>
        <v>59.94</v>
      </c>
      <c r="D567" s="150">
        <f ca="1">IFERROR(__xludf.DUMMYFUNCTION("""COMPUTED_VALUE"""),395.78)</f>
        <v>395.78</v>
      </c>
    </row>
    <row r="568" spans="1:4" ht="13.2" x14ac:dyDescent="0.25">
      <c r="A568" s="142">
        <v>44285.666666666664</v>
      </c>
      <c r="B568" s="146">
        <v>38.99</v>
      </c>
      <c r="C568" s="150">
        <f ca="1">IFERROR(__xludf.DUMMYFUNCTION("""COMPUTED_VALUE"""),62.18)</f>
        <v>62.18</v>
      </c>
      <c r="D568" s="150">
        <f ca="1">IFERROR(__xludf.DUMMYFUNCTION("""COMPUTED_VALUE"""),394.73)</f>
        <v>394.73</v>
      </c>
    </row>
    <row r="569" spans="1:4" ht="13.2" x14ac:dyDescent="0.25">
      <c r="A569" s="142">
        <v>44286.666666666664</v>
      </c>
      <c r="B569" s="146">
        <v>38.69</v>
      </c>
      <c r="C569" s="150">
        <f ca="1">IFERROR(__xludf.DUMMYFUNCTION("""COMPUTED_VALUE"""),61.82)</f>
        <v>61.82</v>
      </c>
      <c r="D569" s="150">
        <f ca="1">IFERROR(__xludf.DUMMYFUNCTION("""COMPUTED_VALUE"""),396.33)</f>
        <v>396.33</v>
      </c>
    </row>
    <row r="570" spans="1:4" ht="13.2" x14ac:dyDescent="0.25">
      <c r="A570" s="142">
        <v>44287.666666666664</v>
      </c>
      <c r="B570" s="146">
        <v>39.49</v>
      </c>
      <c r="C570" s="150">
        <f ca="1">IFERROR(__xludf.DUMMYFUNCTION("""COMPUTED_VALUE"""),61.78)</f>
        <v>61.78</v>
      </c>
      <c r="D570" s="150">
        <f ca="1">IFERROR(__xludf.DUMMYFUNCTION("""COMPUTED_VALUE"""),400.61)</f>
        <v>400.61</v>
      </c>
    </row>
    <row r="571" spans="1:4" ht="13.2" x14ac:dyDescent="0.25">
      <c r="A571" s="142">
        <v>44291.666666666664</v>
      </c>
      <c r="B571" s="146">
        <v>39.799999999999997</v>
      </c>
      <c r="C571" s="150">
        <f ca="1">IFERROR(__xludf.DUMMYFUNCTION("""COMPUTED_VALUE"""),61.05)</f>
        <v>61.05</v>
      </c>
      <c r="D571" s="150">
        <f ca="1">IFERROR(__xludf.DUMMYFUNCTION("""COMPUTED_VALUE"""),406.36)</f>
        <v>406.36</v>
      </c>
    </row>
    <row r="572" spans="1:4" ht="13.2" x14ac:dyDescent="0.25">
      <c r="A572" s="142">
        <v>44292.666666666664</v>
      </c>
      <c r="B572" s="146">
        <v>39.69</v>
      </c>
      <c r="C572" s="150">
        <f ca="1">IFERROR(__xludf.DUMMYFUNCTION("""COMPUTED_VALUE"""),60.74)</f>
        <v>60.74</v>
      </c>
      <c r="D572" s="150">
        <f ca="1">IFERROR(__xludf.DUMMYFUNCTION("""COMPUTED_VALUE"""),406.12)</f>
        <v>406.12</v>
      </c>
    </row>
    <row r="573" spans="1:4" ht="13.2" x14ac:dyDescent="0.25">
      <c r="A573" s="142">
        <v>44293.666666666664</v>
      </c>
      <c r="B573" s="146">
        <v>40.049999999999997</v>
      </c>
      <c r="C573" s="150">
        <f ca="1">IFERROR(__xludf.DUMMYFUNCTION("""COMPUTED_VALUE"""),60.4)</f>
        <v>60.4</v>
      </c>
      <c r="D573" s="150">
        <f ca="1">IFERROR(__xludf.DUMMYFUNCTION("""COMPUTED_VALUE"""),406.59)</f>
        <v>406.59</v>
      </c>
    </row>
    <row r="574" spans="1:4" ht="13.2" x14ac:dyDescent="0.25">
      <c r="A574" s="142">
        <v>44294.666666666664</v>
      </c>
      <c r="B574" s="146">
        <v>39.700000000000003</v>
      </c>
      <c r="C574" s="150">
        <f ca="1">IFERROR(__xludf.DUMMYFUNCTION("""COMPUTED_VALUE"""),61.1)</f>
        <v>61.1</v>
      </c>
      <c r="D574" s="150">
        <f ca="1">IFERROR(__xludf.DUMMYFUNCTION("""COMPUTED_VALUE"""),408.52)</f>
        <v>408.52</v>
      </c>
    </row>
    <row r="575" spans="1:4" ht="13.2" x14ac:dyDescent="0.25">
      <c r="A575" s="142">
        <v>44295.666666666664</v>
      </c>
      <c r="B575" s="146">
        <v>39.99</v>
      </c>
      <c r="C575" s="150">
        <f ca="1">IFERROR(__xludf.DUMMYFUNCTION("""COMPUTED_VALUE"""),60.82)</f>
        <v>60.82</v>
      </c>
      <c r="D575" s="150">
        <f ca="1">IFERROR(__xludf.DUMMYFUNCTION("""COMPUTED_VALUE"""),411.49)</f>
        <v>411.49</v>
      </c>
    </row>
    <row r="576" spans="1:4" ht="13.2" x14ac:dyDescent="0.25">
      <c r="A576" s="142">
        <v>44298.666666666664</v>
      </c>
      <c r="B576" s="146">
        <v>40.06</v>
      </c>
      <c r="C576" s="150">
        <f ca="1">IFERROR(__xludf.DUMMYFUNCTION("""COMPUTED_VALUE"""),60.54)</f>
        <v>60.54</v>
      </c>
      <c r="D576" s="150">
        <f ca="1">IFERROR(__xludf.DUMMYFUNCTION("""COMPUTED_VALUE"""),411.64)</f>
        <v>411.64</v>
      </c>
    </row>
    <row r="577" spans="1:4" ht="13.2" x14ac:dyDescent="0.25">
      <c r="A577" s="142">
        <v>44299.666666666664</v>
      </c>
      <c r="B577" s="146">
        <v>39.32</v>
      </c>
      <c r="C577" s="150">
        <f ca="1">IFERROR(__xludf.DUMMYFUNCTION("""COMPUTED_VALUE"""),60.94)</f>
        <v>60.94</v>
      </c>
      <c r="D577" s="150">
        <f ca="1">IFERROR(__xludf.DUMMYFUNCTION("""COMPUTED_VALUE"""),412.86)</f>
        <v>412.86</v>
      </c>
    </row>
    <row r="578" spans="1:4" ht="13.2" x14ac:dyDescent="0.25">
      <c r="A578" s="142">
        <v>44300.666666666664</v>
      </c>
      <c r="B578" s="146">
        <v>39.880000000000003</v>
      </c>
      <c r="C578" s="150">
        <f ca="1">IFERROR(__xludf.DUMMYFUNCTION("""COMPUTED_VALUE"""),60.05)</f>
        <v>60.05</v>
      </c>
      <c r="D578" s="150">
        <f ca="1">IFERROR(__xludf.DUMMYFUNCTION("""COMPUTED_VALUE"""),411.45)</f>
        <v>411.45</v>
      </c>
    </row>
    <row r="579" spans="1:4" ht="13.2" x14ac:dyDescent="0.25">
      <c r="A579" s="142">
        <v>44301.666666666664</v>
      </c>
      <c r="B579" s="146">
        <v>38.74</v>
      </c>
      <c r="C579" s="150">
        <f ca="1">IFERROR(__xludf.DUMMYFUNCTION("""COMPUTED_VALUE"""),60.15)</f>
        <v>60.15</v>
      </c>
      <c r="D579" s="150">
        <f ca="1">IFERROR(__xludf.DUMMYFUNCTION("""COMPUTED_VALUE"""),415.87)</f>
        <v>415.87</v>
      </c>
    </row>
    <row r="580" spans="1:4" ht="13.2" x14ac:dyDescent="0.25">
      <c r="A580" s="142">
        <v>44302.666666666664</v>
      </c>
      <c r="B580" s="146">
        <v>39.15</v>
      </c>
      <c r="C580" s="150">
        <f ca="1">IFERROR(__xludf.DUMMYFUNCTION("""COMPUTED_VALUE"""),60.39)</f>
        <v>60.39</v>
      </c>
      <c r="D580" s="150">
        <f ca="1">IFERROR(__xludf.DUMMYFUNCTION("""COMPUTED_VALUE"""),417.26)</f>
        <v>417.26</v>
      </c>
    </row>
    <row r="581" spans="1:4" ht="13.2" x14ac:dyDescent="0.25">
      <c r="A581" s="142">
        <v>44305.666666666664</v>
      </c>
      <c r="B581" s="146">
        <v>39.17</v>
      </c>
      <c r="C581" s="150">
        <f ca="1">IFERROR(__xludf.DUMMYFUNCTION("""COMPUTED_VALUE"""),57.74)</f>
        <v>57.74</v>
      </c>
      <c r="D581" s="150">
        <f ca="1">IFERROR(__xludf.DUMMYFUNCTION("""COMPUTED_VALUE"""),415.21)</f>
        <v>415.21</v>
      </c>
    </row>
    <row r="582" spans="1:4" ht="13.2" x14ac:dyDescent="0.25">
      <c r="A582" s="142">
        <v>44306.666666666664</v>
      </c>
      <c r="B582" s="146">
        <v>38.08</v>
      </c>
      <c r="C582" s="150">
        <f ca="1">IFERROR(__xludf.DUMMYFUNCTION("""COMPUTED_VALUE"""),58.08)</f>
        <v>58.08</v>
      </c>
      <c r="D582" s="150">
        <f ca="1">IFERROR(__xludf.DUMMYFUNCTION("""COMPUTED_VALUE"""),412.17)</f>
        <v>412.17</v>
      </c>
    </row>
    <row r="583" spans="1:4" ht="13.2" x14ac:dyDescent="0.25">
      <c r="A583" s="142">
        <v>44307.666666666664</v>
      </c>
      <c r="B583" s="146">
        <v>38.72</v>
      </c>
      <c r="C583" s="150">
        <f ca="1">IFERROR(__xludf.DUMMYFUNCTION("""COMPUTED_VALUE"""),58.58)</f>
        <v>58.58</v>
      </c>
      <c r="D583" s="150">
        <f ca="1">IFERROR(__xludf.DUMMYFUNCTION("""COMPUTED_VALUE"""),416.07)</f>
        <v>416.07</v>
      </c>
    </row>
    <row r="584" spans="1:4" ht="13.2" x14ac:dyDescent="0.25">
      <c r="A584" s="142">
        <v>44308.666666666664</v>
      </c>
      <c r="B584" s="146">
        <v>38.36</v>
      </c>
      <c r="C584" s="150">
        <f ca="1">IFERROR(__xludf.DUMMYFUNCTION("""COMPUTED_VALUE"""),58.96)</f>
        <v>58.96</v>
      </c>
      <c r="D584" s="150">
        <f ca="1">IFERROR(__xludf.DUMMYFUNCTION("""COMPUTED_VALUE"""),412.27)</f>
        <v>412.27</v>
      </c>
    </row>
    <row r="585" spans="1:4" ht="13.2" x14ac:dyDescent="0.25">
      <c r="A585" s="142">
        <v>44309.666666666664</v>
      </c>
      <c r="B585" s="146">
        <v>39.18</v>
      </c>
      <c r="C585" s="150">
        <f ca="1">IFERROR(__xludf.DUMMYFUNCTION("""COMPUTED_VALUE"""),60.23)</f>
        <v>60.23</v>
      </c>
      <c r="D585" s="150">
        <f ca="1">IFERROR(__xludf.DUMMYFUNCTION("""COMPUTED_VALUE"""),416.74)</f>
        <v>416.74</v>
      </c>
    </row>
    <row r="586" spans="1:4" ht="13.2" x14ac:dyDescent="0.25">
      <c r="A586" s="142">
        <v>44312.666666666664</v>
      </c>
      <c r="B586" s="146">
        <v>39.409999999999997</v>
      </c>
      <c r="C586" s="150">
        <f ca="1">IFERROR(__xludf.DUMMYFUNCTION("""COMPUTED_VALUE"""),60.29)</f>
        <v>60.29</v>
      </c>
      <c r="D586" s="150">
        <f ca="1">IFERROR(__xludf.DUMMYFUNCTION("""COMPUTED_VALUE"""),417.61)</f>
        <v>417.61</v>
      </c>
    </row>
    <row r="587" spans="1:4" ht="13.2" x14ac:dyDescent="0.25">
      <c r="A587" s="142">
        <v>44313.666666666664</v>
      </c>
      <c r="B587" s="146">
        <v>39.880000000000003</v>
      </c>
      <c r="C587" s="150">
        <f ca="1">IFERROR(__xludf.DUMMYFUNCTION("""COMPUTED_VALUE"""),60.32)</f>
        <v>60.32</v>
      </c>
      <c r="D587" s="150">
        <f ca="1">IFERROR(__xludf.DUMMYFUNCTION("""COMPUTED_VALUE"""),417.52)</f>
        <v>417.52</v>
      </c>
    </row>
    <row r="588" spans="1:4" ht="13.2" x14ac:dyDescent="0.25">
      <c r="A588" s="142">
        <v>44314.666666666664</v>
      </c>
      <c r="B588" s="146">
        <v>40.03</v>
      </c>
      <c r="C588" s="150">
        <f ca="1">IFERROR(__xludf.DUMMYFUNCTION("""COMPUTED_VALUE"""),60.38)</f>
        <v>60.38</v>
      </c>
      <c r="D588" s="150">
        <f ca="1">IFERROR(__xludf.DUMMYFUNCTION("""COMPUTED_VALUE"""),417.4)</f>
        <v>417.4</v>
      </c>
    </row>
    <row r="589" spans="1:4" ht="13.2" x14ac:dyDescent="0.25">
      <c r="A589" s="142">
        <v>44315.666666666664</v>
      </c>
      <c r="B589" s="146">
        <v>41.11</v>
      </c>
      <c r="C589" s="150">
        <f ca="1">IFERROR(__xludf.DUMMYFUNCTION("""COMPUTED_VALUE"""),59.56)</f>
        <v>59.56</v>
      </c>
      <c r="D589" s="150">
        <f ca="1">IFERROR(__xludf.DUMMYFUNCTION("""COMPUTED_VALUE"""),420.06)</f>
        <v>420.06</v>
      </c>
    </row>
    <row r="590" spans="1:4" ht="13.2" x14ac:dyDescent="0.25">
      <c r="A590" s="142">
        <v>44316.666666666664</v>
      </c>
      <c r="B590" s="146">
        <v>40.53</v>
      </c>
      <c r="C590" s="150">
        <f ca="1">IFERROR(__xludf.DUMMYFUNCTION("""COMPUTED_VALUE"""),59.76)</f>
        <v>59.76</v>
      </c>
      <c r="D590" s="150">
        <f ca="1">IFERROR(__xludf.DUMMYFUNCTION("""COMPUTED_VALUE"""),417.3)</f>
        <v>417.3</v>
      </c>
    </row>
    <row r="591" spans="1:4" ht="13.2" x14ac:dyDescent="0.25">
      <c r="A591" s="142">
        <v>44319.666666666664</v>
      </c>
      <c r="B591" s="146">
        <v>40.56</v>
      </c>
      <c r="C591" s="150">
        <f ca="1">IFERROR(__xludf.DUMMYFUNCTION("""COMPUTED_VALUE"""),59.49)</f>
        <v>59.49</v>
      </c>
      <c r="D591" s="150">
        <f ca="1">IFERROR(__xludf.DUMMYFUNCTION("""COMPUTED_VALUE"""),418.2)</f>
        <v>418.2</v>
      </c>
    </row>
    <row r="592" spans="1:4" ht="13.2" x14ac:dyDescent="0.25">
      <c r="A592" s="142">
        <v>44320.666666666664</v>
      </c>
      <c r="B592" s="146">
        <v>41</v>
      </c>
      <c r="C592" s="150">
        <f ca="1">IFERROR(__xludf.DUMMYFUNCTION("""COMPUTED_VALUE"""),60.97)</f>
        <v>60.97</v>
      </c>
      <c r="D592" s="150">
        <f ca="1">IFERROR(__xludf.DUMMYFUNCTION("""COMPUTED_VALUE"""),415.62)</f>
        <v>415.62</v>
      </c>
    </row>
    <row r="593" spans="1:4" ht="13.2" x14ac:dyDescent="0.25">
      <c r="A593" s="142">
        <v>44321.666666666664</v>
      </c>
      <c r="B593" s="146">
        <v>41.39</v>
      </c>
      <c r="C593" s="150">
        <f ca="1">IFERROR(__xludf.DUMMYFUNCTION("""COMPUTED_VALUE"""),61.59)</f>
        <v>61.59</v>
      </c>
      <c r="D593" s="150">
        <f ca="1">IFERROR(__xludf.DUMMYFUNCTION("""COMPUTED_VALUE"""),415.75)</f>
        <v>415.75</v>
      </c>
    </row>
    <row r="594" spans="1:4" ht="13.2" x14ac:dyDescent="0.25">
      <c r="A594" s="142">
        <v>44322.666666666664</v>
      </c>
      <c r="B594" s="146">
        <v>42.01</v>
      </c>
      <c r="C594" s="150">
        <f ca="1">IFERROR(__xludf.DUMMYFUNCTION("""COMPUTED_VALUE"""),61.35)</f>
        <v>61.35</v>
      </c>
      <c r="D594" s="150">
        <f ca="1">IFERROR(__xludf.DUMMYFUNCTION("""COMPUTED_VALUE"""),419.07)</f>
        <v>419.07</v>
      </c>
    </row>
    <row r="595" spans="1:4" ht="13.2" x14ac:dyDescent="0.25">
      <c r="A595" s="142">
        <v>44323.666666666664</v>
      </c>
      <c r="B595" s="146">
        <v>42.18</v>
      </c>
      <c r="C595" s="150">
        <f ca="1">IFERROR(__xludf.DUMMYFUNCTION("""COMPUTED_VALUE"""),63.02)</f>
        <v>63.02</v>
      </c>
      <c r="D595" s="150">
        <f ca="1">IFERROR(__xludf.DUMMYFUNCTION("""COMPUTED_VALUE"""),422.12)</f>
        <v>422.12</v>
      </c>
    </row>
    <row r="596" spans="1:4" ht="13.2" x14ac:dyDescent="0.25">
      <c r="A596" s="142">
        <v>44326.666666666664</v>
      </c>
      <c r="B596" s="146">
        <v>42.05</v>
      </c>
      <c r="C596" s="150">
        <f ca="1">IFERROR(__xludf.DUMMYFUNCTION("""COMPUTED_VALUE"""),61.28)</f>
        <v>61.28</v>
      </c>
      <c r="D596" s="150">
        <f ca="1">IFERROR(__xludf.DUMMYFUNCTION("""COMPUTED_VALUE"""),417.94)</f>
        <v>417.94</v>
      </c>
    </row>
    <row r="597" spans="1:4" ht="13.2" x14ac:dyDescent="0.25">
      <c r="A597" s="142">
        <v>44327.666666666664</v>
      </c>
      <c r="B597" s="146">
        <v>41.57</v>
      </c>
      <c r="C597" s="150">
        <f ca="1">IFERROR(__xludf.DUMMYFUNCTION("""COMPUTED_VALUE"""),63.16)</f>
        <v>63.16</v>
      </c>
      <c r="D597" s="150">
        <f ca="1">IFERROR(__xludf.DUMMYFUNCTION("""COMPUTED_VALUE"""),414.21)</f>
        <v>414.21</v>
      </c>
    </row>
    <row r="598" spans="1:4" ht="13.2" x14ac:dyDescent="0.25">
      <c r="A598" s="142">
        <v>44328.666666666664</v>
      </c>
      <c r="B598" s="146">
        <v>41.18</v>
      </c>
      <c r="C598" s="150">
        <f ca="1">IFERROR(__xludf.DUMMYFUNCTION("""COMPUTED_VALUE"""),62.22)</f>
        <v>62.22</v>
      </c>
      <c r="D598" s="150">
        <f ca="1">IFERROR(__xludf.DUMMYFUNCTION("""COMPUTED_VALUE"""),405.41)</f>
        <v>405.41</v>
      </c>
    </row>
    <row r="599" spans="1:4" ht="13.2" x14ac:dyDescent="0.25">
      <c r="A599" s="142">
        <v>44329.666666666664</v>
      </c>
      <c r="B599" s="146">
        <v>41.84</v>
      </c>
      <c r="C599" s="150">
        <f ca="1">IFERROR(__xludf.DUMMYFUNCTION("""COMPUTED_VALUE"""),62.76)</f>
        <v>62.76</v>
      </c>
      <c r="D599" s="150">
        <f ca="1">IFERROR(__xludf.DUMMYFUNCTION("""COMPUTED_VALUE"""),410.28)</f>
        <v>410.28</v>
      </c>
    </row>
    <row r="600" spans="1:4" ht="13.2" x14ac:dyDescent="0.25">
      <c r="A600" s="142">
        <v>44330.666666666664</v>
      </c>
      <c r="B600" s="146">
        <v>42.36</v>
      </c>
      <c r="C600" s="150">
        <f ca="1">IFERROR(__xludf.DUMMYFUNCTION("""COMPUTED_VALUE"""),63.31)</f>
        <v>63.31</v>
      </c>
      <c r="D600" s="150">
        <f ca="1">IFERROR(__xludf.DUMMYFUNCTION("""COMPUTED_VALUE"""),416.58)</f>
        <v>416.58</v>
      </c>
    </row>
    <row r="601" spans="1:4" ht="13.2" x14ac:dyDescent="0.25">
      <c r="A601" s="142">
        <v>44333.666666666664</v>
      </c>
      <c r="B601" s="146">
        <v>42.74</v>
      </c>
      <c r="C601" s="150">
        <f ca="1">IFERROR(__xludf.DUMMYFUNCTION("""COMPUTED_VALUE"""),63.13)</f>
        <v>63.13</v>
      </c>
      <c r="D601" s="150">
        <f ca="1">IFERROR(__xludf.DUMMYFUNCTION("""COMPUTED_VALUE"""),415.52)</f>
        <v>415.52</v>
      </c>
    </row>
    <row r="602" spans="1:4" ht="13.2" x14ac:dyDescent="0.25">
      <c r="A602" s="142">
        <v>44334.666666666664</v>
      </c>
      <c r="B602" s="146">
        <v>42.16</v>
      </c>
      <c r="C602" s="150">
        <f ca="1">IFERROR(__xludf.DUMMYFUNCTION("""COMPUTED_VALUE"""),61.85)</f>
        <v>61.85</v>
      </c>
      <c r="D602" s="150">
        <f ca="1">IFERROR(__xludf.DUMMYFUNCTION("""COMPUTED_VALUE"""),411.94)</f>
        <v>411.94</v>
      </c>
    </row>
    <row r="603" spans="1:4" ht="13.2" x14ac:dyDescent="0.25">
      <c r="A603" s="142">
        <v>44335.666666666664</v>
      </c>
      <c r="B603" s="146">
        <v>41.97</v>
      </c>
      <c r="C603" s="150">
        <f ca="1">IFERROR(__xludf.DUMMYFUNCTION("""COMPUTED_VALUE"""),62.49)</f>
        <v>62.49</v>
      </c>
      <c r="D603" s="150">
        <f ca="1">IFERROR(__xludf.DUMMYFUNCTION("""COMPUTED_VALUE"""),410.86)</f>
        <v>410.86</v>
      </c>
    </row>
    <row r="604" spans="1:4" ht="13.2" x14ac:dyDescent="0.25">
      <c r="A604" s="142">
        <v>44336.666666666664</v>
      </c>
      <c r="B604" s="146">
        <v>41.87</v>
      </c>
      <c r="C604" s="150">
        <f ca="1">IFERROR(__xludf.DUMMYFUNCTION("""COMPUTED_VALUE"""),63.59)</f>
        <v>63.59</v>
      </c>
      <c r="D604" s="150">
        <f ca="1">IFERROR(__xludf.DUMMYFUNCTION("""COMPUTED_VALUE"""),415.28)</f>
        <v>415.28</v>
      </c>
    </row>
    <row r="605" spans="1:4" ht="13.2" x14ac:dyDescent="0.25">
      <c r="A605" s="142">
        <v>44337.666666666664</v>
      </c>
      <c r="B605" s="146">
        <v>42.4</v>
      </c>
      <c r="C605" s="150">
        <f ca="1">IFERROR(__xludf.DUMMYFUNCTION("""COMPUTED_VALUE"""),63.91)</f>
        <v>63.91</v>
      </c>
      <c r="D605" s="150">
        <f ca="1">IFERROR(__xludf.DUMMYFUNCTION("""COMPUTED_VALUE"""),414.94)</f>
        <v>414.94</v>
      </c>
    </row>
    <row r="606" spans="1:4" ht="13.2" x14ac:dyDescent="0.25">
      <c r="A606" s="142">
        <v>44340.666666666664</v>
      </c>
      <c r="B606" s="146">
        <v>42.63</v>
      </c>
      <c r="C606" s="150">
        <f ca="1">IFERROR(__xludf.DUMMYFUNCTION("""COMPUTED_VALUE"""),63.51)</f>
        <v>63.51</v>
      </c>
      <c r="D606" s="150">
        <f ca="1">IFERROR(__xludf.DUMMYFUNCTION("""COMPUTED_VALUE"""),419.17)</f>
        <v>419.17</v>
      </c>
    </row>
    <row r="607" spans="1:4" ht="13.2" x14ac:dyDescent="0.25">
      <c r="A607" s="142">
        <v>44341.666666666664</v>
      </c>
      <c r="B607" s="146">
        <v>42.01</v>
      </c>
      <c r="C607" s="150">
        <f ca="1">IFERROR(__xludf.DUMMYFUNCTION("""COMPUTED_VALUE"""),64.15)</f>
        <v>64.150000000000006</v>
      </c>
      <c r="D607" s="150">
        <f ca="1">IFERROR(__xludf.DUMMYFUNCTION("""COMPUTED_VALUE"""),418.24)</f>
        <v>418.24</v>
      </c>
    </row>
    <row r="608" spans="1:4" ht="13.2" x14ac:dyDescent="0.25">
      <c r="A608" s="142">
        <v>44342.666666666664</v>
      </c>
      <c r="B608" s="146">
        <v>42.04</v>
      </c>
      <c r="C608" s="150">
        <f ca="1">IFERROR(__xludf.DUMMYFUNCTION("""COMPUTED_VALUE"""),64.31)</f>
        <v>64.31</v>
      </c>
      <c r="D608" s="150">
        <f ca="1">IFERROR(__xludf.DUMMYFUNCTION("""COMPUTED_VALUE"""),419.07)</f>
        <v>419.07</v>
      </c>
    </row>
    <row r="609" spans="1:4" ht="13.2" x14ac:dyDescent="0.25">
      <c r="A609" s="142">
        <v>44343.666666666664</v>
      </c>
      <c r="B609" s="146">
        <v>42.55</v>
      </c>
      <c r="C609" s="150">
        <f ca="1">IFERROR(__xludf.DUMMYFUNCTION("""COMPUTED_VALUE"""),64.51)</f>
        <v>64.510000000000005</v>
      </c>
      <c r="D609" s="150">
        <f ca="1">IFERROR(__xludf.DUMMYFUNCTION("""COMPUTED_VALUE"""),419.29)</f>
        <v>419.29</v>
      </c>
    </row>
    <row r="610" spans="1:4" ht="13.2" x14ac:dyDescent="0.25">
      <c r="A610" s="142">
        <v>44344.666666666664</v>
      </c>
      <c r="B610" s="146">
        <v>42.39</v>
      </c>
      <c r="C610" s="150">
        <f ca="1">IFERROR(__xludf.DUMMYFUNCTION("""COMPUTED_VALUE"""),65.07)</f>
        <v>65.069999999999993</v>
      </c>
      <c r="D610" s="150">
        <f ca="1">IFERROR(__xludf.DUMMYFUNCTION("""COMPUTED_VALUE"""),420.04)</f>
        <v>420.04</v>
      </c>
    </row>
    <row r="611" spans="1:4" ht="13.2" x14ac:dyDescent="0.25">
      <c r="A611" s="142">
        <v>44348.666666666664</v>
      </c>
      <c r="B611" s="146">
        <v>42.92</v>
      </c>
      <c r="C611" s="150">
        <f ca="1">IFERROR(__xludf.DUMMYFUNCTION("""COMPUTED_VALUE"""),65.39)</f>
        <v>65.39</v>
      </c>
      <c r="D611" s="150">
        <f ca="1">IFERROR(__xludf.DUMMYFUNCTION("""COMPUTED_VALUE"""),419.67)</f>
        <v>419.67</v>
      </c>
    </row>
    <row r="612" spans="1:4" ht="13.2" x14ac:dyDescent="0.25">
      <c r="A612" s="142">
        <v>44349.666666666664</v>
      </c>
      <c r="B612" s="146">
        <v>42.94</v>
      </c>
      <c r="C612" s="150">
        <f ca="1">IFERROR(__xludf.DUMMYFUNCTION("""COMPUTED_VALUE"""),65.94)</f>
        <v>65.94</v>
      </c>
      <c r="D612" s="150">
        <f ca="1">IFERROR(__xludf.DUMMYFUNCTION("""COMPUTED_VALUE"""),420.33)</f>
        <v>420.33</v>
      </c>
    </row>
    <row r="613" spans="1:4" ht="13.2" x14ac:dyDescent="0.25">
      <c r="A613" s="142">
        <v>44350.666666666664</v>
      </c>
      <c r="B613" s="146">
        <v>43.25</v>
      </c>
      <c r="C613" s="150">
        <f ca="1">IFERROR(__xludf.DUMMYFUNCTION("""COMPUTED_VALUE"""),64.9)</f>
        <v>64.900000000000006</v>
      </c>
      <c r="D613" s="150">
        <f ca="1">IFERROR(__xludf.DUMMYFUNCTION("""COMPUTED_VALUE"""),418.77)</f>
        <v>418.77</v>
      </c>
    </row>
    <row r="614" spans="1:4" ht="13.2" x14ac:dyDescent="0.25">
      <c r="A614" s="142">
        <v>44351.666666666664</v>
      </c>
      <c r="B614" s="146">
        <v>43.27</v>
      </c>
      <c r="C614" s="150">
        <f ca="1">IFERROR(__xludf.DUMMYFUNCTION("""COMPUTED_VALUE"""),64.95)</f>
        <v>64.95</v>
      </c>
      <c r="D614" s="150">
        <f ca="1">IFERROR(__xludf.DUMMYFUNCTION("""COMPUTED_VALUE"""),422.6)</f>
        <v>422.6</v>
      </c>
    </row>
    <row r="615" spans="1:4" ht="13.2" x14ac:dyDescent="0.25">
      <c r="A615" s="142">
        <v>44354.666666666664</v>
      </c>
      <c r="B615" s="146">
        <v>43.12</v>
      </c>
      <c r="C615" s="150">
        <f ca="1">IFERROR(__xludf.DUMMYFUNCTION("""COMPUTED_VALUE"""),64.79)</f>
        <v>64.790000000000006</v>
      </c>
      <c r="D615" s="150">
        <f ca="1">IFERROR(__xludf.DUMMYFUNCTION("""COMPUTED_VALUE"""),422.19)</f>
        <v>422.19</v>
      </c>
    </row>
    <row r="616" spans="1:4" ht="13.2" x14ac:dyDescent="0.25">
      <c r="A616" s="142">
        <v>44355.666666666664</v>
      </c>
      <c r="B616" s="146">
        <v>42.88</v>
      </c>
      <c r="C616" s="150">
        <f ca="1">IFERROR(__xludf.DUMMYFUNCTION("""COMPUTED_VALUE"""),64.46)</f>
        <v>64.459999999999994</v>
      </c>
      <c r="D616" s="150">
        <f ca="1">IFERROR(__xludf.DUMMYFUNCTION("""COMPUTED_VALUE"""),422.28)</f>
        <v>422.28</v>
      </c>
    </row>
    <row r="617" spans="1:4" ht="13.2" x14ac:dyDescent="0.25">
      <c r="A617" s="142">
        <v>44356.666666666664</v>
      </c>
      <c r="B617" s="146">
        <v>42.32</v>
      </c>
      <c r="C617" s="150">
        <f ca="1">IFERROR(__xludf.DUMMYFUNCTION("""COMPUTED_VALUE"""),63.79)</f>
        <v>63.79</v>
      </c>
      <c r="D617" s="150">
        <f ca="1">IFERROR(__xludf.DUMMYFUNCTION("""COMPUTED_VALUE"""),421.65)</f>
        <v>421.65</v>
      </c>
    </row>
    <row r="618" spans="1:4" ht="13.2" x14ac:dyDescent="0.25">
      <c r="A618" s="142">
        <v>44357.666666666664</v>
      </c>
      <c r="B618" s="146">
        <v>41.69</v>
      </c>
      <c r="C618" s="150">
        <f ca="1">IFERROR(__xludf.DUMMYFUNCTION("""COMPUTED_VALUE"""),63.16)</f>
        <v>63.16</v>
      </c>
      <c r="D618" s="150">
        <f ca="1">IFERROR(__xludf.DUMMYFUNCTION("""COMPUTED_VALUE"""),423.61)</f>
        <v>423.61</v>
      </c>
    </row>
    <row r="619" spans="1:4" ht="13.2" x14ac:dyDescent="0.25">
      <c r="A619" s="142">
        <v>44358.666666666664</v>
      </c>
      <c r="B619" s="146">
        <v>41.86</v>
      </c>
      <c r="C619" s="150">
        <f ca="1">IFERROR(__xludf.DUMMYFUNCTION("""COMPUTED_VALUE"""),62.1)</f>
        <v>62.1</v>
      </c>
      <c r="D619" s="150">
        <f ca="1">IFERROR(__xludf.DUMMYFUNCTION("""COMPUTED_VALUE"""),424.31)</f>
        <v>424.31</v>
      </c>
    </row>
    <row r="620" spans="1:4" ht="13.2" x14ac:dyDescent="0.25">
      <c r="A620" s="142">
        <v>44361.666666666664</v>
      </c>
      <c r="B620" s="146">
        <v>41.36</v>
      </c>
      <c r="C620" s="150">
        <f ca="1">IFERROR(__xludf.DUMMYFUNCTION("""COMPUTED_VALUE"""),61.62)</f>
        <v>61.62</v>
      </c>
      <c r="D620" s="150">
        <f ca="1">IFERROR(__xludf.DUMMYFUNCTION("""COMPUTED_VALUE"""),425.26)</f>
        <v>425.26</v>
      </c>
    </row>
    <row r="621" spans="1:4" ht="13.2" x14ac:dyDescent="0.25">
      <c r="A621" s="142">
        <v>44362.666666666664</v>
      </c>
      <c r="B621" s="146">
        <v>41.39</v>
      </c>
      <c r="C621" s="150">
        <f ca="1">IFERROR(__xludf.DUMMYFUNCTION("""COMPUTED_VALUE"""),58.66)</f>
        <v>58.66</v>
      </c>
      <c r="D621" s="150">
        <f ca="1">IFERROR(__xludf.DUMMYFUNCTION("""COMPUTED_VALUE"""),424.48)</f>
        <v>424.48</v>
      </c>
    </row>
    <row r="622" spans="1:4" ht="13.2" x14ac:dyDescent="0.25">
      <c r="A622" s="142">
        <v>44363.666666666664</v>
      </c>
      <c r="B622" s="146">
        <v>41.62</v>
      </c>
      <c r="C622" s="150">
        <f ca="1">IFERROR(__xludf.DUMMYFUNCTION("""COMPUTED_VALUE"""),58.09)</f>
        <v>58.09</v>
      </c>
      <c r="D622" s="150">
        <f ca="1">IFERROR(__xludf.DUMMYFUNCTION("""COMPUTED_VALUE"""),422.11)</f>
        <v>422.11</v>
      </c>
    </row>
    <row r="623" spans="1:4" ht="13.2" x14ac:dyDescent="0.25">
      <c r="A623" s="142">
        <v>44364.666666666664</v>
      </c>
      <c r="B623" s="146">
        <v>39.799999999999997</v>
      </c>
      <c r="C623" s="150">
        <f ca="1">IFERROR(__xludf.DUMMYFUNCTION("""COMPUTED_VALUE"""),57.15)</f>
        <v>57.15</v>
      </c>
      <c r="D623" s="150">
        <f ca="1">IFERROR(__xludf.DUMMYFUNCTION("""COMPUTED_VALUE"""),421.97)</f>
        <v>421.97</v>
      </c>
    </row>
    <row r="624" spans="1:4" ht="13.2" x14ac:dyDescent="0.25">
      <c r="A624" s="142">
        <v>44365.666666666664</v>
      </c>
      <c r="B624" s="146">
        <v>38.78</v>
      </c>
      <c r="C624" s="150">
        <f ca="1">IFERROR(__xludf.DUMMYFUNCTION("""COMPUTED_VALUE"""),57.55)</f>
        <v>57.55</v>
      </c>
      <c r="D624" s="150">
        <f ca="1">IFERROR(__xludf.DUMMYFUNCTION("""COMPUTED_VALUE"""),414.92)</f>
        <v>414.92</v>
      </c>
    </row>
    <row r="625" spans="1:4" ht="13.2" x14ac:dyDescent="0.25">
      <c r="A625" s="142">
        <v>44368.666666666664</v>
      </c>
      <c r="B625" s="146">
        <v>39.75</v>
      </c>
      <c r="C625" s="150">
        <f ca="1">IFERROR(__xludf.DUMMYFUNCTION("""COMPUTED_VALUE"""),57.7)</f>
        <v>57.7</v>
      </c>
      <c r="D625" s="150">
        <f ca="1">IFERROR(__xludf.DUMMYFUNCTION("""COMPUTED_VALUE"""),420.86)</f>
        <v>420.86</v>
      </c>
    </row>
    <row r="626" spans="1:4" ht="13.2" x14ac:dyDescent="0.25">
      <c r="A626" s="142">
        <v>44369.666666666664</v>
      </c>
      <c r="B626" s="146">
        <v>39.97</v>
      </c>
      <c r="C626" s="150">
        <f ca="1">IFERROR(__xludf.DUMMYFUNCTION("""COMPUTED_VALUE"""),57.95)</f>
        <v>57.95</v>
      </c>
      <c r="D626" s="150">
        <f ca="1">IFERROR(__xludf.DUMMYFUNCTION("""COMPUTED_VALUE"""),423.11)</f>
        <v>423.11</v>
      </c>
    </row>
    <row r="627" spans="1:4" ht="13.2" x14ac:dyDescent="0.25">
      <c r="A627" s="142">
        <v>44370.666666666664</v>
      </c>
      <c r="B627" s="146">
        <v>40.200000000000003</v>
      </c>
      <c r="C627" s="150">
        <f ca="1">IFERROR(__xludf.DUMMYFUNCTION("""COMPUTED_VALUE"""),59.58)</f>
        <v>59.58</v>
      </c>
      <c r="D627" s="150">
        <f ca="1">IFERROR(__xludf.DUMMYFUNCTION("""COMPUTED_VALUE"""),422.6)</f>
        <v>422.6</v>
      </c>
    </row>
    <row r="628" spans="1:4" ht="13.2" x14ac:dyDescent="0.25">
      <c r="A628" s="142">
        <v>44371.666666666664</v>
      </c>
      <c r="B628" s="146">
        <v>40.83</v>
      </c>
      <c r="C628" s="150">
        <f ca="1">IFERROR(__xludf.DUMMYFUNCTION("""COMPUTED_VALUE"""),59.71)</f>
        <v>59.71</v>
      </c>
      <c r="D628" s="150">
        <f ca="1">IFERROR(__xludf.DUMMYFUNCTION("""COMPUTED_VALUE"""),425.1)</f>
        <v>425.1</v>
      </c>
    </row>
    <row r="629" spans="1:4" ht="13.2" x14ac:dyDescent="0.25">
      <c r="A629" s="142">
        <v>44372.666666666664</v>
      </c>
      <c r="B629" s="146">
        <v>41.62</v>
      </c>
      <c r="C629" s="150">
        <f ca="1">IFERROR(__xludf.DUMMYFUNCTION("""COMPUTED_VALUE"""),60.02)</f>
        <v>60.02</v>
      </c>
      <c r="D629" s="150">
        <f ca="1">IFERROR(__xludf.DUMMYFUNCTION("""COMPUTED_VALUE"""),426.61)</f>
        <v>426.61</v>
      </c>
    </row>
    <row r="630" spans="1:4" ht="13.2" x14ac:dyDescent="0.25">
      <c r="A630" s="142">
        <v>44375.666666666664</v>
      </c>
      <c r="B630" s="146">
        <v>41.56</v>
      </c>
      <c r="C630" s="150">
        <f ca="1">IFERROR(__xludf.DUMMYFUNCTION("""COMPUTED_VALUE"""),59.83)</f>
        <v>59.83</v>
      </c>
      <c r="D630" s="150">
        <f ca="1">IFERROR(__xludf.DUMMYFUNCTION("""COMPUTED_VALUE"""),427.47)</f>
        <v>427.47</v>
      </c>
    </row>
    <row r="631" spans="1:4" ht="13.2" x14ac:dyDescent="0.25">
      <c r="A631" s="142">
        <v>44376.666666666664</v>
      </c>
      <c r="B631" s="146">
        <v>40.89</v>
      </c>
      <c r="C631" s="150">
        <f ca="1">IFERROR(__xludf.DUMMYFUNCTION("""COMPUTED_VALUE"""),59.39)</f>
        <v>59.39</v>
      </c>
      <c r="D631" s="150">
        <f ca="1">IFERROR(__xludf.DUMMYFUNCTION("""COMPUTED_VALUE"""),427.7)</f>
        <v>427.7</v>
      </c>
    </row>
    <row r="632" spans="1:4" ht="13.2" x14ac:dyDescent="0.25">
      <c r="A632" s="142">
        <v>44377.666666666664</v>
      </c>
      <c r="B632" s="146">
        <v>41.23</v>
      </c>
      <c r="C632" s="150">
        <f ca="1">IFERROR(__xludf.DUMMYFUNCTION("""COMPUTED_VALUE"""),59.65)</f>
        <v>59.65</v>
      </c>
      <c r="D632" s="150">
        <f ca="1">IFERROR(__xludf.DUMMYFUNCTION("""COMPUTED_VALUE"""),428.06)</f>
        <v>428.06</v>
      </c>
    </row>
    <row r="633" spans="1:4" ht="13.2" x14ac:dyDescent="0.25">
      <c r="A633" s="142">
        <v>44378.666666666664</v>
      </c>
      <c r="B633" s="146">
        <v>41.54</v>
      </c>
      <c r="C633" s="150">
        <f ca="1">IFERROR(__xludf.DUMMYFUNCTION("""COMPUTED_VALUE"""),59.36)</f>
        <v>59.36</v>
      </c>
      <c r="D633" s="150">
        <f ca="1">IFERROR(__xludf.DUMMYFUNCTION("""COMPUTED_VALUE"""),430.43)</f>
        <v>430.43</v>
      </c>
    </row>
    <row r="634" spans="1:4" ht="13.2" x14ac:dyDescent="0.25">
      <c r="A634" s="142">
        <v>44379.666666666664</v>
      </c>
      <c r="B634" s="146">
        <v>41.15</v>
      </c>
      <c r="C634" s="150">
        <f ca="1">IFERROR(__xludf.DUMMYFUNCTION("""COMPUTED_VALUE"""),59.79)</f>
        <v>59.79</v>
      </c>
      <c r="D634" s="150">
        <f ca="1">IFERROR(__xludf.DUMMYFUNCTION("""COMPUTED_VALUE"""),433.72)</f>
        <v>433.72</v>
      </c>
    </row>
    <row r="635" spans="1:4" ht="13.2" x14ac:dyDescent="0.25">
      <c r="A635" s="142">
        <v>44383.666666666664</v>
      </c>
      <c r="B635" s="146">
        <v>40.07</v>
      </c>
      <c r="C635" s="150">
        <f ca="1">IFERROR(__xludf.DUMMYFUNCTION("""COMPUTED_VALUE"""),57.67)</f>
        <v>57.67</v>
      </c>
      <c r="D635" s="150">
        <f ca="1">IFERROR(__xludf.DUMMYFUNCTION("""COMPUTED_VALUE"""),432.93)</f>
        <v>432.93</v>
      </c>
    </row>
    <row r="636" spans="1:4" ht="13.2" x14ac:dyDescent="0.25">
      <c r="A636" s="142">
        <v>44384.666666666664</v>
      </c>
      <c r="B636" s="146">
        <v>39.75</v>
      </c>
      <c r="C636" s="150">
        <f ca="1">IFERROR(__xludf.DUMMYFUNCTION("""COMPUTED_VALUE"""),57.77)</f>
        <v>57.77</v>
      </c>
      <c r="D636" s="150">
        <f ca="1">IFERROR(__xludf.DUMMYFUNCTION("""COMPUTED_VALUE"""),434.46)</f>
        <v>434.46</v>
      </c>
    </row>
    <row r="637" spans="1:4" ht="13.2" x14ac:dyDescent="0.25">
      <c r="A637" s="142">
        <v>44385.666666666664</v>
      </c>
      <c r="B637" s="146">
        <v>38.78</v>
      </c>
      <c r="C637" s="150">
        <f ca="1">IFERROR(__xludf.DUMMYFUNCTION("""COMPUTED_VALUE"""),56.39)</f>
        <v>56.39</v>
      </c>
      <c r="D637" s="150">
        <f ca="1">IFERROR(__xludf.DUMMYFUNCTION("""COMPUTED_VALUE"""),430.92)</f>
        <v>430.92</v>
      </c>
    </row>
    <row r="638" spans="1:4" ht="13.2" x14ac:dyDescent="0.25">
      <c r="A638" s="142">
        <v>44386.666666666664</v>
      </c>
      <c r="B638" s="146">
        <v>40.04</v>
      </c>
      <c r="C638" s="150">
        <f ca="1">IFERROR(__xludf.DUMMYFUNCTION("""COMPUTED_VALUE"""),57.36)</f>
        <v>57.36</v>
      </c>
      <c r="D638" s="150">
        <f ca="1">IFERROR(__xludf.DUMMYFUNCTION("""COMPUTED_VALUE"""),435.52)</f>
        <v>435.52</v>
      </c>
    </row>
    <row r="639" spans="1:4" ht="13.2" x14ac:dyDescent="0.25">
      <c r="A639" s="142">
        <v>44389.666666666664</v>
      </c>
      <c r="B639" s="146">
        <v>40.630000000000003</v>
      </c>
      <c r="C639" s="150">
        <f ca="1">IFERROR(__xludf.DUMMYFUNCTION("""COMPUTED_VALUE"""),57.81)</f>
        <v>57.81</v>
      </c>
      <c r="D639" s="150">
        <f ca="1">IFERROR(__xludf.DUMMYFUNCTION("""COMPUTED_VALUE"""),437.08)</f>
        <v>437.08</v>
      </c>
    </row>
    <row r="640" spans="1:4" ht="13.2" x14ac:dyDescent="0.25">
      <c r="A640" s="142">
        <v>44390.666666666664</v>
      </c>
      <c r="B640" s="146">
        <v>39.86</v>
      </c>
      <c r="C640" s="150">
        <f ca="1">IFERROR(__xludf.DUMMYFUNCTION("""COMPUTED_VALUE"""),57.61)</f>
        <v>57.61</v>
      </c>
      <c r="D640" s="150">
        <f ca="1">IFERROR(__xludf.DUMMYFUNCTION("""COMPUTED_VALUE"""),435.59)</f>
        <v>435.59</v>
      </c>
    </row>
    <row r="641" spans="1:4" ht="13.2" x14ac:dyDescent="0.25">
      <c r="A641" s="142">
        <v>44391.666666666664</v>
      </c>
      <c r="B641" s="146">
        <v>38.86</v>
      </c>
      <c r="C641" s="150">
        <f ca="1">IFERROR(__xludf.DUMMYFUNCTION("""COMPUTED_VALUE"""),57.52)</f>
        <v>57.52</v>
      </c>
      <c r="D641" s="150">
        <f ca="1">IFERROR(__xludf.DUMMYFUNCTION("""COMPUTED_VALUE"""),436.24)</f>
        <v>436.24</v>
      </c>
    </row>
    <row r="642" spans="1:4" ht="13.2" x14ac:dyDescent="0.25">
      <c r="A642" s="142">
        <v>44392.666666666664</v>
      </c>
      <c r="B642" s="146">
        <v>38.83</v>
      </c>
      <c r="C642" s="150">
        <f ca="1">IFERROR(__xludf.DUMMYFUNCTION("""COMPUTED_VALUE"""),58.13)</f>
        <v>58.13</v>
      </c>
      <c r="D642" s="150">
        <f ca="1">IFERROR(__xludf.DUMMYFUNCTION("""COMPUTED_VALUE"""),434.75)</f>
        <v>434.75</v>
      </c>
    </row>
    <row r="643" spans="1:4" ht="13.2" x14ac:dyDescent="0.25">
      <c r="A643" s="142">
        <v>44393.666666666664</v>
      </c>
      <c r="B643" s="146">
        <v>37.92</v>
      </c>
      <c r="C643" s="150">
        <f ca="1">IFERROR(__xludf.DUMMYFUNCTION("""COMPUTED_VALUE"""),57.02)</f>
        <v>57.02</v>
      </c>
      <c r="D643" s="150">
        <f ca="1">IFERROR(__xludf.DUMMYFUNCTION("""COMPUTED_VALUE"""),431.34)</f>
        <v>431.34</v>
      </c>
    </row>
    <row r="644" spans="1:4" ht="13.2" x14ac:dyDescent="0.25">
      <c r="A644" s="142">
        <v>44396.666666666664</v>
      </c>
      <c r="B644" s="146">
        <v>36.93</v>
      </c>
      <c r="C644" s="150">
        <f ca="1">IFERROR(__xludf.DUMMYFUNCTION("""COMPUTED_VALUE"""),55.06)</f>
        <v>55.06</v>
      </c>
      <c r="D644" s="150">
        <f ca="1">IFERROR(__xludf.DUMMYFUNCTION("""COMPUTED_VALUE"""),424.97)</f>
        <v>424.97</v>
      </c>
    </row>
    <row r="645" spans="1:4" ht="13.2" x14ac:dyDescent="0.25">
      <c r="A645" s="142">
        <v>44397.666666666664</v>
      </c>
      <c r="B645" s="146">
        <v>37.69</v>
      </c>
      <c r="C645" s="150">
        <f ca="1">IFERROR(__xludf.DUMMYFUNCTION("""COMPUTED_VALUE"""),56.47)</f>
        <v>56.47</v>
      </c>
      <c r="D645" s="150">
        <f ca="1">IFERROR(__xludf.DUMMYFUNCTION("""COMPUTED_VALUE"""),431.06)</f>
        <v>431.06</v>
      </c>
    </row>
    <row r="646" spans="1:4" ht="13.2" x14ac:dyDescent="0.25">
      <c r="A646" s="142">
        <v>44398.666666666664</v>
      </c>
      <c r="B646" s="146">
        <v>38.46</v>
      </c>
      <c r="C646" s="150">
        <f ca="1">IFERROR(__xludf.DUMMYFUNCTION("""COMPUTED_VALUE"""),57.16)</f>
        <v>57.16</v>
      </c>
      <c r="D646" s="150">
        <f ca="1">IFERROR(__xludf.DUMMYFUNCTION("""COMPUTED_VALUE"""),434.55)</f>
        <v>434.55</v>
      </c>
    </row>
    <row r="647" spans="1:4" ht="13.2" x14ac:dyDescent="0.25">
      <c r="A647" s="142">
        <v>44399.666666666664</v>
      </c>
      <c r="B647" s="146">
        <v>37.96</v>
      </c>
      <c r="C647" s="150">
        <f ca="1">IFERROR(__xludf.DUMMYFUNCTION("""COMPUTED_VALUE"""),56.69)</f>
        <v>56.69</v>
      </c>
      <c r="D647" s="150">
        <f ca="1">IFERROR(__xludf.DUMMYFUNCTION("""COMPUTED_VALUE"""),435.46)</f>
        <v>435.46</v>
      </c>
    </row>
    <row r="648" spans="1:4" ht="13.2" x14ac:dyDescent="0.25">
      <c r="A648" s="142">
        <v>44400.666666666664</v>
      </c>
      <c r="B648" s="146">
        <v>37.700000000000003</v>
      </c>
      <c r="C648" s="150">
        <f ca="1">IFERROR(__xludf.DUMMYFUNCTION("""COMPUTED_VALUE"""),56.85)</f>
        <v>56.85</v>
      </c>
      <c r="D648" s="150">
        <f ca="1">IFERROR(__xludf.DUMMYFUNCTION("""COMPUTED_VALUE"""),439.94)</f>
        <v>439.94</v>
      </c>
    </row>
    <row r="649" spans="1:4" ht="13.2" x14ac:dyDescent="0.25">
      <c r="A649" s="142">
        <v>44403.666666666664</v>
      </c>
      <c r="B649" s="146">
        <v>38.130000000000003</v>
      </c>
      <c r="C649" s="150">
        <f ca="1">IFERROR(__xludf.DUMMYFUNCTION("""COMPUTED_VALUE"""),57.1)</f>
        <v>57.1</v>
      </c>
      <c r="D649" s="150">
        <f ca="1">IFERROR(__xludf.DUMMYFUNCTION("""COMPUTED_VALUE"""),441.02)</f>
        <v>441.02</v>
      </c>
    </row>
    <row r="650" spans="1:4" ht="13.2" x14ac:dyDescent="0.25">
      <c r="A650" s="142">
        <v>44404.666666666664</v>
      </c>
      <c r="B650" s="146">
        <v>37.979999999999997</v>
      </c>
      <c r="C650" s="150">
        <f ca="1">IFERROR(__xludf.DUMMYFUNCTION("""COMPUTED_VALUE"""),57.38)</f>
        <v>57.38</v>
      </c>
      <c r="D650" s="150">
        <f ca="1">IFERROR(__xludf.DUMMYFUNCTION("""COMPUTED_VALUE"""),439.01)</f>
        <v>439.01</v>
      </c>
    </row>
    <row r="651" spans="1:4" ht="13.2" x14ac:dyDescent="0.25">
      <c r="A651" s="142">
        <v>44405.666666666664</v>
      </c>
      <c r="B651" s="146">
        <v>38.130000000000003</v>
      </c>
      <c r="C651" s="150">
        <f ca="1">IFERROR(__xludf.DUMMYFUNCTION("""COMPUTED_VALUE"""),57.72)</f>
        <v>57.72</v>
      </c>
      <c r="D651" s="150">
        <f ca="1">IFERROR(__xludf.DUMMYFUNCTION("""COMPUTED_VALUE"""),438.83)</f>
        <v>438.83</v>
      </c>
    </row>
    <row r="652" spans="1:4" ht="13.2" x14ac:dyDescent="0.25">
      <c r="A652" s="142">
        <v>44406.666666666664</v>
      </c>
      <c r="B652" s="146">
        <v>38.68</v>
      </c>
      <c r="C652" s="150">
        <f ca="1">IFERROR(__xludf.DUMMYFUNCTION("""COMPUTED_VALUE"""),58.43)</f>
        <v>58.43</v>
      </c>
      <c r="D652" s="150">
        <f ca="1">IFERROR(__xludf.DUMMYFUNCTION("""COMPUTED_VALUE"""),440.65)</f>
        <v>440.65</v>
      </c>
    </row>
    <row r="653" spans="1:4" ht="13.2" x14ac:dyDescent="0.25">
      <c r="A653" s="142">
        <v>44407.666666666664</v>
      </c>
      <c r="B653" s="146">
        <v>38.36</v>
      </c>
      <c r="C653" s="150">
        <f ca="1">IFERROR(__xludf.DUMMYFUNCTION("""COMPUTED_VALUE"""),57.21)</f>
        <v>57.21</v>
      </c>
      <c r="D653" s="150">
        <f ca="1">IFERROR(__xludf.DUMMYFUNCTION("""COMPUTED_VALUE"""),438.51)</f>
        <v>438.51</v>
      </c>
    </row>
    <row r="654" spans="1:4" ht="13.2" x14ac:dyDescent="0.25">
      <c r="A654" s="142">
        <v>44410.666666666664</v>
      </c>
      <c r="B654" s="146">
        <v>37.96</v>
      </c>
      <c r="C654" s="150">
        <f ca="1">IFERROR(__xludf.DUMMYFUNCTION("""COMPUTED_VALUE"""),57.51)</f>
        <v>57.51</v>
      </c>
      <c r="D654" s="150">
        <f ca="1">IFERROR(__xludf.DUMMYFUNCTION("""COMPUTED_VALUE"""),437.59)</f>
        <v>437.59</v>
      </c>
    </row>
    <row r="655" spans="1:4" ht="13.2" x14ac:dyDescent="0.25">
      <c r="A655" s="142">
        <v>44411.666666666664</v>
      </c>
      <c r="B655" s="146">
        <v>38.549999999999997</v>
      </c>
      <c r="C655" s="150">
        <f ca="1">IFERROR(__xludf.DUMMYFUNCTION("""COMPUTED_VALUE"""),57.81)</f>
        <v>57.81</v>
      </c>
      <c r="D655" s="150">
        <f ca="1">IFERROR(__xludf.DUMMYFUNCTION("""COMPUTED_VALUE"""),441.15)</f>
        <v>441.15</v>
      </c>
    </row>
    <row r="656" spans="1:4" ht="13.2" x14ac:dyDescent="0.25">
      <c r="A656" s="142">
        <v>44412.666666666664</v>
      </c>
      <c r="B656" s="146">
        <v>38.270000000000003</v>
      </c>
      <c r="C656" s="150">
        <f ca="1">IFERROR(__xludf.DUMMYFUNCTION("""COMPUTED_VALUE"""),58.43)</f>
        <v>58.43</v>
      </c>
      <c r="D656" s="150">
        <f ca="1">IFERROR(__xludf.DUMMYFUNCTION("""COMPUTED_VALUE"""),438.98)</f>
        <v>438.98</v>
      </c>
    </row>
    <row r="657" spans="1:4" ht="13.2" x14ac:dyDescent="0.25">
      <c r="A657" s="142">
        <v>44413.666666666664</v>
      </c>
      <c r="B657" s="146">
        <v>39.020000000000003</v>
      </c>
      <c r="C657" s="150">
        <f ca="1">IFERROR(__xludf.DUMMYFUNCTION("""COMPUTED_VALUE"""),58.82)</f>
        <v>58.82</v>
      </c>
      <c r="D657" s="150">
        <f ca="1">IFERROR(__xludf.DUMMYFUNCTION("""COMPUTED_VALUE"""),441.76)</f>
        <v>441.76</v>
      </c>
    </row>
    <row r="658" spans="1:4" ht="13.2" x14ac:dyDescent="0.25">
      <c r="A658" s="142">
        <v>44414.666666666664</v>
      </c>
      <c r="B658" s="146">
        <v>40.15</v>
      </c>
      <c r="C658" s="150">
        <f ca="1">IFERROR(__xludf.DUMMYFUNCTION("""COMPUTED_VALUE"""),60.66)</f>
        <v>60.66</v>
      </c>
      <c r="D658" s="150">
        <f ca="1">IFERROR(__xludf.DUMMYFUNCTION("""COMPUTED_VALUE"""),442.49)</f>
        <v>442.49</v>
      </c>
    </row>
    <row r="659" spans="1:4" ht="13.2" x14ac:dyDescent="0.25">
      <c r="A659" s="142">
        <v>44417.666666666664</v>
      </c>
      <c r="B659" s="146">
        <v>40.67</v>
      </c>
      <c r="C659" s="150">
        <f ca="1">IFERROR(__xludf.DUMMYFUNCTION("""COMPUTED_VALUE"""),61.09)</f>
        <v>61.09</v>
      </c>
      <c r="D659" s="150">
        <f ca="1">IFERROR(__xludf.DUMMYFUNCTION("""COMPUTED_VALUE"""),442.13)</f>
        <v>442.13</v>
      </c>
    </row>
    <row r="660" spans="1:4" ht="13.2" x14ac:dyDescent="0.25">
      <c r="A660" s="142">
        <v>44418.666666666664</v>
      </c>
      <c r="B660" s="146">
        <v>41.43</v>
      </c>
      <c r="C660" s="150">
        <f ca="1">IFERROR(__xludf.DUMMYFUNCTION("""COMPUTED_VALUE"""),62.45)</f>
        <v>62.45</v>
      </c>
      <c r="D660" s="150">
        <f ca="1">IFERROR(__xludf.DUMMYFUNCTION("""COMPUTED_VALUE"""),442.68)</f>
        <v>442.68</v>
      </c>
    </row>
    <row r="661" spans="1:4" ht="13.2" x14ac:dyDescent="0.25">
      <c r="A661" s="142">
        <v>44419.666666666664</v>
      </c>
      <c r="B661" s="146">
        <v>41.95</v>
      </c>
      <c r="C661" s="150">
        <f ca="1">IFERROR(__xludf.DUMMYFUNCTION("""COMPUTED_VALUE"""),62.95)</f>
        <v>62.95</v>
      </c>
      <c r="D661" s="150">
        <f ca="1">IFERROR(__xludf.DUMMYFUNCTION("""COMPUTED_VALUE"""),443.78)</f>
        <v>443.78</v>
      </c>
    </row>
    <row r="662" spans="1:4" ht="13.2" x14ac:dyDescent="0.25">
      <c r="A662" s="142">
        <v>44420.666666666664</v>
      </c>
      <c r="B662" s="146">
        <v>42.15</v>
      </c>
      <c r="C662" s="150">
        <f ca="1">IFERROR(__xludf.DUMMYFUNCTION("""COMPUTED_VALUE"""),62.94)</f>
        <v>62.94</v>
      </c>
      <c r="D662" s="150">
        <f ca="1">IFERROR(__xludf.DUMMYFUNCTION("""COMPUTED_VALUE"""),445.11)</f>
        <v>445.11</v>
      </c>
    </row>
    <row r="663" spans="1:4" ht="13.2" x14ac:dyDescent="0.25">
      <c r="A663" s="142">
        <v>44421.666666666664</v>
      </c>
      <c r="B663" s="146">
        <v>41.63</v>
      </c>
      <c r="C663" s="150">
        <f ca="1">IFERROR(__xludf.DUMMYFUNCTION("""COMPUTED_VALUE"""),62.2)</f>
        <v>62.2</v>
      </c>
      <c r="D663" s="150">
        <f ca="1">IFERROR(__xludf.DUMMYFUNCTION("""COMPUTED_VALUE"""),445.92)</f>
        <v>445.92</v>
      </c>
    </row>
    <row r="664" spans="1:4" ht="13.2" x14ac:dyDescent="0.25">
      <c r="A664" s="142">
        <v>44424.666666666664</v>
      </c>
      <c r="B664" s="146">
        <v>41.29</v>
      </c>
      <c r="C664" s="150">
        <f ca="1">IFERROR(__xludf.DUMMYFUNCTION("""COMPUTED_VALUE"""),60.97)</f>
        <v>60.97</v>
      </c>
      <c r="D664" s="150">
        <f ca="1">IFERROR(__xludf.DUMMYFUNCTION("""COMPUTED_VALUE"""),446.97)</f>
        <v>446.97</v>
      </c>
    </row>
    <row r="665" spans="1:4" ht="13.2" x14ac:dyDescent="0.25">
      <c r="A665" s="142">
        <v>44425.666666666664</v>
      </c>
      <c r="B665" s="146">
        <v>41.09</v>
      </c>
      <c r="C665" s="150">
        <f ca="1">IFERROR(__xludf.DUMMYFUNCTION("""COMPUTED_VALUE"""),61.18)</f>
        <v>61.18</v>
      </c>
      <c r="D665" s="150">
        <f ca="1">IFERROR(__xludf.DUMMYFUNCTION("""COMPUTED_VALUE"""),444.04)</f>
        <v>444.04</v>
      </c>
    </row>
    <row r="666" spans="1:4" ht="13.2" x14ac:dyDescent="0.25">
      <c r="A666" s="142">
        <v>44426.666666666664</v>
      </c>
      <c r="B666" s="146">
        <v>40.79</v>
      </c>
      <c r="C666" s="150">
        <f ca="1">IFERROR(__xludf.DUMMYFUNCTION("""COMPUTED_VALUE"""),61.61)</f>
        <v>61.61</v>
      </c>
      <c r="D666" s="150">
        <f ca="1">IFERROR(__xludf.DUMMYFUNCTION("""COMPUTED_VALUE"""),439.18)</f>
        <v>439.18</v>
      </c>
    </row>
    <row r="667" spans="1:4" ht="13.2" x14ac:dyDescent="0.25">
      <c r="A667" s="142">
        <v>44427.666666666664</v>
      </c>
      <c r="B667" s="146">
        <v>40.19</v>
      </c>
      <c r="C667" s="150">
        <f ca="1">IFERROR(__xludf.DUMMYFUNCTION("""COMPUTED_VALUE"""),59.66)</f>
        <v>59.66</v>
      </c>
      <c r="D667" s="150">
        <f ca="1">IFERROR(__xludf.DUMMYFUNCTION("""COMPUTED_VALUE"""),439.86)</f>
        <v>439.86</v>
      </c>
    </row>
    <row r="668" spans="1:4" ht="13.2" x14ac:dyDescent="0.25">
      <c r="A668" s="142">
        <v>44428.666666666664</v>
      </c>
      <c r="B668" s="146">
        <v>40.369999999999997</v>
      </c>
      <c r="C668" s="150">
        <f ca="1">IFERROR(__xludf.DUMMYFUNCTION("""COMPUTED_VALUE"""),59.78)</f>
        <v>59.78</v>
      </c>
      <c r="D668" s="150">
        <f ca="1">IFERROR(__xludf.DUMMYFUNCTION("""COMPUTED_VALUE"""),443.36)</f>
        <v>443.36</v>
      </c>
    </row>
    <row r="669" spans="1:4" ht="13.2" x14ac:dyDescent="0.25">
      <c r="A669" s="142">
        <v>44431.666666666664</v>
      </c>
      <c r="B669" s="146">
        <v>40.909999999999997</v>
      </c>
      <c r="C669" s="150">
        <f ca="1">IFERROR(__xludf.DUMMYFUNCTION("""COMPUTED_VALUE"""),60.39)</f>
        <v>60.39</v>
      </c>
      <c r="D669" s="150">
        <f ca="1">IFERROR(__xludf.DUMMYFUNCTION("""COMPUTED_VALUE"""),447.26)</f>
        <v>447.26</v>
      </c>
    </row>
    <row r="670" spans="1:4" ht="13.2" x14ac:dyDescent="0.25">
      <c r="A670" s="142">
        <v>44432.666666666664</v>
      </c>
      <c r="B670" s="146">
        <v>41.48</v>
      </c>
      <c r="C670" s="150">
        <f ca="1">IFERROR(__xludf.DUMMYFUNCTION("""COMPUTED_VALUE"""),61.13)</f>
        <v>61.13</v>
      </c>
      <c r="D670" s="150">
        <f ca="1">IFERROR(__xludf.DUMMYFUNCTION("""COMPUTED_VALUE"""),447.97)</f>
        <v>447.97</v>
      </c>
    </row>
    <row r="671" spans="1:4" ht="13.2" x14ac:dyDescent="0.25">
      <c r="A671" s="142">
        <v>44433.666666666664</v>
      </c>
      <c r="B671" s="146">
        <v>42.15</v>
      </c>
      <c r="C671" s="150">
        <f ca="1">IFERROR(__xludf.DUMMYFUNCTION("""COMPUTED_VALUE"""),62.56)</f>
        <v>62.56</v>
      </c>
      <c r="D671" s="150">
        <f ca="1">IFERROR(__xludf.DUMMYFUNCTION("""COMPUTED_VALUE"""),448.91)</f>
        <v>448.91</v>
      </c>
    </row>
    <row r="672" spans="1:4" ht="13.2" x14ac:dyDescent="0.25">
      <c r="A672" s="142">
        <v>44434.666666666664</v>
      </c>
      <c r="B672" s="146">
        <v>42.04</v>
      </c>
      <c r="C672" s="150">
        <f ca="1">IFERROR(__xludf.DUMMYFUNCTION("""COMPUTED_VALUE"""),62.08)</f>
        <v>62.08</v>
      </c>
      <c r="D672" s="150">
        <f ca="1">IFERROR(__xludf.DUMMYFUNCTION("""COMPUTED_VALUE"""),446.26)</f>
        <v>446.26</v>
      </c>
    </row>
    <row r="673" spans="1:4" ht="13.2" x14ac:dyDescent="0.25">
      <c r="A673" s="142">
        <v>44435.666666666664</v>
      </c>
      <c r="B673" s="146">
        <v>42.49</v>
      </c>
      <c r="C673" s="150">
        <f ca="1">IFERROR(__xludf.DUMMYFUNCTION("""COMPUTED_VALUE"""),61.88)</f>
        <v>61.88</v>
      </c>
      <c r="D673" s="150">
        <f ca="1">IFERROR(__xludf.DUMMYFUNCTION("""COMPUTED_VALUE"""),450.25)</f>
        <v>450.25</v>
      </c>
    </row>
    <row r="674" spans="1:4" ht="13.2" x14ac:dyDescent="0.25">
      <c r="A674" s="142">
        <v>44438.666666666664</v>
      </c>
      <c r="B674" s="146">
        <v>41.66</v>
      </c>
      <c r="C674" s="150">
        <f ca="1">IFERROR(__xludf.DUMMYFUNCTION("""COMPUTED_VALUE"""),61.17)</f>
        <v>61.17</v>
      </c>
      <c r="D674" s="150">
        <f ca="1">IFERROR(__xludf.DUMMYFUNCTION("""COMPUTED_VALUE"""),452.23)</f>
        <v>452.23</v>
      </c>
    </row>
    <row r="675" spans="1:4" ht="13.2" x14ac:dyDescent="0.25">
      <c r="A675" s="142">
        <v>44439.666666666664</v>
      </c>
      <c r="B675" s="146">
        <v>41.75</v>
      </c>
      <c r="C675" s="150">
        <f ca="1">IFERROR(__xludf.DUMMYFUNCTION("""COMPUTED_VALUE"""),61.36)</f>
        <v>61.36</v>
      </c>
      <c r="D675" s="150">
        <f ca="1">IFERROR(__xludf.DUMMYFUNCTION("""COMPUTED_VALUE"""),451.56)</f>
        <v>451.56</v>
      </c>
    </row>
    <row r="676" spans="1:4" ht="13.2" x14ac:dyDescent="0.25">
      <c r="A676" s="142">
        <v>44440.666666666664</v>
      </c>
      <c r="B676" s="146">
        <v>41.19</v>
      </c>
      <c r="C676" s="150">
        <f ca="1">IFERROR(__xludf.DUMMYFUNCTION("""COMPUTED_VALUE"""),60.44)</f>
        <v>60.44</v>
      </c>
      <c r="D676" s="150">
        <f ca="1">IFERROR(__xludf.DUMMYFUNCTION("""COMPUTED_VALUE"""),451.8)</f>
        <v>451.8</v>
      </c>
    </row>
    <row r="677" spans="1:4" ht="13.2" x14ac:dyDescent="0.25">
      <c r="A677" s="142">
        <v>44441.666666666664</v>
      </c>
      <c r="B677" s="146">
        <v>41.02</v>
      </c>
      <c r="C677" s="150">
        <f ca="1">IFERROR(__xludf.DUMMYFUNCTION("""COMPUTED_VALUE"""),60.59)</f>
        <v>60.59</v>
      </c>
      <c r="D677" s="150">
        <f ca="1">IFERROR(__xludf.DUMMYFUNCTION("""COMPUTED_VALUE"""),453.19)</f>
        <v>453.19</v>
      </c>
    </row>
    <row r="678" spans="1:4" ht="13.2" x14ac:dyDescent="0.25">
      <c r="A678" s="142">
        <v>44442.666666666664</v>
      </c>
      <c r="B678" s="146">
        <v>41.05</v>
      </c>
      <c r="C678" s="150">
        <f ca="1">IFERROR(__xludf.DUMMYFUNCTION("""COMPUTED_VALUE"""),59.74)</f>
        <v>59.74</v>
      </c>
      <c r="D678" s="150">
        <f ca="1">IFERROR(__xludf.DUMMYFUNCTION("""COMPUTED_VALUE"""),453.08)</f>
        <v>453.08</v>
      </c>
    </row>
    <row r="679" spans="1:4" ht="13.2" x14ac:dyDescent="0.25">
      <c r="A679" s="142">
        <v>44446.666666666664</v>
      </c>
      <c r="B679" s="146">
        <v>41.32</v>
      </c>
      <c r="C679" s="150">
        <f ca="1">IFERROR(__xludf.DUMMYFUNCTION("""COMPUTED_VALUE"""),60.04)</f>
        <v>60.04</v>
      </c>
      <c r="D679" s="150">
        <f ca="1">IFERROR(__xludf.DUMMYFUNCTION("""COMPUTED_VALUE"""),451.46)</f>
        <v>451.46</v>
      </c>
    </row>
    <row r="680" spans="1:4" ht="13.2" x14ac:dyDescent="0.25">
      <c r="A680" s="142">
        <v>44447.666666666664</v>
      </c>
      <c r="B680" s="146">
        <v>40.78</v>
      </c>
      <c r="C680" s="150">
        <f ca="1">IFERROR(__xludf.DUMMYFUNCTION("""COMPUTED_VALUE"""),60.41)</f>
        <v>60.41</v>
      </c>
      <c r="D680" s="150">
        <f ca="1">IFERROR(__xludf.DUMMYFUNCTION("""COMPUTED_VALUE"""),450.91)</f>
        <v>450.91</v>
      </c>
    </row>
    <row r="681" spans="1:4" ht="13.2" x14ac:dyDescent="0.25">
      <c r="A681" s="142">
        <v>44448.666666666664</v>
      </c>
      <c r="B681" s="146">
        <v>40.93</v>
      </c>
      <c r="C681" s="150">
        <f ca="1">IFERROR(__xludf.DUMMYFUNCTION("""COMPUTED_VALUE"""),59.34)</f>
        <v>59.34</v>
      </c>
      <c r="D681" s="150">
        <f ca="1">IFERROR(__xludf.DUMMYFUNCTION("""COMPUTED_VALUE"""),448.98)</f>
        <v>448.98</v>
      </c>
    </row>
    <row r="682" spans="1:4" ht="13.2" x14ac:dyDescent="0.25">
      <c r="A682" s="142">
        <v>44449.666666666664</v>
      </c>
      <c r="B682" s="146">
        <v>40.270000000000003</v>
      </c>
      <c r="C682" s="150">
        <f ca="1">IFERROR(__xludf.DUMMYFUNCTION("""COMPUTED_VALUE"""),59.7)</f>
        <v>59.7</v>
      </c>
      <c r="D682" s="150">
        <f ca="1">IFERROR(__xludf.DUMMYFUNCTION("""COMPUTED_VALUE"""),445.44)</f>
        <v>445.44</v>
      </c>
    </row>
    <row r="683" spans="1:4" ht="13.2" x14ac:dyDescent="0.25">
      <c r="A683" s="142">
        <v>44452.666666666664</v>
      </c>
      <c r="B683" s="146">
        <v>40.94</v>
      </c>
      <c r="C683" s="150">
        <f ca="1">IFERROR(__xludf.DUMMYFUNCTION("""COMPUTED_VALUE"""),59.1)</f>
        <v>59.1</v>
      </c>
      <c r="D683" s="150">
        <f ca="1">IFERROR(__xludf.DUMMYFUNCTION("""COMPUTED_VALUE"""),446.58)</f>
        <v>446.58</v>
      </c>
    </row>
    <row r="684" spans="1:4" ht="13.2" x14ac:dyDescent="0.25">
      <c r="A684" s="142">
        <v>44453.666666666664</v>
      </c>
      <c r="B684" s="146">
        <v>39.840000000000003</v>
      </c>
      <c r="C684" s="150">
        <f ca="1">IFERROR(__xludf.DUMMYFUNCTION("""COMPUTED_VALUE"""),59.62)</f>
        <v>59.62</v>
      </c>
      <c r="D684" s="150">
        <f ca="1">IFERROR(__xludf.DUMMYFUNCTION("""COMPUTED_VALUE"""),444.17)</f>
        <v>444.17</v>
      </c>
    </row>
    <row r="685" spans="1:4" ht="13.2" x14ac:dyDescent="0.25">
      <c r="A685" s="142">
        <v>44454.666666666664</v>
      </c>
      <c r="B685" s="146">
        <v>40.14</v>
      </c>
      <c r="C685" s="150">
        <f ca="1">IFERROR(__xludf.DUMMYFUNCTION("""COMPUTED_VALUE"""),58.94)</f>
        <v>58.94</v>
      </c>
      <c r="D685" s="150">
        <f ca="1">IFERROR(__xludf.DUMMYFUNCTION("""COMPUTED_VALUE"""),447.88)</f>
        <v>447.88</v>
      </c>
    </row>
    <row r="686" spans="1:4" ht="13.2" x14ac:dyDescent="0.25">
      <c r="A686" s="142">
        <v>44455.666666666664</v>
      </c>
      <c r="B686" s="146">
        <v>40.450000000000003</v>
      </c>
      <c r="C686" s="150">
        <f ca="1">IFERROR(__xludf.DUMMYFUNCTION("""COMPUTED_VALUE"""),59.55)</f>
        <v>59.55</v>
      </c>
      <c r="D686" s="150">
        <f ca="1">IFERROR(__xludf.DUMMYFUNCTION("""COMPUTED_VALUE"""),447.17)</f>
        <v>447.17</v>
      </c>
    </row>
    <row r="687" spans="1:4" ht="13.2" x14ac:dyDescent="0.25">
      <c r="A687" s="142">
        <v>44456.666666666664</v>
      </c>
      <c r="B687" s="146">
        <v>40.5</v>
      </c>
      <c r="C687" s="150">
        <f ca="1">IFERROR(__xludf.DUMMYFUNCTION("""COMPUTED_VALUE"""),59.87)</f>
        <v>59.87</v>
      </c>
      <c r="D687" s="150">
        <f ca="1">IFERROR(__xludf.DUMMYFUNCTION("""COMPUTED_VALUE"""),441.4)</f>
        <v>441.4</v>
      </c>
    </row>
    <row r="688" spans="1:4" ht="13.2" x14ac:dyDescent="0.25">
      <c r="A688" s="142">
        <v>44459.666666666664</v>
      </c>
      <c r="B688" s="146">
        <v>39.11</v>
      </c>
      <c r="C688" s="150">
        <f ca="1">IFERROR(__xludf.DUMMYFUNCTION("""COMPUTED_VALUE"""),59.9)</f>
        <v>59.9</v>
      </c>
      <c r="D688" s="150">
        <f ca="1">IFERROR(__xludf.DUMMYFUNCTION("""COMPUTED_VALUE"""),434.04)</f>
        <v>434.04</v>
      </c>
    </row>
    <row r="689" spans="1:4" ht="13.2" x14ac:dyDescent="0.25">
      <c r="A689" s="142">
        <v>44460.666666666664</v>
      </c>
      <c r="B689" s="146">
        <v>39.130000000000003</v>
      </c>
      <c r="C689" s="150">
        <f ca="1">IFERROR(__xludf.DUMMYFUNCTION("""COMPUTED_VALUE"""),56.84)</f>
        <v>56.84</v>
      </c>
      <c r="D689" s="150">
        <f ca="1">IFERROR(__xludf.DUMMYFUNCTION("""COMPUTED_VALUE"""),433.63)</f>
        <v>433.63</v>
      </c>
    </row>
    <row r="690" spans="1:4" ht="13.2" x14ac:dyDescent="0.25">
      <c r="A690" s="142">
        <v>44461.666666666664</v>
      </c>
      <c r="B690" s="146">
        <v>40.14</v>
      </c>
      <c r="C690" s="150">
        <f ca="1">IFERROR(__xludf.DUMMYFUNCTION("""COMPUTED_VALUE"""),57)</f>
        <v>57</v>
      </c>
      <c r="D690" s="150">
        <f ca="1">IFERROR(__xludf.DUMMYFUNCTION("""COMPUTED_VALUE"""),437.86)</f>
        <v>437.86</v>
      </c>
    </row>
    <row r="691" spans="1:4" ht="13.2" x14ac:dyDescent="0.25">
      <c r="A691" s="142">
        <v>44462.666666666664</v>
      </c>
      <c r="B691" s="146">
        <v>41.69</v>
      </c>
      <c r="C691" s="150">
        <f ca="1">IFERROR(__xludf.DUMMYFUNCTION("""COMPUTED_VALUE"""),58.6)</f>
        <v>58.6</v>
      </c>
      <c r="D691" s="150">
        <f ca="1">IFERROR(__xludf.DUMMYFUNCTION("""COMPUTED_VALUE"""),443.18)</f>
        <v>443.18</v>
      </c>
    </row>
    <row r="692" spans="1:4" ht="13.2" x14ac:dyDescent="0.25">
      <c r="A692" s="142">
        <v>44463.666666666664</v>
      </c>
      <c r="B692" s="146">
        <v>42.14</v>
      </c>
      <c r="C692" s="150">
        <f ca="1">IFERROR(__xludf.DUMMYFUNCTION("""COMPUTED_VALUE"""),60.28)</f>
        <v>60.28</v>
      </c>
      <c r="D692" s="150">
        <f ca="1">IFERROR(__xludf.DUMMYFUNCTION("""COMPUTED_VALUE"""),443.91)</f>
        <v>443.91</v>
      </c>
    </row>
    <row r="693" spans="1:4" ht="13.2" x14ac:dyDescent="0.25">
      <c r="A693" s="142">
        <v>44466.666666666664</v>
      </c>
      <c r="B693" s="146">
        <v>43.26</v>
      </c>
      <c r="C693" s="150">
        <f ca="1">IFERROR(__xludf.DUMMYFUNCTION("""COMPUTED_VALUE"""),60.62)</f>
        <v>60.62</v>
      </c>
      <c r="D693" s="150">
        <f ca="1">IFERROR(__xludf.DUMMYFUNCTION("""COMPUTED_VALUE"""),442.64)</f>
        <v>442.64</v>
      </c>
    </row>
    <row r="694" spans="1:4" ht="13.2" x14ac:dyDescent="0.25">
      <c r="A694" s="142">
        <v>44467.666666666664</v>
      </c>
      <c r="B694" s="146">
        <v>43.16</v>
      </c>
      <c r="C694" s="150">
        <f ca="1">IFERROR(__xludf.DUMMYFUNCTION("""COMPUTED_VALUE"""),61.75)</f>
        <v>61.75</v>
      </c>
      <c r="D694" s="150">
        <f ca="1">IFERROR(__xludf.DUMMYFUNCTION("""COMPUTED_VALUE"""),433.72)</f>
        <v>433.72</v>
      </c>
    </row>
    <row r="695" spans="1:4" ht="13.2" x14ac:dyDescent="0.25">
      <c r="A695" s="142">
        <v>44468.666666666664</v>
      </c>
      <c r="B695" s="146">
        <v>43.07</v>
      </c>
      <c r="C695" s="150">
        <f ca="1">IFERROR(__xludf.DUMMYFUNCTION("""COMPUTED_VALUE"""),61.55)</f>
        <v>61.55</v>
      </c>
      <c r="D695" s="150">
        <f ca="1">IFERROR(__xludf.DUMMYFUNCTION("""COMPUTED_VALUE"""),434.45)</f>
        <v>434.45</v>
      </c>
    </row>
    <row r="696" spans="1:4" ht="13.2" x14ac:dyDescent="0.25">
      <c r="A696" s="142">
        <v>44469.666666666664</v>
      </c>
      <c r="B696" s="146">
        <v>42.45</v>
      </c>
      <c r="C696" s="150">
        <f ca="1">IFERROR(__xludf.DUMMYFUNCTION("""COMPUTED_VALUE"""),61.56)</f>
        <v>61.56</v>
      </c>
      <c r="D696" s="150">
        <f ca="1">IFERROR(__xludf.DUMMYFUNCTION("""COMPUTED_VALUE"""),429.14)</f>
        <v>429.14</v>
      </c>
    </row>
    <row r="697" spans="1:4" ht="13.2" x14ac:dyDescent="0.25">
      <c r="A697" s="142">
        <v>44470.666666666664</v>
      </c>
      <c r="B697" s="146">
        <v>43.08</v>
      </c>
      <c r="C697" s="150">
        <f ca="1">IFERROR(__xludf.DUMMYFUNCTION("""COMPUTED_VALUE"""),61.36)</f>
        <v>61.36</v>
      </c>
      <c r="D697" s="150">
        <f ca="1">IFERROR(__xludf.DUMMYFUNCTION("""COMPUTED_VALUE"""),434.24)</f>
        <v>434.24</v>
      </c>
    </row>
    <row r="698" spans="1:4" ht="13.2" x14ac:dyDescent="0.25">
      <c r="A698" s="142">
        <v>44473.666666666664</v>
      </c>
      <c r="B698" s="146">
        <v>43.34</v>
      </c>
      <c r="C698" s="150">
        <f ca="1">IFERROR(__xludf.DUMMYFUNCTION("""COMPUTED_VALUE"""),61.12)</f>
        <v>61.12</v>
      </c>
      <c r="D698" s="150">
        <f ca="1">IFERROR(__xludf.DUMMYFUNCTION("""COMPUTED_VALUE"""),428.64)</f>
        <v>428.64</v>
      </c>
    </row>
    <row r="699" spans="1:4" ht="13.2" x14ac:dyDescent="0.25">
      <c r="A699" s="142">
        <v>44474.666666666664</v>
      </c>
      <c r="B699" s="146">
        <v>44.22</v>
      </c>
      <c r="C699" s="150">
        <f ca="1">IFERROR(__xludf.DUMMYFUNCTION("""COMPUTED_VALUE"""),61.45)</f>
        <v>61.45</v>
      </c>
      <c r="D699" s="150">
        <f ca="1">IFERROR(__xludf.DUMMYFUNCTION("""COMPUTED_VALUE"""),433.1)</f>
        <v>433.1</v>
      </c>
    </row>
    <row r="700" spans="1:4" ht="13.2" x14ac:dyDescent="0.25">
      <c r="A700" s="142">
        <v>44475.666666666664</v>
      </c>
      <c r="B700" s="146">
        <v>44.24</v>
      </c>
      <c r="C700" s="150">
        <f ca="1">IFERROR(__xludf.DUMMYFUNCTION("""COMPUTED_VALUE"""),62.54)</f>
        <v>62.54</v>
      </c>
      <c r="D700" s="150">
        <f ca="1">IFERROR(__xludf.DUMMYFUNCTION("""COMPUTED_VALUE"""),434.9)</f>
        <v>434.9</v>
      </c>
    </row>
    <row r="701" spans="1:4" ht="13.2" x14ac:dyDescent="0.25">
      <c r="A701" s="142">
        <v>44476.666666666664</v>
      </c>
      <c r="B701" s="146">
        <v>44.12</v>
      </c>
      <c r="C701" s="150">
        <f ca="1">IFERROR(__xludf.DUMMYFUNCTION("""COMPUTED_VALUE"""),61.76)</f>
        <v>61.76</v>
      </c>
      <c r="D701" s="150">
        <f ca="1">IFERROR(__xludf.DUMMYFUNCTION("""COMPUTED_VALUE"""),438.66)</f>
        <v>438.66</v>
      </c>
    </row>
    <row r="702" spans="1:4" ht="13.2" x14ac:dyDescent="0.25">
      <c r="A702" s="142">
        <v>44477.666666666664</v>
      </c>
      <c r="B702" s="146">
        <v>44.34</v>
      </c>
      <c r="C702" s="150">
        <f ca="1">IFERROR(__xludf.DUMMYFUNCTION("""COMPUTED_VALUE"""),63.23)</f>
        <v>63.23</v>
      </c>
      <c r="D702" s="150">
        <f ca="1">IFERROR(__xludf.DUMMYFUNCTION("""COMPUTED_VALUE"""),437.86)</f>
        <v>437.86</v>
      </c>
    </row>
    <row r="703" spans="1:4" ht="13.2" x14ac:dyDescent="0.25">
      <c r="A703" s="142">
        <v>44480.666666666664</v>
      </c>
      <c r="B703" s="146">
        <v>43.78</v>
      </c>
      <c r="C703" s="150">
        <f ca="1">IFERROR(__xludf.DUMMYFUNCTION("""COMPUTED_VALUE"""),62.65)</f>
        <v>62.65</v>
      </c>
      <c r="D703" s="150">
        <f ca="1">IFERROR(__xludf.DUMMYFUNCTION("""COMPUTED_VALUE"""),434.69)</f>
        <v>434.69</v>
      </c>
    </row>
    <row r="704" spans="1:4" ht="13.2" x14ac:dyDescent="0.25">
      <c r="A704" s="142">
        <v>44481.666666666664</v>
      </c>
      <c r="B704" s="146">
        <v>43.54</v>
      </c>
      <c r="C704" s="150">
        <f ca="1">IFERROR(__xludf.DUMMYFUNCTION("""COMPUTED_VALUE"""),63.35)</f>
        <v>63.35</v>
      </c>
      <c r="D704" s="150">
        <f ca="1">IFERROR(__xludf.DUMMYFUNCTION("""COMPUTED_VALUE"""),433.62)</f>
        <v>433.62</v>
      </c>
    </row>
    <row r="705" spans="1:4" ht="13.2" x14ac:dyDescent="0.25">
      <c r="A705" s="142">
        <v>44482.666666666664</v>
      </c>
      <c r="B705" s="146">
        <v>43.14</v>
      </c>
      <c r="C705" s="150">
        <f ca="1">IFERROR(__xludf.DUMMYFUNCTION("""COMPUTED_VALUE"""),61.91)</f>
        <v>61.91</v>
      </c>
      <c r="D705" s="150">
        <f ca="1">IFERROR(__xludf.DUMMYFUNCTION("""COMPUTED_VALUE"""),435.18)</f>
        <v>435.18</v>
      </c>
    </row>
    <row r="706" spans="1:4" ht="13.2" x14ac:dyDescent="0.25">
      <c r="A706" s="142">
        <v>44483.666666666664</v>
      </c>
      <c r="B706" s="146">
        <v>45.07</v>
      </c>
      <c r="C706" s="150">
        <f ca="1">IFERROR(__xludf.DUMMYFUNCTION("""COMPUTED_VALUE"""),60.35)</f>
        <v>60.35</v>
      </c>
      <c r="D706" s="150">
        <f ca="1">IFERROR(__xludf.DUMMYFUNCTION("""COMPUTED_VALUE"""),442.5)</f>
        <v>442.5</v>
      </c>
    </row>
    <row r="707" spans="1:4" ht="13.2" x14ac:dyDescent="0.25">
      <c r="A707" s="142">
        <v>44484.666666666664</v>
      </c>
      <c r="B707" s="146">
        <v>46.37</v>
      </c>
      <c r="C707" s="150">
        <f ca="1">IFERROR(__xludf.DUMMYFUNCTION("""COMPUTED_VALUE"""),60.58)</f>
        <v>60.58</v>
      </c>
      <c r="D707" s="150">
        <f ca="1">IFERROR(__xludf.DUMMYFUNCTION("""COMPUTED_VALUE"""),445.87)</f>
        <v>445.87</v>
      </c>
    </row>
    <row r="708" spans="1:4" ht="13.2" x14ac:dyDescent="0.25">
      <c r="A708" s="142">
        <v>44487.666666666664</v>
      </c>
      <c r="B708" s="146">
        <v>46.28</v>
      </c>
      <c r="C708" s="150">
        <f ca="1">IFERROR(__xludf.DUMMYFUNCTION("""COMPUTED_VALUE"""),62.57)</f>
        <v>62.57</v>
      </c>
      <c r="D708" s="150">
        <f ca="1">IFERROR(__xludf.DUMMYFUNCTION("""COMPUTED_VALUE"""),447.19)</f>
        <v>447.19</v>
      </c>
    </row>
    <row r="709" spans="1:4" ht="13.2" x14ac:dyDescent="0.25">
      <c r="A709" s="142">
        <v>44488.666666666664</v>
      </c>
      <c r="B709" s="146">
        <v>46.48</v>
      </c>
      <c r="C709" s="150">
        <f ca="1">IFERROR(__xludf.DUMMYFUNCTION("""COMPUTED_VALUE"""),62.2)</f>
        <v>62.2</v>
      </c>
      <c r="D709" s="150">
        <f ca="1">IFERROR(__xludf.DUMMYFUNCTION("""COMPUTED_VALUE"""),450.64)</f>
        <v>450.64</v>
      </c>
    </row>
    <row r="710" spans="1:4" ht="13.2" x14ac:dyDescent="0.25">
      <c r="A710" s="142">
        <v>44489.666666666664</v>
      </c>
      <c r="B710" s="146">
        <v>47.09</v>
      </c>
      <c r="C710" s="150">
        <f ca="1">IFERROR(__xludf.DUMMYFUNCTION("""COMPUTED_VALUE"""),61.69)</f>
        <v>61.69</v>
      </c>
      <c r="D710" s="150">
        <f ca="1">IFERROR(__xludf.DUMMYFUNCTION("""COMPUTED_VALUE"""),452.41)</f>
        <v>452.41</v>
      </c>
    </row>
    <row r="711" spans="1:4" ht="13.2" x14ac:dyDescent="0.25">
      <c r="A711" s="142">
        <v>44490.666666666664</v>
      </c>
      <c r="B711" s="146">
        <v>46.83</v>
      </c>
      <c r="C711" s="150">
        <f ca="1">IFERROR(__xludf.DUMMYFUNCTION("""COMPUTED_VALUE"""),61.93)</f>
        <v>61.93</v>
      </c>
      <c r="D711" s="150">
        <f ca="1">IFERROR(__xludf.DUMMYFUNCTION("""COMPUTED_VALUE"""),453.59)</f>
        <v>453.59</v>
      </c>
    </row>
    <row r="712" spans="1:4" ht="13.2" x14ac:dyDescent="0.25">
      <c r="A712" s="142">
        <v>44491.666666666664</v>
      </c>
      <c r="B712" s="146">
        <v>47.57</v>
      </c>
      <c r="C712" s="150">
        <f ca="1">IFERROR(__xludf.DUMMYFUNCTION("""COMPUTED_VALUE"""),60.6)</f>
        <v>60.6</v>
      </c>
      <c r="D712" s="150">
        <f ca="1">IFERROR(__xludf.DUMMYFUNCTION("""COMPUTED_VALUE"""),453.12)</f>
        <v>453.12</v>
      </c>
    </row>
    <row r="713" spans="1:4" ht="13.2" x14ac:dyDescent="0.25">
      <c r="A713" s="142">
        <v>44494.666666666664</v>
      </c>
      <c r="B713" s="146">
        <v>47.51</v>
      </c>
      <c r="C713" s="150">
        <f ca="1">IFERROR(__xludf.DUMMYFUNCTION("""COMPUTED_VALUE"""),61.35)</f>
        <v>61.35</v>
      </c>
      <c r="D713" s="150">
        <f ca="1">IFERROR(__xludf.DUMMYFUNCTION("""COMPUTED_VALUE"""),455.55)</f>
        <v>455.55</v>
      </c>
    </row>
    <row r="714" spans="1:4" ht="13.2" x14ac:dyDescent="0.25">
      <c r="A714" s="142">
        <v>44495.666666666664</v>
      </c>
      <c r="B714" s="146">
        <v>47.96</v>
      </c>
      <c r="C714" s="150">
        <f ca="1">IFERROR(__xludf.DUMMYFUNCTION("""COMPUTED_VALUE"""),60.95)</f>
        <v>60.95</v>
      </c>
      <c r="D714" s="150">
        <f ca="1">IFERROR(__xludf.DUMMYFUNCTION("""COMPUTED_VALUE"""),455.96)</f>
        <v>455.96</v>
      </c>
    </row>
    <row r="715" spans="1:4" ht="13.2" x14ac:dyDescent="0.25">
      <c r="A715" s="142">
        <v>44496.666666666664</v>
      </c>
      <c r="B715" s="146">
        <v>47.04</v>
      </c>
      <c r="C715" s="150">
        <f ca="1">IFERROR(__xludf.DUMMYFUNCTION("""COMPUTED_VALUE"""),60.12)</f>
        <v>60.12</v>
      </c>
      <c r="D715" s="150">
        <f ca="1">IFERROR(__xludf.DUMMYFUNCTION("""COMPUTED_VALUE"""),453.94)</f>
        <v>453.94</v>
      </c>
    </row>
    <row r="716" spans="1:4" ht="13.2" x14ac:dyDescent="0.25">
      <c r="A716" s="142">
        <v>44497.666666666664</v>
      </c>
      <c r="B716" s="146">
        <v>47.78</v>
      </c>
      <c r="C716" s="150">
        <f ca="1">IFERROR(__xludf.DUMMYFUNCTION("""COMPUTED_VALUE"""),60.5)</f>
        <v>60.5</v>
      </c>
      <c r="D716" s="150">
        <f ca="1">IFERROR(__xludf.DUMMYFUNCTION("""COMPUTED_VALUE"""),458.32)</f>
        <v>458.32</v>
      </c>
    </row>
    <row r="717" spans="1:4" ht="13.2" x14ac:dyDescent="0.25">
      <c r="A717" s="142">
        <v>44498.666666666664</v>
      </c>
      <c r="B717" s="146">
        <v>47.78</v>
      </c>
      <c r="C717" s="150">
        <f ca="1">IFERROR(__xludf.DUMMYFUNCTION("""COMPUTED_VALUE"""),60.54)</f>
        <v>60.54</v>
      </c>
      <c r="D717" s="150">
        <f ca="1">IFERROR(__xludf.DUMMYFUNCTION("""COMPUTED_VALUE"""),459.25)</f>
        <v>459.25</v>
      </c>
    </row>
    <row r="718" spans="1:4" ht="13.2" x14ac:dyDescent="0.25">
      <c r="A718" s="142">
        <v>44501.666666666664</v>
      </c>
      <c r="B718" s="146">
        <v>47.85</v>
      </c>
      <c r="C718" s="150">
        <f ca="1">IFERROR(__xludf.DUMMYFUNCTION("""COMPUTED_VALUE"""),60.1)</f>
        <v>60.1</v>
      </c>
      <c r="D718" s="150">
        <f ca="1">IFERROR(__xludf.DUMMYFUNCTION("""COMPUTED_VALUE"""),460.04)</f>
        <v>460.04</v>
      </c>
    </row>
    <row r="719" spans="1:4" ht="13.2" x14ac:dyDescent="0.25">
      <c r="A719" s="142">
        <v>44502.666666666664</v>
      </c>
      <c r="B719" s="146">
        <v>47.88</v>
      </c>
      <c r="C719" s="150">
        <f ca="1">IFERROR(__xludf.DUMMYFUNCTION("""COMPUTED_VALUE"""),59.58)</f>
        <v>59.58</v>
      </c>
      <c r="D719" s="150">
        <f ca="1">IFERROR(__xludf.DUMMYFUNCTION("""COMPUTED_VALUE"""),461.9)</f>
        <v>461.9</v>
      </c>
    </row>
    <row r="720" spans="1:4" ht="13.2" x14ac:dyDescent="0.25">
      <c r="A720" s="142">
        <v>44503.666666666664</v>
      </c>
      <c r="B720" s="146">
        <v>48.37</v>
      </c>
      <c r="C720" s="150">
        <f ca="1">IFERROR(__xludf.DUMMYFUNCTION("""COMPUTED_VALUE"""),59.49)</f>
        <v>59.49</v>
      </c>
      <c r="D720" s="150">
        <f ca="1">IFERROR(__xludf.DUMMYFUNCTION("""COMPUTED_VALUE"""),464.72)</f>
        <v>464.72</v>
      </c>
    </row>
    <row r="721" spans="1:4" ht="13.2" x14ac:dyDescent="0.25">
      <c r="A721" s="142">
        <v>44504.666666666664</v>
      </c>
      <c r="B721" s="146">
        <v>47.33</v>
      </c>
      <c r="C721" s="150">
        <f ca="1">IFERROR(__xludf.DUMMYFUNCTION("""COMPUTED_VALUE"""),58)</f>
        <v>58</v>
      </c>
      <c r="D721" s="150">
        <f ca="1">IFERROR(__xludf.DUMMYFUNCTION("""COMPUTED_VALUE"""),466.91)</f>
        <v>466.91</v>
      </c>
    </row>
    <row r="722" spans="1:4" ht="13.2" x14ac:dyDescent="0.25">
      <c r="A722" s="142">
        <v>44505.666666666664</v>
      </c>
      <c r="B722" s="146">
        <v>46.97</v>
      </c>
      <c r="C722" s="150">
        <f ca="1">IFERROR(__xludf.DUMMYFUNCTION("""COMPUTED_VALUE"""),58.39)</f>
        <v>58.39</v>
      </c>
      <c r="D722" s="150">
        <f ca="1">IFERROR(__xludf.DUMMYFUNCTION("""COMPUTED_VALUE"""),468.53)</f>
        <v>468.53</v>
      </c>
    </row>
    <row r="723" spans="1:4" ht="13.2" x14ac:dyDescent="0.25">
      <c r="A723" s="142">
        <v>44508.666666666664</v>
      </c>
      <c r="B723" s="146">
        <v>47.34</v>
      </c>
      <c r="C723" s="150">
        <f ca="1">IFERROR(__xludf.DUMMYFUNCTION("""COMPUTED_VALUE"""),59.5)</f>
        <v>59.5</v>
      </c>
      <c r="D723" s="150">
        <f ca="1">IFERROR(__xludf.DUMMYFUNCTION("""COMPUTED_VALUE"""),468.93)</f>
        <v>468.93</v>
      </c>
    </row>
    <row r="724" spans="1:4" ht="13.2" x14ac:dyDescent="0.25">
      <c r="A724" s="142">
        <v>44509.666666666664</v>
      </c>
      <c r="B724" s="146">
        <v>46.88</v>
      </c>
      <c r="C724" s="150">
        <f ca="1">IFERROR(__xludf.DUMMYFUNCTION("""COMPUTED_VALUE"""),58.58)</f>
        <v>58.58</v>
      </c>
      <c r="D724" s="150">
        <f ca="1">IFERROR(__xludf.DUMMYFUNCTION("""COMPUTED_VALUE"""),467.38)</f>
        <v>467.38</v>
      </c>
    </row>
    <row r="725" spans="1:4" ht="13.2" x14ac:dyDescent="0.25">
      <c r="A725" s="142">
        <v>44510.666666666664</v>
      </c>
      <c r="B725" s="146">
        <v>47.23</v>
      </c>
      <c r="C725" s="150">
        <f ca="1">IFERROR(__xludf.DUMMYFUNCTION("""COMPUTED_VALUE"""),59.12)</f>
        <v>59.12</v>
      </c>
      <c r="D725" s="150">
        <f ca="1">IFERROR(__xludf.DUMMYFUNCTION("""COMPUTED_VALUE"""),463.62)</f>
        <v>463.62</v>
      </c>
    </row>
    <row r="726" spans="1:4" ht="13.2" x14ac:dyDescent="0.25">
      <c r="A726" s="142">
        <v>44511.666666666664</v>
      </c>
      <c r="B726" s="146">
        <v>47.49</v>
      </c>
      <c r="C726" s="150">
        <f ca="1">IFERROR(__xludf.DUMMYFUNCTION("""COMPUTED_VALUE"""),60.25)</f>
        <v>60.25</v>
      </c>
      <c r="D726" s="150">
        <f ca="1">IFERROR(__xludf.DUMMYFUNCTION("""COMPUTED_VALUE"""),463.77)</f>
        <v>463.77</v>
      </c>
    </row>
    <row r="727" spans="1:4" ht="13.2" x14ac:dyDescent="0.25">
      <c r="A727" s="142">
        <v>44512.666666666664</v>
      </c>
      <c r="B727" s="146">
        <v>46.91</v>
      </c>
      <c r="C727" s="150">
        <f ca="1">IFERROR(__xludf.DUMMYFUNCTION("""COMPUTED_VALUE"""),59.92)</f>
        <v>59.92</v>
      </c>
      <c r="D727" s="150">
        <f ca="1">IFERROR(__xludf.DUMMYFUNCTION("""COMPUTED_VALUE"""),467.27)</f>
        <v>467.27</v>
      </c>
    </row>
    <row r="728" spans="1:4" ht="13.2" x14ac:dyDescent="0.25">
      <c r="A728" s="142">
        <v>44515.666666666664</v>
      </c>
      <c r="B728" s="146">
        <v>47.05</v>
      </c>
      <c r="C728" s="150">
        <f ca="1">IFERROR(__xludf.DUMMYFUNCTION("""COMPUTED_VALUE"""),60.16)</f>
        <v>60.16</v>
      </c>
      <c r="D728" s="150">
        <f ca="1">IFERROR(__xludf.DUMMYFUNCTION("""COMPUTED_VALUE"""),467.43)</f>
        <v>467.43</v>
      </c>
    </row>
    <row r="729" spans="1:4" ht="13.2" x14ac:dyDescent="0.25">
      <c r="A729" s="142">
        <v>44516.666666666664</v>
      </c>
      <c r="B729" s="146">
        <v>47.08</v>
      </c>
      <c r="C729" s="150">
        <f ca="1">IFERROR(__xludf.DUMMYFUNCTION("""COMPUTED_VALUE"""),59.57)</f>
        <v>59.57</v>
      </c>
      <c r="D729" s="150">
        <f ca="1">IFERROR(__xludf.DUMMYFUNCTION("""COMPUTED_VALUE"""),469.28)</f>
        <v>469.28</v>
      </c>
    </row>
    <row r="730" spans="1:4" ht="13.2" x14ac:dyDescent="0.25">
      <c r="A730" s="142">
        <v>44517.666666666664</v>
      </c>
      <c r="B730" s="146">
        <v>46.51</v>
      </c>
      <c r="C730" s="150">
        <f ca="1">IFERROR(__xludf.DUMMYFUNCTION("""COMPUTED_VALUE"""),59.36)</f>
        <v>59.36</v>
      </c>
      <c r="D730" s="150">
        <f ca="1">IFERROR(__xludf.DUMMYFUNCTION("""COMPUTED_VALUE"""),468.14)</f>
        <v>468.14</v>
      </c>
    </row>
    <row r="731" spans="1:4" ht="13.2" x14ac:dyDescent="0.25">
      <c r="A731" s="142">
        <v>44518.666666666664</v>
      </c>
      <c r="B731" s="146">
        <v>46.32</v>
      </c>
      <c r="C731" s="150">
        <f ca="1">IFERROR(__xludf.DUMMYFUNCTION("""COMPUTED_VALUE"""),58.82)</f>
        <v>58.82</v>
      </c>
      <c r="D731" s="150">
        <f ca="1">IFERROR(__xludf.DUMMYFUNCTION("""COMPUTED_VALUE"""),469.73)</f>
        <v>469.73</v>
      </c>
    </row>
    <row r="732" spans="1:4" ht="13.2" x14ac:dyDescent="0.25">
      <c r="A732" s="142">
        <v>44519.666666666664</v>
      </c>
      <c r="B732" s="146">
        <v>45.4</v>
      </c>
      <c r="C732" s="150">
        <f ca="1">IFERROR(__xludf.DUMMYFUNCTION("""COMPUTED_VALUE"""),58.36)</f>
        <v>58.36</v>
      </c>
      <c r="D732" s="150">
        <f ca="1">IFERROR(__xludf.DUMMYFUNCTION("""COMPUTED_VALUE"""),468.89)</f>
        <v>468.89</v>
      </c>
    </row>
    <row r="733" spans="1:4" ht="13.2" x14ac:dyDescent="0.25">
      <c r="A733" s="142">
        <v>44522.666666666664</v>
      </c>
      <c r="B733" s="146">
        <v>46.28</v>
      </c>
      <c r="C733" s="150">
        <f ca="1">IFERROR(__xludf.DUMMYFUNCTION("""COMPUTED_VALUE"""),60.11)</f>
        <v>60.11</v>
      </c>
      <c r="D733" s="150">
        <f ca="1">IFERROR(__xludf.DUMMYFUNCTION("""COMPUTED_VALUE"""),467.57)</f>
        <v>467.57</v>
      </c>
    </row>
    <row r="734" spans="1:4" ht="13.2" x14ac:dyDescent="0.25">
      <c r="A734" s="142">
        <v>44523.666666666664</v>
      </c>
      <c r="B734" s="146">
        <v>47.5</v>
      </c>
      <c r="C734" s="150">
        <f ca="1">IFERROR(__xludf.DUMMYFUNCTION("""COMPUTED_VALUE"""),60.25)</f>
        <v>60.25</v>
      </c>
      <c r="D734" s="150">
        <f ca="1">IFERROR(__xludf.DUMMYFUNCTION("""COMPUTED_VALUE"""),468.19)</f>
        <v>468.19</v>
      </c>
    </row>
    <row r="735" spans="1:4" ht="13.2" x14ac:dyDescent="0.25">
      <c r="A735" s="142">
        <v>44524.666666666664</v>
      </c>
      <c r="B735" s="146">
        <v>47.63</v>
      </c>
      <c r="C735" s="150">
        <f ca="1">IFERROR(__xludf.DUMMYFUNCTION("""COMPUTED_VALUE"""),60.39)</f>
        <v>60.39</v>
      </c>
      <c r="D735" s="150">
        <f ca="1">IFERROR(__xludf.DUMMYFUNCTION("""COMPUTED_VALUE"""),469.44)</f>
        <v>469.44</v>
      </c>
    </row>
    <row r="736" spans="1:4" ht="13.2" x14ac:dyDescent="0.25">
      <c r="A736" s="142">
        <v>44526.541666666664</v>
      </c>
      <c r="B736" s="146">
        <v>45.76</v>
      </c>
      <c r="C736" s="150">
        <f ca="1">IFERROR(__xludf.DUMMYFUNCTION("""COMPUTED_VALUE"""),60.07)</f>
        <v>60.07</v>
      </c>
      <c r="D736" s="150">
        <f ca="1">IFERROR(__xludf.DUMMYFUNCTION("""COMPUTED_VALUE"""),458.97)</f>
        <v>458.97</v>
      </c>
    </row>
    <row r="737" spans="1:4" ht="13.2" x14ac:dyDescent="0.25">
      <c r="A737" s="142">
        <v>44529.666666666664</v>
      </c>
      <c r="B737" s="146">
        <v>45.59</v>
      </c>
      <c r="C737" s="150">
        <f ca="1">IFERROR(__xludf.DUMMYFUNCTION("""COMPUTED_VALUE"""),56.7)</f>
        <v>56.7</v>
      </c>
      <c r="D737" s="150">
        <f ca="1">IFERROR(__xludf.DUMMYFUNCTION("""COMPUTED_VALUE"""),464.6)</f>
        <v>464.6</v>
      </c>
    </row>
    <row r="738" spans="1:4" ht="13.2" x14ac:dyDescent="0.25">
      <c r="A738" s="142">
        <v>44530.666666666664</v>
      </c>
      <c r="B738" s="146">
        <v>44.47</v>
      </c>
      <c r="C738" s="150">
        <f ca="1">IFERROR(__xludf.DUMMYFUNCTION("""COMPUTED_VALUE"""),57.38)</f>
        <v>57.38</v>
      </c>
      <c r="D738" s="150">
        <f ca="1">IFERROR(__xludf.DUMMYFUNCTION("""COMPUTED_VALUE"""),455.56)</f>
        <v>455.56</v>
      </c>
    </row>
    <row r="739" spans="1:4" ht="13.2" x14ac:dyDescent="0.25">
      <c r="A739" s="142">
        <v>44531.666666666664</v>
      </c>
      <c r="B739" s="146">
        <v>43.84</v>
      </c>
      <c r="C739" s="150">
        <f ca="1">IFERROR(__xludf.DUMMYFUNCTION("""COMPUTED_VALUE"""),56.73)</f>
        <v>56.73</v>
      </c>
      <c r="D739" s="150">
        <f ca="1">IFERROR(__xludf.DUMMYFUNCTION("""COMPUTED_VALUE"""),450.5)</f>
        <v>450.5</v>
      </c>
    </row>
    <row r="740" spans="1:4" ht="13.2" x14ac:dyDescent="0.25">
      <c r="A740" s="142">
        <v>44532.666666666664</v>
      </c>
      <c r="B740" s="146">
        <v>44.89</v>
      </c>
      <c r="C740" s="150">
        <f ca="1">IFERROR(__xludf.DUMMYFUNCTION("""COMPUTED_VALUE"""),57.25)</f>
        <v>57.25</v>
      </c>
      <c r="D740" s="150">
        <f ca="1">IFERROR(__xludf.DUMMYFUNCTION("""COMPUTED_VALUE"""),457.4)</f>
        <v>457.4</v>
      </c>
    </row>
    <row r="741" spans="1:4" ht="13.2" x14ac:dyDescent="0.25">
      <c r="A741" s="142">
        <v>44533.666666666664</v>
      </c>
      <c r="B741" s="146">
        <v>43.87</v>
      </c>
      <c r="C741" s="150">
        <f ca="1">IFERROR(__xludf.DUMMYFUNCTION("""COMPUTED_VALUE"""),56.31)</f>
        <v>56.31</v>
      </c>
      <c r="D741" s="150">
        <f ca="1">IFERROR(__xludf.DUMMYFUNCTION("""COMPUTED_VALUE"""),453.42)</f>
        <v>453.42</v>
      </c>
    </row>
    <row r="742" spans="1:4" ht="13.2" x14ac:dyDescent="0.25">
      <c r="A742" s="142">
        <v>44536.666666666664</v>
      </c>
      <c r="B742" s="146">
        <v>44.15</v>
      </c>
      <c r="C742" s="150">
        <f ca="1">IFERROR(__xludf.DUMMYFUNCTION("""COMPUTED_VALUE"""),56.16)</f>
        <v>56.16</v>
      </c>
      <c r="D742" s="150">
        <f ca="1">IFERROR(__xludf.DUMMYFUNCTION("""COMPUTED_VALUE"""),458.79)</f>
        <v>458.79</v>
      </c>
    </row>
    <row r="743" spans="1:4" ht="13.2" x14ac:dyDescent="0.25">
      <c r="A743" s="142">
        <v>44537.666666666664</v>
      </c>
      <c r="B743" s="146">
        <v>44.71</v>
      </c>
      <c r="C743" s="150">
        <f ca="1">IFERROR(__xludf.DUMMYFUNCTION("""COMPUTED_VALUE"""),56.05)</f>
        <v>56.05</v>
      </c>
      <c r="D743" s="150">
        <f ca="1">IFERROR(__xludf.DUMMYFUNCTION("""COMPUTED_VALUE"""),468.28)</f>
        <v>468.28</v>
      </c>
    </row>
    <row r="744" spans="1:4" ht="13.2" x14ac:dyDescent="0.25">
      <c r="A744" s="142">
        <v>44538.666666666664</v>
      </c>
      <c r="B744" s="146">
        <v>44.16</v>
      </c>
      <c r="C744" s="150">
        <f ca="1">IFERROR(__xludf.DUMMYFUNCTION("""COMPUTED_VALUE"""),55.95)</f>
        <v>55.95</v>
      </c>
      <c r="D744" s="150">
        <f ca="1">IFERROR(__xludf.DUMMYFUNCTION("""COMPUTED_VALUE"""),469.52)</f>
        <v>469.52</v>
      </c>
    </row>
    <row r="745" spans="1:4" ht="13.2" x14ac:dyDescent="0.25">
      <c r="A745" s="142">
        <v>44539.666666666664</v>
      </c>
      <c r="B745" s="146">
        <v>44.49</v>
      </c>
      <c r="C745" s="150">
        <f ca="1">IFERROR(__xludf.DUMMYFUNCTION("""COMPUTED_VALUE"""),55.24)</f>
        <v>55.24</v>
      </c>
      <c r="D745" s="150">
        <f ca="1">IFERROR(__xludf.DUMMYFUNCTION("""COMPUTED_VALUE"""),466.35)</f>
        <v>466.35</v>
      </c>
    </row>
    <row r="746" spans="1:4" ht="13.2" x14ac:dyDescent="0.25">
      <c r="A746" s="142">
        <v>44540.666666666664</v>
      </c>
      <c r="B746" s="146">
        <v>44.52</v>
      </c>
      <c r="C746" s="150">
        <f ca="1">IFERROR(__xludf.DUMMYFUNCTION("""COMPUTED_VALUE"""),54.68)</f>
        <v>54.68</v>
      </c>
      <c r="D746" s="150">
        <f ca="1">IFERROR(__xludf.DUMMYFUNCTION("""COMPUTED_VALUE"""),470.74)</f>
        <v>470.74</v>
      </c>
    </row>
    <row r="747" spans="1:4" ht="13.2" x14ac:dyDescent="0.25">
      <c r="A747" s="142">
        <v>44543.666666666664</v>
      </c>
      <c r="B747" s="146">
        <v>43.58</v>
      </c>
      <c r="C747" s="150">
        <f ca="1">IFERROR(__xludf.DUMMYFUNCTION("""COMPUTED_VALUE"""),53.65)</f>
        <v>53.65</v>
      </c>
      <c r="D747" s="150">
        <f ca="1">IFERROR(__xludf.DUMMYFUNCTION("""COMPUTED_VALUE"""),466.57)</f>
        <v>466.57</v>
      </c>
    </row>
    <row r="748" spans="1:4" ht="13.2" x14ac:dyDescent="0.25">
      <c r="A748" s="142">
        <v>44544.666666666664</v>
      </c>
      <c r="B748" s="146">
        <v>44.13</v>
      </c>
      <c r="C748" s="150">
        <f ca="1">IFERROR(__xludf.DUMMYFUNCTION("""COMPUTED_VALUE"""),52.95)</f>
        <v>52.95</v>
      </c>
      <c r="D748" s="150">
        <f ca="1">IFERROR(__xludf.DUMMYFUNCTION("""COMPUTED_VALUE"""),463.36)</f>
        <v>463.36</v>
      </c>
    </row>
    <row r="749" spans="1:4" ht="13.2" x14ac:dyDescent="0.25">
      <c r="A749" s="142">
        <v>44545.666666666664</v>
      </c>
      <c r="B749" s="146">
        <v>43.94</v>
      </c>
      <c r="C749" s="150">
        <f ca="1">IFERROR(__xludf.DUMMYFUNCTION("""COMPUTED_VALUE"""),53.79)</f>
        <v>53.79</v>
      </c>
      <c r="D749" s="150">
        <f ca="1">IFERROR(__xludf.DUMMYFUNCTION("""COMPUTED_VALUE"""),470.6)</f>
        <v>470.6</v>
      </c>
    </row>
    <row r="750" spans="1:4" ht="13.2" x14ac:dyDescent="0.25">
      <c r="A750" s="142">
        <v>44546.666666666664</v>
      </c>
      <c r="B750" s="146">
        <v>45</v>
      </c>
      <c r="C750" s="150">
        <f ca="1">IFERROR(__xludf.DUMMYFUNCTION("""COMPUTED_VALUE"""),53.18)</f>
        <v>53.18</v>
      </c>
      <c r="D750" s="150">
        <f ca="1">IFERROR(__xludf.DUMMYFUNCTION("""COMPUTED_VALUE"""),466.45)</f>
        <v>466.45</v>
      </c>
    </row>
    <row r="751" spans="1:4" ht="13.2" x14ac:dyDescent="0.25">
      <c r="A751" s="142">
        <v>44547.666666666664</v>
      </c>
      <c r="B751" s="146">
        <v>43.88</v>
      </c>
      <c r="C751" s="150">
        <f ca="1">IFERROR(__xludf.DUMMYFUNCTION("""COMPUTED_VALUE"""),54.62)</f>
        <v>54.62</v>
      </c>
      <c r="D751" s="150">
        <f ca="1">IFERROR(__xludf.DUMMYFUNCTION("""COMPUTED_VALUE"""),459.87)</f>
        <v>459.87</v>
      </c>
    </row>
    <row r="752" spans="1:4" ht="13.2" x14ac:dyDescent="0.25">
      <c r="A752" s="142">
        <v>44550.666666666664</v>
      </c>
      <c r="B752" s="146">
        <v>43.16</v>
      </c>
      <c r="C752" s="150">
        <f ca="1">IFERROR(__xludf.DUMMYFUNCTION("""COMPUTED_VALUE"""),53.03)</f>
        <v>53.03</v>
      </c>
      <c r="D752" s="150">
        <f ca="1">IFERROR(__xludf.DUMMYFUNCTION("""COMPUTED_VALUE"""),454.98)</f>
        <v>454.98</v>
      </c>
    </row>
    <row r="753" spans="1:4" ht="13.2" x14ac:dyDescent="0.25">
      <c r="A753" s="142">
        <v>44551.666666666664</v>
      </c>
      <c r="B753" s="146">
        <v>44.19</v>
      </c>
      <c r="C753" s="150">
        <f ca="1">IFERROR(__xludf.DUMMYFUNCTION("""COMPUTED_VALUE"""),51.23)</f>
        <v>51.23</v>
      </c>
      <c r="D753" s="150">
        <f ca="1">IFERROR(__xludf.DUMMYFUNCTION("""COMPUTED_VALUE"""),463.06)</f>
        <v>463.06</v>
      </c>
    </row>
    <row r="754" spans="1:4" ht="13.2" x14ac:dyDescent="0.25">
      <c r="A754" s="142">
        <v>44552.666666666664</v>
      </c>
      <c r="B754" s="146">
        <v>44.28</v>
      </c>
      <c r="C754" s="150">
        <f ca="1">IFERROR(__xludf.DUMMYFUNCTION("""COMPUTED_VALUE"""),52.71)</f>
        <v>52.71</v>
      </c>
      <c r="D754" s="150">
        <f ca="1">IFERROR(__xludf.DUMMYFUNCTION("""COMPUTED_VALUE"""),467.69)</f>
        <v>467.69</v>
      </c>
    </row>
    <row r="755" spans="1:4" ht="13.2" x14ac:dyDescent="0.25">
      <c r="A755" s="142">
        <v>44553.666666666664</v>
      </c>
      <c r="B755" s="146">
        <v>44.42</v>
      </c>
      <c r="C755" s="150">
        <f ca="1">IFERROR(__xludf.DUMMYFUNCTION("""COMPUTED_VALUE"""),52.62)</f>
        <v>52.62</v>
      </c>
      <c r="D755" s="150">
        <f ca="1">IFERROR(__xludf.DUMMYFUNCTION("""COMPUTED_VALUE"""),470.6)</f>
        <v>470.6</v>
      </c>
    </row>
    <row r="756" spans="1:4" ht="13.2" x14ac:dyDescent="0.25">
      <c r="A756" s="142">
        <v>44557.666666666664</v>
      </c>
      <c r="B756" s="146">
        <v>44.64</v>
      </c>
      <c r="C756" s="150">
        <f ca="1">IFERROR(__xludf.DUMMYFUNCTION("""COMPUTED_VALUE"""),53.17)</f>
        <v>53.17</v>
      </c>
      <c r="D756" s="150">
        <f ca="1">IFERROR(__xludf.DUMMYFUNCTION("""COMPUTED_VALUE"""),477.26)</f>
        <v>477.26</v>
      </c>
    </row>
    <row r="757" spans="1:4" ht="13.2" x14ac:dyDescent="0.25">
      <c r="A757" s="142">
        <v>44558.666666666664</v>
      </c>
      <c r="B757" s="146">
        <v>44.7</v>
      </c>
      <c r="C757" s="150">
        <f ca="1">IFERROR(__xludf.DUMMYFUNCTION("""COMPUTED_VALUE"""),53.64)</f>
        <v>53.64</v>
      </c>
      <c r="D757" s="150">
        <f ca="1">IFERROR(__xludf.DUMMYFUNCTION("""COMPUTED_VALUE"""),476.87)</f>
        <v>476.87</v>
      </c>
    </row>
    <row r="758" spans="1:4" ht="13.2" x14ac:dyDescent="0.25">
      <c r="A758" s="142">
        <v>44559.666666666664</v>
      </c>
      <c r="B758" s="146">
        <v>44.63</v>
      </c>
      <c r="C758" s="150">
        <f ca="1">IFERROR(__xludf.DUMMYFUNCTION("""COMPUTED_VALUE"""),53.74)</f>
        <v>53.74</v>
      </c>
      <c r="D758" s="150">
        <f ca="1">IFERROR(__xludf.DUMMYFUNCTION("""COMPUTED_VALUE"""),477.48)</f>
        <v>477.48</v>
      </c>
    </row>
    <row r="759" spans="1:4" ht="13.2" x14ac:dyDescent="0.25">
      <c r="A759" s="142">
        <v>44560.666666666664</v>
      </c>
      <c r="B759" s="146">
        <v>44.53</v>
      </c>
      <c r="C759" s="150">
        <f ca="1">IFERROR(__xludf.DUMMYFUNCTION("""COMPUTED_VALUE"""),53.3)</f>
        <v>53.3</v>
      </c>
      <c r="D759" s="150">
        <f ca="1">IFERROR(__xludf.DUMMYFUNCTION("""COMPUTED_VALUE"""),476.16)</f>
        <v>476.16</v>
      </c>
    </row>
    <row r="760" spans="1:4" ht="13.2" x14ac:dyDescent="0.25">
      <c r="A760" s="142">
        <v>44561.666666666664</v>
      </c>
      <c r="B760" s="146">
        <v>44.49</v>
      </c>
      <c r="C760" s="150">
        <f ca="1">IFERROR(__xludf.DUMMYFUNCTION("""COMPUTED_VALUE"""),53.46)</f>
        <v>53.46</v>
      </c>
      <c r="D760" s="150">
        <f ca="1">IFERROR(__xludf.DUMMYFUNCTION("""COMPUTED_VALUE"""),474.96)</f>
        <v>474.96</v>
      </c>
    </row>
    <row r="761" spans="1:4" ht="13.2" x14ac:dyDescent="0.25">
      <c r="A761" s="142">
        <v>44564.666666666664</v>
      </c>
      <c r="B761" s="146">
        <v>46.18</v>
      </c>
      <c r="C761" s="150">
        <f ca="1">IFERROR(__xludf.DUMMYFUNCTION("""COMPUTED_VALUE"""),55.66)</f>
        <v>55.66</v>
      </c>
      <c r="D761" s="150">
        <f ca="1">IFERROR(__xludf.DUMMYFUNCTION("""COMPUTED_VALUE"""),477.71)</f>
        <v>477.71</v>
      </c>
    </row>
    <row r="762" spans="1:4" ht="13.2" x14ac:dyDescent="0.25">
      <c r="A762" s="142">
        <v>44565.666666666664</v>
      </c>
      <c r="B762" s="146">
        <v>47.99</v>
      </c>
      <c r="C762" s="150">
        <f ca="1">IFERROR(__xludf.DUMMYFUNCTION("""COMPUTED_VALUE"""),56.44)</f>
        <v>56.44</v>
      </c>
      <c r="D762" s="150">
        <f ca="1">IFERROR(__xludf.DUMMYFUNCTION("""COMPUTED_VALUE"""),477.55)</f>
        <v>477.55</v>
      </c>
    </row>
    <row r="763" spans="1:4" ht="13.2" x14ac:dyDescent="0.25">
      <c r="A763" s="142">
        <v>44566.666666666664</v>
      </c>
      <c r="B763" s="146">
        <v>47.18</v>
      </c>
      <c r="C763" s="150">
        <f ca="1">IFERROR(__xludf.DUMMYFUNCTION("""COMPUTED_VALUE"""),56.44)</f>
        <v>56.44</v>
      </c>
      <c r="D763" s="150">
        <f ca="1">IFERROR(__xludf.DUMMYFUNCTION("""COMPUTED_VALUE"""),468.38)</f>
        <v>468.38</v>
      </c>
    </row>
    <row r="764" spans="1:4" ht="13.2" x14ac:dyDescent="0.25">
      <c r="A764" s="142">
        <v>44567.666666666664</v>
      </c>
      <c r="B764" s="146">
        <v>48.13</v>
      </c>
      <c r="C764" s="150">
        <f ca="1">IFERROR(__xludf.DUMMYFUNCTION("""COMPUTED_VALUE"""),57.25)</f>
        <v>57.25</v>
      </c>
      <c r="D764" s="150">
        <f ca="1">IFERROR(__xludf.DUMMYFUNCTION("""COMPUTED_VALUE"""),467.94)</f>
        <v>467.94</v>
      </c>
    </row>
    <row r="765" spans="1:4" ht="13.2" x14ac:dyDescent="0.25">
      <c r="A765" s="142">
        <v>44568.666666666664</v>
      </c>
      <c r="B765" s="146">
        <v>49.18</v>
      </c>
      <c r="C765" s="150">
        <f ca="1">IFERROR(__xludf.DUMMYFUNCTION("""COMPUTED_VALUE"""),58.53)</f>
        <v>58.53</v>
      </c>
      <c r="D765" s="150">
        <f ca="1">IFERROR(__xludf.DUMMYFUNCTION("""COMPUTED_VALUE"""),466.09)</f>
        <v>466.09</v>
      </c>
    </row>
    <row r="766" spans="1:4" ht="13.2" x14ac:dyDescent="0.25">
      <c r="A766" s="142">
        <v>44571.666666666664</v>
      </c>
      <c r="B766" s="146">
        <v>48.93</v>
      </c>
      <c r="C766" s="150">
        <f ca="1">IFERROR(__xludf.DUMMYFUNCTION("""COMPUTED_VALUE"""),58.18)</f>
        <v>58.18</v>
      </c>
      <c r="D766" s="150">
        <f ca="1">IFERROR(__xludf.DUMMYFUNCTION("""COMPUTED_VALUE"""),465.51)</f>
        <v>465.51</v>
      </c>
    </row>
    <row r="767" spans="1:4" ht="13.2" x14ac:dyDescent="0.25">
      <c r="A767" s="142">
        <v>44572.666666666664</v>
      </c>
      <c r="B767" s="146">
        <v>49.21</v>
      </c>
      <c r="C767" s="150">
        <f ca="1">IFERROR(__xludf.DUMMYFUNCTION("""COMPUTED_VALUE"""),58.65)</f>
        <v>58.65</v>
      </c>
      <c r="D767" s="150">
        <f ca="1">IFERROR(__xludf.DUMMYFUNCTION("""COMPUTED_VALUE"""),469.75)</f>
        <v>469.75</v>
      </c>
    </row>
    <row r="768" spans="1:4" ht="13.2" x14ac:dyDescent="0.25">
      <c r="A768" s="142">
        <v>44573.666666666664</v>
      </c>
      <c r="B768" s="146">
        <v>48.86</v>
      </c>
      <c r="C768" s="150">
        <f ca="1">IFERROR(__xludf.DUMMYFUNCTION("""COMPUTED_VALUE"""),58.93)</f>
        <v>58.93</v>
      </c>
      <c r="D768" s="150">
        <f ca="1">IFERROR(__xludf.DUMMYFUNCTION("""COMPUTED_VALUE"""),471.02)</f>
        <v>471.02</v>
      </c>
    </row>
    <row r="769" spans="1:4" ht="13.2" x14ac:dyDescent="0.25">
      <c r="A769" s="142">
        <v>44574.666666666664</v>
      </c>
      <c r="B769" s="146">
        <v>48.76</v>
      </c>
      <c r="C769" s="150">
        <f ca="1">IFERROR(__xludf.DUMMYFUNCTION("""COMPUTED_VALUE"""),58.98)</f>
        <v>58.98</v>
      </c>
      <c r="D769" s="150">
        <f ca="1">IFERROR(__xludf.DUMMYFUNCTION("""COMPUTED_VALUE"""),464.53)</f>
        <v>464.53</v>
      </c>
    </row>
    <row r="770" spans="1:4" ht="13.2" x14ac:dyDescent="0.25">
      <c r="A770" s="142">
        <v>44575.666666666664</v>
      </c>
      <c r="B770" s="146">
        <v>47.91</v>
      </c>
      <c r="C770" s="150">
        <f ca="1">IFERROR(__xludf.DUMMYFUNCTION("""COMPUTED_VALUE"""),57.71)</f>
        <v>57.71</v>
      </c>
      <c r="D770" s="150">
        <f ca="1">IFERROR(__xludf.DUMMYFUNCTION("""COMPUTED_VALUE"""),464.72)</f>
        <v>464.72</v>
      </c>
    </row>
    <row r="771" spans="1:4" ht="13.2" x14ac:dyDescent="0.25">
      <c r="A771" s="142">
        <v>44579.666666666664</v>
      </c>
      <c r="B771" s="146">
        <v>46.26</v>
      </c>
      <c r="C771" s="150">
        <f ca="1">IFERROR(__xludf.DUMMYFUNCTION("""COMPUTED_VALUE"""),58.76)</f>
        <v>58.76</v>
      </c>
      <c r="D771" s="150">
        <f ca="1">IFERROR(__xludf.DUMMYFUNCTION("""COMPUTED_VALUE"""),456.49)</f>
        <v>456.49</v>
      </c>
    </row>
    <row r="772" spans="1:4" ht="13.2" x14ac:dyDescent="0.25">
      <c r="A772" s="142">
        <v>44580.666666666664</v>
      </c>
      <c r="B772" s="146">
        <v>46.44</v>
      </c>
      <c r="C772" s="150">
        <f ca="1">IFERROR(__xludf.DUMMYFUNCTION("""COMPUTED_VALUE"""),57.94)</f>
        <v>57.94</v>
      </c>
      <c r="D772" s="150">
        <f ca="1">IFERROR(__xludf.DUMMYFUNCTION("""COMPUTED_VALUE"""),451.75)</f>
        <v>451.75</v>
      </c>
    </row>
    <row r="773" spans="1:4" ht="13.2" x14ac:dyDescent="0.25">
      <c r="A773" s="142">
        <v>44581.666666666664</v>
      </c>
      <c r="B773" s="146">
        <v>45.75</v>
      </c>
      <c r="C773" s="150">
        <f ca="1">IFERROR(__xludf.DUMMYFUNCTION("""COMPUTED_VALUE"""),57)</f>
        <v>57</v>
      </c>
      <c r="D773" s="150">
        <f ca="1">IFERROR(__xludf.DUMMYFUNCTION("""COMPUTED_VALUE"""),446.75)</f>
        <v>446.75</v>
      </c>
    </row>
    <row r="774" spans="1:4" ht="13.2" x14ac:dyDescent="0.25">
      <c r="A774" s="142">
        <v>44582.666666666664</v>
      </c>
      <c r="B774" s="146">
        <v>44.92</v>
      </c>
      <c r="C774" s="150">
        <f ca="1">IFERROR(__xludf.DUMMYFUNCTION("""COMPUTED_VALUE"""),57.52)</f>
        <v>57.52</v>
      </c>
      <c r="D774" s="150">
        <f ca="1">IFERROR(__xludf.DUMMYFUNCTION("""COMPUTED_VALUE"""),437.98)</f>
        <v>437.98</v>
      </c>
    </row>
    <row r="775" spans="1:4" ht="13.2" x14ac:dyDescent="0.25">
      <c r="A775" s="142">
        <v>44585.666666666664</v>
      </c>
      <c r="B775" s="146">
        <v>44.55</v>
      </c>
      <c r="C775" s="150">
        <f ca="1">IFERROR(__xludf.DUMMYFUNCTION("""COMPUTED_VALUE"""),56.58)</f>
        <v>56.58</v>
      </c>
      <c r="D775" s="150">
        <f ca="1">IFERROR(__xludf.DUMMYFUNCTION("""COMPUTED_VALUE"""),439.84)</f>
        <v>439.84</v>
      </c>
    </row>
    <row r="776" spans="1:4" ht="13.2" x14ac:dyDescent="0.25">
      <c r="A776" s="142">
        <v>44586.666666666664</v>
      </c>
      <c r="B776" s="146">
        <v>45.43</v>
      </c>
      <c r="C776" s="150">
        <f ca="1">IFERROR(__xludf.DUMMYFUNCTION("""COMPUTED_VALUE"""),54.02)</f>
        <v>54.02</v>
      </c>
      <c r="D776" s="150">
        <f ca="1">IFERROR(__xludf.DUMMYFUNCTION("""COMPUTED_VALUE"""),434.47)</f>
        <v>434.47</v>
      </c>
    </row>
    <row r="777" spans="1:4" ht="13.2" x14ac:dyDescent="0.25">
      <c r="A777" s="142">
        <v>44587.666666666664</v>
      </c>
      <c r="B777" s="146">
        <v>45.9</v>
      </c>
      <c r="C777" s="150">
        <f ca="1">IFERROR(__xludf.DUMMYFUNCTION("""COMPUTED_VALUE"""),55.75)</f>
        <v>55.75</v>
      </c>
      <c r="D777" s="150">
        <f ca="1">IFERROR(__xludf.DUMMYFUNCTION("""COMPUTED_VALUE"""),433.38)</f>
        <v>433.38</v>
      </c>
    </row>
    <row r="778" spans="1:4" ht="13.2" x14ac:dyDescent="0.25">
      <c r="A778" s="142">
        <v>44588.666666666664</v>
      </c>
      <c r="B778" s="146">
        <v>45.47</v>
      </c>
      <c r="C778" s="150">
        <f ca="1">IFERROR(__xludf.DUMMYFUNCTION("""COMPUTED_VALUE"""),58.02)</f>
        <v>58.02</v>
      </c>
      <c r="D778" s="150">
        <f ca="1">IFERROR(__xludf.DUMMYFUNCTION("""COMPUTED_VALUE"""),431.24)</f>
        <v>431.24</v>
      </c>
    </row>
    <row r="779" spans="1:4" ht="13.2" x14ac:dyDescent="0.25">
      <c r="A779" s="142">
        <v>44589.666666666664</v>
      </c>
      <c r="B779" s="146">
        <v>45.87</v>
      </c>
      <c r="C779" s="150">
        <f ca="1">IFERROR(__xludf.DUMMYFUNCTION("""COMPUTED_VALUE"""),58.34)</f>
        <v>58.34</v>
      </c>
      <c r="D779" s="150">
        <f ca="1">IFERROR(__xludf.DUMMYFUNCTION("""COMPUTED_VALUE"""),441.95)</f>
        <v>441.95</v>
      </c>
    </row>
    <row r="780" spans="1:4" ht="13.2" x14ac:dyDescent="0.25">
      <c r="A780" s="142">
        <v>44592.666666666664</v>
      </c>
      <c r="B780" s="146">
        <v>46.14</v>
      </c>
      <c r="C780" s="150">
        <f ca="1">IFERROR(__xludf.DUMMYFUNCTION("""COMPUTED_VALUE"""),57.18)</f>
        <v>57.18</v>
      </c>
      <c r="D780" s="150">
        <f ca="1">IFERROR(__xludf.DUMMYFUNCTION("""COMPUTED_VALUE"""),449.91)</f>
        <v>449.91</v>
      </c>
    </row>
    <row r="781" spans="1:4" ht="13.2" x14ac:dyDescent="0.25">
      <c r="A781" s="142">
        <v>44593.666666666664</v>
      </c>
      <c r="B781" s="146">
        <v>46.94</v>
      </c>
      <c r="C781" s="150">
        <f ca="1">IFERROR(__xludf.DUMMYFUNCTION("""COMPUTED_VALUE"""),57.34)</f>
        <v>57.34</v>
      </c>
      <c r="D781" s="150">
        <f ca="1">IFERROR(__xludf.DUMMYFUNCTION("""COMPUTED_VALUE"""),452.95)</f>
        <v>452.95</v>
      </c>
    </row>
    <row r="782" spans="1:4" ht="13.2" x14ac:dyDescent="0.25">
      <c r="A782" s="142">
        <v>44594.666666666664</v>
      </c>
      <c r="B782" s="146">
        <v>46.89</v>
      </c>
      <c r="C782" s="150">
        <f ca="1">IFERROR(__xludf.DUMMYFUNCTION("""COMPUTED_VALUE"""),58.59)</f>
        <v>58.59</v>
      </c>
      <c r="D782" s="150">
        <f ca="1">IFERROR(__xludf.DUMMYFUNCTION("""COMPUTED_VALUE"""),457.35)</f>
        <v>457.35</v>
      </c>
    </row>
    <row r="783" spans="1:4" ht="13.2" x14ac:dyDescent="0.25">
      <c r="A783" s="142">
        <v>44595.666666666664</v>
      </c>
      <c r="B783" s="146">
        <v>46.43</v>
      </c>
      <c r="C783" s="150">
        <f ca="1">IFERROR(__xludf.DUMMYFUNCTION("""COMPUTED_VALUE"""),58.07)</f>
        <v>58.07</v>
      </c>
      <c r="D783" s="150">
        <f ca="1">IFERROR(__xludf.DUMMYFUNCTION("""COMPUTED_VALUE"""),446.6)</f>
        <v>446.6</v>
      </c>
    </row>
    <row r="784" spans="1:4" ht="13.2" x14ac:dyDescent="0.25">
      <c r="A784" s="142">
        <v>44596.666666666664</v>
      </c>
      <c r="B784" s="146">
        <v>48.28</v>
      </c>
      <c r="C784" s="150">
        <f ca="1">IFERROR(__xludf.DUMMYFUNCTION("""COMPUTED_VALUE"""),57.77)</f>
        <v>57.77</v>
      </c>
      <c r="D784" s="150">
        <f ca="1">IFERROR(__xludf.DUMMYFUNCTION("""COMPUTED_VALUE"""),448.7)</f>
        <v>448.7</v>
      </c>
    </row>
    <row r="785" spans="1:4" ht="13.2" x14ac:dyDescent="0.25">
      <c r="A785" s="142">
        <v>44599.666666666664</v>
      </c>
      <c r="B785" s="146">
        <v>48.51</v>
      </c>
      <c r="C785" s="150">
        <f ca="1">IFERROR(__xludf.DUMMYFUNCTION("""COMPUTED_VALUE"""),56.97)</f>
        <v>56.97</v>
      </c>
      <c r="D785" s="150">
        <f ca="1">IFERROR(__xludf.DUMMYFUNCTION("""COMPUTED_VALUE"""),447.26)</f>
        <v>447.26</v>
      </c>
    </row>
    <row r="786" spans="1:4" ht="13.2" x14ac:dyDescent="0.25">
      <c r="A786" s="142">
        <v>44600.666666666664</v>
      </c>
      <c r="B786" s="146">
        <v>49.38</v>
      </c>
      <c r="C786" s="150">
        <f ca="1">IFERROR(__xludf.DUMMYFUNCTION("""COMPUTED_VALUE"""),57.7)</f>
        <v>57.7</v>
      </c>
      <c r="D786" s="150">
        <f ca="1">IFERROR(__xludf.DUMMYFUNCTION("""COMPUTED_VALUE"""),450.94)</f>
        <v>450.94</v>
      </c>
    </row>
    <row r="787" spans="1:4" ht="13.2" x14ac:dyDescent="0.25">
      <c r="A787" s="142">
        <v>44601.666666666664</v>
      </c>
      <c r="B787" s="146">
        <v>49.28</v>
      </c>
      <c r="C787" s="150">
        <f ca="1">IFERROR(__xludf.DUMMYFUNCTION("""COMPUTED_VALUE"""),58.68)</f>
        <v>58.68</v>
      </c>
      <c r="D787" s="150">
        <f ca="1">IFERROR(__xludf.DUMMYFUNCTION("""COMPUTED_VALUE"""),457.54)</f>
        <v>457.54</v>
      </c>
    </row>
    <row r="788" spans="1:4" ht="13.2" x14ac:dyDescent="0.25">
      <c r="A788" s="142">
        <v>44602.666666666664</v>
      </c>
      <c r="B788" s="146">
        <v>49.05</v>
      </c>
      <c r="C788" s="150">
        <f ca="1">IFERROR(__xludf.DUMMYFUNCTION("""COMPUTED_VALUE"""),59.2)</f>
        <v>59.2</v>
      </c>
      <c r="D788" s="150">
        <f ca="1">IFERROR(__xludf.DUMMYFUNCTION("""COMPUTED_VALUE"""),449.32)</f>
        <v>449.32</v>
      </c>
    </row>
    <row r="789" spans="1:4" ht="13.2" x14ac:dyDescent="0.25">
      <c r="A789" s="142">
        <v>44603.666666666664</v>
      </c>
      <c r="B789" s="146">
        <v>47.92</v>
      </c>
      <c r="C789" s="150">
        <f ca="1">IFERROR(__xludf.DUMMYFUNCTION("""COMPUTED_VALUE"""),59.25)</f>
        <v>59.25</v>
      </c>
      <c r="D789" s="150">
        <f ca="1">IFERROR(__xludf.DUMMYFUNCTION("""COMPUTED_VALUE"""),440.46)</f>
        <v>440.46</v>
      </c>
    </row>
    <row r="790" spans="1:4" ht="13.2" x14ac:dyDescent="0.25">
      <c r="A790" s="142">
        <v>44606.666666666664</v>
      </c>
      <c r="B790" s="146">
        <v>47.42</v>
      </c>
      <c r="C790" s="150">
        <f ca="1">IFERROR(__xludf.DUMMYFUNCTION("""COMPUTED_VALUE"""),60.52)</f>
        <v>60.52</v>
      </c>
      <c r="D790" s="150">
        <f ca="1">IFERROR(__xludf.DUMMYFUNCTION("""COMPUTED_VALUE"""),439.02)</f>
        <v>439.02</v>
      </c>
    </row>
    <row r="791" spans="1:4" ht="13.2" x14ac:dyDescent="0.25">
      <c r="A791" s="142">
        <v>44607.666666666664</v>
      </c>
      <c r="B791" s="146">
        <v>47.79</v>
      </c>
      <c r="C791" s="150">
        <f ca="1">IFERROR(__xludf.DUMMYFUNCTION("""COMPUTED_VALUE"""),58.62)</f>
        <v>58.62</v>
      </c>
      <c r="D791" s="150">
        <f ca="1">IFERROR(__xludf.DUMMYFUNCTION("""COMPUTED_VALUE"""),446.1)</f>
        <v>446.1</v>
      </c>
    </row>
    <row r="792" spans="1:4" ht="13.2" x14ac:dyDescent="0.25">
      <c r="A792" s="142">
        <v>44608.666666666664</v>
      </c>
      <c r="B792" s="146">
        <v>47.68</v>
      </c>
      <c r="C792" s="150">
        <f ca="1">IFERROR(__xludf.DUMMYFUNCTION("""COMPUTED_VALUE"""),59.02)</f>
        <v>59.02</v>
      </c>
      <c r="D792" s="150">
        <f ca="1">IFERROR(__xludf.DUMMYFUNCTION("""COMPUTED_VALUE"""),446.6)</f>
        <v>446.6</v>
      </c>
    </row>
    <row r="793" spans="1:4" ht="13.2" x14ac:dyDescent="0.25">
      <c r="A793" s="142">
        <v>44609.666666666664</v>
      </c>
      <c r="B793" s="146">
        <v>46.07</v>
      </c>
      <c r="C793" s="150">
        <f ca="1">IFERROR(__xludf.DUMMYFUNCTION("""COMPUTED_VALUE"""),58.81)</f>
        <v>58.81</v>
      </c>
      <c r="D793" s="150">
        <f ca="1">IFERROR(__xludf.DUMMYFUNCTION("""COMPUTED_VALUE"""),437.06)</f>
        <v>437.06</v>
      </c>
    </row>
    <row r="794" spans="1:4" ht="13.2" x14ac:dyDescent="0.25">
      <c r="A794" s="142">
        <v>44610.666666666664</v>
      </c>
      <c r="B794" s="146">
        <v>45.96</v>
      </c>
      <c r="C794" s="150">
        <f ca="1">IFERROR(__xludf.DUMMYFUNCTION("""COMPUTED_VALUE"""),57.7)</f>
        <v>57.7</v>
      </c>
      <c r="D794" s="150">
        <f ca="1">IFERROR(__xludf.DUMMYFUNCTION("""COMPUTED_VALUE"""),434.23)</f>
        <v>434.23</v>
      </c>
    </row>
    <row r="795" spans="1:4" ht="13.2" x14ac:dyDescent="0.25">
      <c r="A795" s="142">
        <v>44614.666666666664</v>
      </c>
      <c r="B795" s="146">
        <v>45.56</v>
      </c>
      <c r="C795" s="150">
        <f ca="1">IFERROR(__xludf.DUMMYFUNCTION("""COMPUTED_VALUE"""),56.57)</f>
        <v>56.57</v>
      </c>
      <c r="D795" s="150">
        <f ca="1">IFERROR(__xludf.DUMMYFUNCTION("""COMPUTED_VALUE"""),429.57)</f>
        <v>429.57</v>
      </c>
    </row>
    <row r="796" spans="1:4" ht="13.2" x14ac:dyDescent="0.25">
      <c r="A796" s="142">
        <v>44615.666666666664</v>
      </c>
      <c r="B796" s="146">
        <v>44.78</v>
      </c>
      <c r="C796" s="150">
        <f ca="1">IFERROR(__xludf.DUMMYFUNCTION("""COMPUTED_VALUE"""),56.36)</f>
        <v>56.36</v>
      </c>
      <c r="D796" s="150">
        <f ca="1">IFERROR(__xludf.DUMMYFUNCTION("""COMPUTED_VALUE"""),421.95)</f>
        <v>421.95</v>
      </c>
    </row>
    <row r="797" spans="1:4" ht="13.2" x14ac:dyDescent="0.25">
      <c r="A797" s="142">
        <v>44616.666666666664</v>
      </c>
      <c r="B797" s="146">
        <v>43.6</v>
      </c>
      <c r="C797" s="150">
        <f ca="1">IFERROR(__xludf.DUMMYFUNCTION("""COMPUTED_VALUE"""),56.34)</f>
        <v>56.34</v>
      </c>
      <c r="D797" s="150">
        <f ca="1">IFERROR(__xludf.DUMMYFUNCTION("""COMPUTED_VALUE"""),428.3)</f>
        <v>428.3</v>
      </c>
    </row>
    <row r="798" spans="1:4" ht="13.2" x14ac:dyDescent="0.25">
      <c r="A798" s="142">
        <v>44617.666666666664</v>
      </c>
      <c r="B798" s="146">
        <v>45.02</v>
      </c>
      <c r="C798" s="150">
        <f ca="1">IFERROR(__xludf.DUMMYFUNCTION("""COMPUTED_VALUE"""),54.17)</f>
        <v>54.17</v>
      </c>
      <c r="D798" s="150">
        <f ca="1">IFERROR(__xludf.DUMMYFUNCTION("""COMPUTED_VALUE"""),437.75)</f>
        <v>437.75</v>
      </c>
    </row>
    <row r="799" spans="1:4" ht="13.2" x14ac:dyDescent="0.25">
      <c r="A799" s="142">
        <v>44620.666666666664</v>
      </c>
      <c r="B799" s="146">
        <v>44.2</v>
      </c>
      <c r="C799" s="150">
        <f ca="1">IFERROR(__xludf.DUMMYFUNCTION("""COMPUTED_VALUE"""),55.45)</f>
        <v>55.45</v>
      </c>
      <c r="D799" s="150">
        <f ca="1">IFERROR(__xludf.DUMMYFUNCTION("""COMPUTED_VALUE"""),436.63)</f>
        <v>436.63</v>
      </c>
    </row>
    <row r="800" spans="1:4" ht="13.2" x14ac:dyDescent="0.25">
      <c r="A800" s="142">
        <v>44621.666666666664</v>
      </c>
      <c r="B800" s="146">
        <v>42.47</v>
      </c>
      <c r="C800" s="150">
        <f ca="1">IFERROR(__xludf.DUMMYFUNCTION("""COMPUTED_VALUE"""),53.43)</f>
        <v>53.43</v>
      </c>
      <c r="D800" s="150">
        <f ca="1">IFERROR(__xludf.DUMMYFUNCTION("""COMPUTED_VALUE"""),429.98)</f>
        <v>429.98</v>
      </c>
    </row>
    <row r="801" spans="1:4" ht="13.2" x14ac:dyDescent="0.25">
      <c r="A801" s="142">
        <v>44622.666666666664</v>
      </c>
      <c r="B801" s="146">
        <v>43.16</v>
      </c>
      <c r="C801" s="150">
        <f ca="1">IFERROR(__xludf.DUMMYFUNCTION("""COMPUTED_VALUE"""),52.3)</f>
        <v>52.3</v>
      </c>
      <c r="D801" s="150">
        <f ca="1">IFERROR(__xludf.DUMMYFUNCTION("""COMPUTED_VALUE"""),437.89)</f>
        <v>437.89</v>
      </c>
    </row>
    <row r="802" spans="1:4" ht="13.2" x14ac:dyDescent="0.25">
      <c r="A802" s="142">
        <v>44623.666666666664</v>
      </c>
      <c r="B802" s="146">
        <v>42.49</v>
      </c>
      <c r="C802" s="150">
        <f ca="1">IFERROR(__xludf.DUMMYFUNCTION("""COMPUTED_VALUE"""),52.88)</f>
        <v>52.88</v>
      </c>
      <c r="D802" s="150">
        <f ca="1">IFERROR(__xludf.DUMMYFUNCTION("""COMPUTED_VALUE"""),435.71)</f>
        <v>435.71</v>
      </c>
    </row>
    <row r="803" spans="1:4" ht="13.2" x14ac:dyDescent="0.25">
      <c r="A803" s="142">
        <v>44624.666666666664</v>
      </c>
      <c r="B803" s="146">
        <v>40.950000000000003</v>
      </c>
      <c r="C803" s="150">
        <f ca="1">IFERROR(__xludf.DUMMYFUNCTION("""COMPUTED_VALUE"""),51.87)</f>
        <v>51.87</v>
      </c>
      <c r="D803" s="150">
        <f ca="1">IFERROR(__xludf.DUMMYFUNCTION("""COMPUTED_VALUE"""),432.17)</f>
        <v>432.17</v>
      </c>
    </row>
    <row r="804" spans="1:4" ht="13.2" x14ac:dyDescent="0.25">
      <c r="A804" s="142">
        <v>44627.666666666664</v>
      </c>
      <c r="B804" s="146">
        <v>38.340000000000003</v>
      </c>
      <c r="C804" s="150">
        <f ca="1">IFERROR(__xludf.DUMMYFUNCTION("""COMPUTED_VALUE"""),51.35)</f>
        <v>51.35</v>
      </c>
      <c r="D804" s="150">
        <f ca="1">IFERROR(__xludf.DUMMYFUNCTION("""COMPUTED_VALUE"""),419.43)</f>
        <v>419.43</v>
      </c>
    </row>
    <row r="805" spans="1:4" ht="13.2" x14ac:dyDescent="0.25">
      <c r="A805" s="142">
        <v>44628.666666666664</v>
      </c>
      <c r="B805" s="146">
        <v>38.590000000000003</v>
      </c>
      <c r="C805" s="150">
        <f ca="1">IFERROR(__xludf.DUMMYFUNCTION("""COMPUTED_VALUE"""),51.12)</f>
        <v>51.12</v>
      </c>
      <c r="D805" s="150">
        <f ca="1">IFERROR(__xludf.DUMMYFUNCTION("""COMPUTED_VALUE"""),416.25)</f>
        <v>416.25</v>
      </c>
    </row>
    <row r="806" spans="1:4" ht="13.2" x14ac:dyDescent="0.25">
      <c r="A806" s="142">
        <v>44629.666666666664</v>
      </c>
      <c r="B806" s="146">
        <v>41.04</v>
      </c>
      <c r="C806" s="150">
        <f ca="1">IFERROR(__xludf.DUMMYFUNCTION("""COMPUTED_VALUE"""),50.56)</f>
        <v>50.56</v>
      </c>
      <c r="D806" s="150">
        <f ca="1">IFERROR(__xludf.DUMMYFUNCTION("""COMPUTED_VALUE"""),427.41)</f>
        <v>427.41</v>
      </c>
    </row>
    <row r="807" spans="1:4" ht="13.2" x14ac:dyDescent="0.25">
      <c r="A807" s="142">
        <v>44630.666666666664</v>
      </c>
      <c r="B807" s="146">
        <v>40.67</v>
      </c>
      <c r="C807" s="150">
        <f ca="1">IFERROR(__xludf.DUMMYFUNCTION("""COMPUTED_VALUE"""),50.84)</f>
        <v>50.84</v>
      </c>
      <c r="D807" s="150">
        <f ca="1">IFERROR(__xludf.DUMMYFUNCTION("""COMPUTED_VALUE"""),425.48)</f>
        <v>425.48</v>
      </c>
    </row>
    <row r="808" spans="1:4" ht="13.2" x14ac:dyDescent="0.25">
      <c r="A808" s="142">
        <v>44631.666666666664</v>
      </c>
      <c r="B808" s="146">
        <v>40.33</v>
      </c>
      <c r="C808" s="150">
        <f ca="1">IFERROR(__xludf.DUMMYFUNCTION("""COMPUTED_VALUE"""),49.43)</f>
        <v>49.43</v>
      </c>
      <c r="D808" s="150">
        <f ca="1">IFERROR(__xludf.DUMMYFUNCTION("""COMPUTED_VALUE"""),420.07)</f>
        <v>420.07</v>
      </c>
    </row>
    <row r="809" spans="1:4" ht="13.2" x14ac:dyDescent="0.25">
      <c r="A809" s="142">
        <v>44634.666666666664</v>
      </c>
      <c r="B809" s="146">
        <v>41.2</v>
      </c>
      <c r="C809" s="150">
        <f ca="1">IFERROR(__xludf.DUMMYFUNCTION("""COMPUTED_VALUE"""),50.13)</f>
        <v>50.13</v>
      </c>
      <c r="D809" s="150">
        <f ca="1">IFERROR(__xludf.DUMMYFUNCTION("""COMPUTED_VALUE"""),417)</f>
        <v>417</v>
      </c>
    </row>
    <row r="810" spans="1:4" ht="13.2" x14ac:dyDescent="0.25">
      <c r="A810" s="142">
        <v>44635.666666666664</v>
      </c>
      <c r="B810" s="146">
        <v>41.5</v>
      </c>
      <c r="C810" s="150">
        <f ca="1">IFERROR(__xludf.DUMMYFUNCTION("""COMPUTED_VALUE"""),50.03)</f>
        <v>50.03</v>
      </c>
      <c r="D810" s="150">
        <f ca="1">IFERROR(__xludf.DUMMYFUNCTION("""COMPUTED_VALUE"""),426.17)</f>
        <v>426.17</v>
      </c>
    </row>
    <row r="811" spans="1:4" ht="13.2" x14ac:dyDescent="0.25">
      <c r="A811" s="142">
        <v>44636.666666666664</v>
      </c>
      <c r="B811" s="146">
        <v>42.8</v>
      </c>
      <c r="C811" s="150">
        <f ca="1">IFERROR(__xludf.DUMMYFUNCTION("""COMPUTED_VALUE"""),49.88)</f>
        <v>49.88</v>
      </c>
      <c r="D811" s="150">
        <f ca="1">IFERROR(__xludf.DUMMYFUNCTION("""COMPUTED_VALUE"""),435.62)</f>
        <v>435.62</v>
      </c>
    </row>
    <row r="812" spans="1:4" ht="13.2" x14ac:dyDescent="0.25">
      <c r="A812" s="142">
        <v>44637.666666666664</v>
      </c>
      <c r="B812" s="146">
        <v>43.03</v>
      </c>
      <c r="C812" s="150">
        <f ca="1">IFERROR(__xludf.DUMMYFUNCTION("""COMPUTED_VALUE"""),51.86)</f>
        <v>51.86</v>
      </c>
      <c r="D812" s="150">
        <f ca="1">IFERROR(__xludf.DUMMYFUNCTION("""COMPUTED_VALUE"""),441.07)</f>
        <v>441.07</v>
      </c>
    </row>
    <row r="813" spans="1:4" ht="13.2" x14ac:dyDescent="0.25">
      <c r="A813" s="142">
        <v>44638.666666666664</v>
      </c>
      <c r="B813" s="146">
        <v>42.9</v>
      </c>
      <c r="C813" s="150">
        <f ca="1">IFERROR(__xludf.DUMMYFUNCTION("""COMPUTED_VALUE"""),51.12)</f>
        <v>51.12</v>
      </c>
      <c r="D813" s="150">
        <f ca="1">IFERROR(__xludf.DUMMYFUNCTION("""COMPUTED_VALUE"""),444.52)</f>
        <v>444.52</v>
      </c>
    </row>
    <row r="814" spans="1:4" ht="13.2" x14ac:dyDescent="0.25">
      <c r="A814" s="142">
        <v>44641.666666666664</v>
      </c>
      <c r="B814" s="146">
        <v>42.84</v>
      </c>
      <c r="C814" s="150">
        <f ca="1">IFERROR(__xludf.DUMMYFUNCTION("""COMPUTED_VALUE"""),51.66)</f>
        <v>51.66</v>
      </c>
      <c r="D814" s="150">
        <f ca="1">IFERROR(__xludf.DUMMYFUNCTION("""COMPUTED_VALUE"""),444.39)</f>
        <v>444.39</v>
      </c>
    </row>
    <row r="815" spans="1:4" ht="13.2" x14ac:dyDescent="0.25">
      <c r="A815" s="142">
        <v>44642.666666666664</v>
      </c>
      <c r="B815" s="146">
        <v>44.18</v>
      </c>
      <c r="C815" s="150">
        <f ca="1">IFERROR(__xludf.DUMMYFUNCTION("""COMPUTED_VALUE"""),51.67)</f>
        <v>51.67</v>
      </c>
      <c r="D815" s="150">
        <f ca="1">IFERROR(__xludf.DUMMYFUNCTION("""COMPUTED_VALUE"""),449.59)</f>
        <v>449.59</v>
      </c>
    </row>
    <row r="816" spans="1:4" ht="13.2" x14ac:dyDescent="0.25">
      <c r="A816" s="142">
        <v>44643.666666666664</v>
      </c>
      <c r="B816" s="146">
        <v>43.09</v>
      </c>
      <c r="C816" s="150">
        <f ca="1">IFERROR(__xludf.DUMMYFUNCTION("""COMPUTED_VALUE"""),52.17)</f>
        <v>52.17</v>
      </c>
      <c r="D816" s="150">
        <f ca="1">IFERROR(__xludf.DUMMYFUNCTION("""COMPUTED_VALUE"""),443.8)</f>
        <v>443.8</v>
      </c>
    </row>
    <row r="817" spans="1:4" ht="13.2" x14ac:dyDescent="0.25">
      <c r="A817" s="142">
        <v>44644.666666666664</v>
      </c>
      <c r="B817" s="146">
        <v>43.07</v>
      </c>
      <c r="C817" s="150">
        <f ca="1">IFERROR(__xludf.DUMMYFUNCTION("""COMPUTED_VALUE"""),51.38)</f>
        <v>51.38</v>
      </c>
      <c r="D817" s="150">
        <f ca="1">IFERROR(__xludf.DUMMYFUNCTION("""COMPUTED_VALUE"""),450.49)</f>
        <v>450.49</v>
      </c>
    </row>
    <row r="818" spans="1:4" ht="13.2" x14ac:dyDescent="0.25">
      <c r="A818" s="142">
        <v>44645.666666666664</v>
      </c>
      <c r="B818" s="146">
        <v>43.73</v>
      </c>
      <c r="C818" s="150">
        <f ca="1">IFERROR(__xludf.DUMMYFUNCTION("""COMPUTED_VALUE"""),51.28)</f>
        <v>51.28</v>
      </c>
      <c r="D818" s="150">
        <f ca="1">IFERROR(__xludf.DUMMYFUNCTION("""COMPUTED_VALUE"""),452.69)</f>
        <v>452.69</v>
      </c>
    </row>
    <row r="819" spans="1:4" ht="13.2" x14ac:dyDescent="0.25">
      <c r="A819" s="142">
        <v>44648.666666666664</v>
      </c>
      <c r="B819" s="146">
        <v>43.55</v>
      </c>
      <c r="C819" s="150">
        <f ca="1">IFERROR(__xludf.DUMMYFUNCTION("""COMPUTED_VALUE"""),51.7)</f>
        <v>51.7</v>
      </c>
      <c r="D819" s="150">
        <f ca="1">IFERROR(__xludf.DUMMYFUNCTION("""COMPUTED_VALUE"""),455.91)</f>
        <v>455.91</v>
      </c>
    </row>
    <row r="820" spans="1:4" ht="13.2" x14ac:dyDescent="0.25">
      <c r="A820" s="142">
        <v>44649.666666666664</v>
      </c>
      <c r="B820" s="146">
        <v>43.44</v>
      </c>
      <c r="C820" s="150">
        <f ca="1">IFERROR(__xludf.DUMMYFUNCTION("""COMPUTED_VALUE"""),50.56)</f>
        <v>50.56</v>
      </c>
      <c r="D820" s="150">
        <f ca="1">IFERROR(__xludf.DUMMYFUNCTION("""COMPUTED_VALUE"""),461.55)</f>
        <v>461.55</v>
      </c>
    </row>
    <row r="821" spans="1:4" ht="13.2" x14ac:dyDescent="0.25">
      <c r="A821" s="142">
        <v>44650.666666666664</v>
      </c>
      <c r="B821" s="146">
        <v>43</v>
      </c>
      <c r="C821" s="150">
        <f ca="1">IFERROR(__xludf.DUMMYFUNCTION("""COMPUTED_VALUE"""),51.07)</f>
        <v>51.07</v>
      </c>
      <c r="D821" s="150">
        <f ca="1">IFERROR(__xludf.DUMMYFUNCTION("""COMPUTED_VALUE"""),458.7)</f>
        <v>458.7</v>
      </c>
    </row>
    <row r="822" spans="1:4" ht="13.2" x14ac:dyDescent="0.25">
      <c r="A822" s="142">
        <v>44651.666666666664</v>
      </c>
      <c r="B822" s="146">
        <v>41.22</v>
      </c>
      <c r="C822" s="150">
        <f ca="1">IFERROR(__xludf.DUMMYFUNCTION("""COMPUTED_VALUE"""),49.59)</f>
        <v>49.59</v>
      </c>
      <c r="D822" s="153">
        <v>451.64</v>
      </c>
    </row>
    <row r="823" spans="1:4" ht="13.2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5CAAA-8077-4715-BFAA-BBCC08562D72}">
  <sheetPr>
    <outlinePr summaryBelow="0" summaryRight="0"/>
  </sheetPr>
  <dimension ref="A1:P3030"/>
  <sheetViews>
    <sheetView workbookViewId="0">
      <selection activeCell="D10" sqref="D10"/>
    </sheetView>
  </sheetViews>
  <sheetFormatPr defaultColWidth="12.6640625" defaultRowHeight="15.75" customHeight="1" x14ac:dyDescent="0.25"/>
  <cols>
    <col min="1" max="1" width="16.33203125" style="13" customWidth="1"/>
    <col min="5" max="5" width="13.21875" bestFit="1" customWidth="1"/>
    <col min="10" max="10" width="12.109375" bestFit="1" customWidth="1"/>
  </cols>
  <sheetData>
    <row r="1" spans="1:16" ht="15.45" customHeight="1" x14ac:dyDescent="0.25">
      <c r="A1" s="70" t="s">
        <v>27</v>
      </c>
      <c r="B1" s="71">
        <f ca="1">CORREL(F16:F266,G16:G266)</f>
        <v>0.34928520795213769</v>
      </c>
      <c r="D1" s="70" t="s">
        <v>27</v>
      </c>
      <c r="E1" s="71">
        <f ca="1">B1</f>
        <v>0.34928520795213769</v>
      </c>
    </row>
    <row r="2" spans="1:16" ht="15.75" customHeight="1" x14ac:dyDescent="0.25">
      <c r="A2" s="17" t="s">
        <v>11</v>
      </c>
      <c r="B2" s="62">
        <f ca="1">_xlfn.COVARIANCE.S(F16:F266,G16:G266)</f>
        <v>7.9217598504082446E-5</v>
      </c>
      <c r="D2" s="17" t="s">
        <v>11</v>
      </c>
      <c r="E2" s="62">
        <f ca="1">B2</f>
        <v>7.9217598504082446E-5</v>
      </c>
      <c r="G2" s="18"/>
      <c r="H2" s="19" t="s">
        <v>3</v>
      </c>
      <c r="I2" s="18" t="s">
        <v>4</v>
      </c>
      <c r="J2" s="17" t="s">
        <v>17</v>
      </c>
      <c r="P2" s="39"/>
    </row>
    <row r="3" spans="1:16" ht="15.75" customHeight="1" x14ac:dyDescent="0.25">
      <c r="A3" s="17" t="s">
        <v>12</v>
      </c>
      <c r="B3" s="66">
        <v>1</v>
      </c>
      <c r="C3" s="36"/>
      <c r="D3" s="17" t="s">
        <v>12</v>
      </c>
      <c r="E3" s="66">
        <v>0</v>
      </c>
      <c r="G3" s="18" t="s">
        <v>8</v>
      </c>
      <c r="H3" s="22">
        <f>AVERAGE(F16:F266)</f>
        <v>1.3718707552463425E-3</v>
      </c>
      <c r="I3" s="22">
        <f t="shared" ref="I3:J3" ca="1" si="0">AVERAGE(G16:G266)</f>
        <v>1.726860198851449E-3</v>
      </c>
      <c r="J3" s="22">
        <f t="shared" ca="1" si="0"/>
        <v>1.0037291219273004E-3</v>
      </c>
    </row>
    <row r="4" spans="1:16" ht="15.75" customHeight="1" x14ac:dyDescent="0.25">
      <c r="A4" s="67" t="s">
        <v>16</v>
      </c>
      <c r="B4" s="68">
        <v>0</v>
      </c>
      <c r="C4" s="36"/>
      <c r="D4" s="69" t="s">
        <v>16</v>
      </c>
      <c r="E4" s="68">
        <v>1</v>
      </c>
      <c r="G4" s="18" t="s">
        <v>9</v>
      </c>
      <c r="H4" s="22">
        <f>_xlfn.STDEV.S(F16:F266)</f>
        <v>1.4548662945365578E-2</v>
      </c>
      <c r="I4" s="22">
        <f t="shared" ref="I4:J4" ca="1" si="1">_xlfn.STDEV.S(G16:G266)</f>
        <v>1.5589004993006529E-2</v>
      </c>
      <c r="J4" s="22">
        <f t="shared" ca="1" si="1"/>
        <v>7.9327765545394741E-3</v>
      </c>
    </row>
    <row r="5" spans="1:16" ht="15.75" customHeight="1" thickBot="1" x14ac:dyDescent="0.3">
      <c r="A5" s="17" t="s">
        <v>13</v>
      </c>
      <c r="B5" s="63">
        <v>1</v>
      </c>
      <c r="D5" s="17" t="s">
        <v>13</v>
      </c>
      <c r="E5" s="63">
        <v>1</v>
      </c>
      <c r="G5" s="23" t="s">
        <v>10</v>
      </c>
      <c r="H5" s="24">
        <f>H4^2</f>
        <v>2.1166359349785341E-4</v>
      </c>
      <c r="I5" s="24">
        <f t="shared" ref="I5:J5" ca="1" si="2">I4^2</f>
        <v>2.4301707667198251E-4</v>
      </c>
      <c r="J5" s="24">
        <f t="shared" ca="1" si="2"/>
        <v>6.2928943864251166E-5</v>
      </c>
    </row>
    <row r="6" spans="1:16" ht="15.75" customHeight="1" x14ac:dyDescent="0.25">
      <c r="A6" s="20" t="s">
        <v>14</v>
      </c>
      <c r="B6" s="64">
        <f ca="1">(H3*B3+I3*B4) *252</f>
        <v>0.34571143032207829</v>
      </c>
      <c r="D6" s="20" t="s">
        <v>14</v>
      </c>
      <c r="E6" s="64">
        <f ca="1">(H3*E3+I3*E4) *252</f>
        <v>0.43516877011056515</v>
      </c>
      <c r="G6" s="25" t="s">
        <v>18</v>
      </c>
      <c r="H6" s="26">
        <f ca="1">SLOPE(J16:J266,L16:L266)</f>
        <v>1.2334350227477333</v>
      </c>
      <c r="I6" s="26">
        <f ca="1">SLOPE(K16:K266,L16:L266)</f>
        <v>0.55923537412094648</v>
      </c>
      <c r="J6" s="27"/>
    </row>
    <row r="7" spans="1:16" ht="15.75" customHeight="1" x14ac:dyDescent="0.25">
      <c r="A7" s="42" t="s">
        <v>26</v>
      </c>
      <c r="B7" s="65">
        <f>H4</f>
        <v>1.4548662945365578E-2</v>
      </c>
      <c r="C7" s="43"/>
      <c r="D7" s="42" t="s">
        <v>26</v>
      </c>
      <c r="E7" s="65">
        <f ca="1">I4</f>
        <v>1.5589004993006529E-2</v>
      </c>
      <c r="G7" s="28" t="s">
        <v>19</v>
      </c>
      <c r="H7" s="29">
        <f ca="1">INTERCEPT(J16:J266,L16:L266)</f>
        <v>1.5365955325383055E-4</v>
      </c>
      <c r="I7" s="30">
        <f ca="1">INTERCEPT(K16:K266,L16:L266)</f>
        <v>1.1281093559541392E-3</v>
      </c>
      <c r="J7" s="27"/>
    </row>
    <row r="8" spans="1:16" ht="15.75" customHeight="1" thickBot="1" x14ac:dyDescent="0.3">
      <c r="A8" s="17" t="s">
        <v>15</v>
      </c>
      <c r="B8" s="62">
        <v>2.1399999999999999E-2</v>
      </c>
      <c r="D8" s="17" t="s">
        <v>15</v>
      </c>
      <c r="E8" s="62">
        <v>2.1399999999999999E-2</v>
      </c>
      <c r="G8" s="31" t="s">
        <v>20</v>
      </c>
      <c r="H8" s="32">
        <f ca="1">B9+H6*(J3-B9)</f>
        <v>1.2182112019925118E-3</v>
      </c>
      <c r="I8" s="32">
        <f ca="1">B9+I6*(J3-B9)</f>
        <v>5.9875084289730826E-4</v>
      </c>
      <c r="J8" s="27"/>
    </row>
    <row r="9" spans="1:16" ht="13.8" thickBot="1" x14ac:dyDescent="0.3">
      <c r="A9" s="17" t="s">
        <v>21</v>
      </c>
      <c r="B9" s="62">
        <f>B8/252</f>
        <v>8.4920634920634914E-5</v>
      </c>
      <c r="D9" s="17" t="s">
        <v>21</v>
      </c>
      <c r="E9" s="62">
        <f>E8/252</f>
        <v>8.4920634920634914E-5</v>
      </c>
    </row>
    <row r="10" spans="1:16" ht="15.75" customHeight="1" thickBot="1" x14ac:dyDescent="0.3">
      <c r="A10" s="61" t="s">
        <v>53</v>
      </c>
    </row>
    <row r="11" spans="1:16" ht="15.75" customHeight="1" thickBot="1" x14ac:dyDescent="0.3">
      <c r="A11" s="40"/>
    </row>
    <row r="12" spans="1:16" ht="15.75" customHeight="1" thickBot="1" x14ac:dyDescent="0.3">
      <c r="A12" s="9"/>
    </row>
    <row r="13" spans="1:16" ht="13.95" customHeight="1" thickBot="1" x14ac:dyDescent="0.5">
      <c r="A13" s="9"/>
      <c r="B13" s="1" t="s">
        <v>2</v>
      </c>
      <c r="F13" s="156" t="s">
        <v>7</v>
      </c>
      <c r="G13" s="156"/>
      <c r="H13" s="156"/>
      <c r="J13" s="156" t="s">
        <v>22</v>
      </c>
      <c r="K13" s="156"/>
      <c r="L13" s="156"/>
    </row>
    <row r="14" spans="1:16" s="139" customFormat="1" ht="13.05" customHeight="1" thickBot="1" x14ac:dyDescent="0.3">
      <c r="A14" s="154"/>
      <c r="B14" s="144" t="s">
        <v>3</v>
      </c>
      <c r="C14" s="144" t="s">
        <v>4</v>
      </c>
      <c r="D14" s="144" t="s">
        <v>5</v>
      </c>
      <c r="F14" s="139" t="s">
        <v>3</v>
      </c>
      <c r="G14" s="139" t="s">
        <v>4</v>
      </c>
      <c r="H14" s="139" t="s">
        <v>5</v>
      </c>
      <c r="I14" s="39"/>
      <c r="J14" s="139" t="s">
        <v>3</v>
      </c>
      <c r="K14" s="139" t="s">
        <v>4</v>
      </c>
      <c r="L14" s="139" t="s">
        <v>5</v>
      </c>
    </row>
    <row r="15" spans="1:16" ht="13.8" thickBot="1" x14ac:dyDescent="0.3">
      <c r="A15" s="11">
        <f ca="1">IFERROR(__xludf.DUMMYFUNCTION("""COMPUTED_VALUE"""),43467.6666666666)</f>
        <v>43467.666666666599</v>
      </c>
      <c r="B15" s="4">
        <v>24.96</v>
      </c>
      <c r="C15" s="2">
        <f ca="1">IFERROR(__xludf.DUMMYFUNCTION("""COMPUTED_VALUE"""),46.76)</f>
        <v>46.76</v>
      </c>
      <c r="D15" s="2">
        <f ca="1">IFERROR(__xludf.DUMMYFUNCTION("""COMPUTED_VALUE"""),250.18)</f>
        <v>250.18</v>
      </c>
      <c r="G15" s="2"/>
    </row>
    <row r="16" spans="1:16" ht="13.8" thickBot="1" x14ac:dyDescent="0.3">
      <c r="A16" s="11">
        <f ca="1">IFERROR(__xludf.DUMMYFUNCTION("""COMPUTED_VALUE"""),43468.6666666666)</f>
        <v>43468.666666666599</v>
      </c>
      <c r="B16" s="4">
        <v>24.56</v>
      </c>
      <c r="C16" s="2">
        <f ca="1">IFERROR(__xludf.DUMMYFUNCTION("""COMPUTED_VALUE"""),46.24)</f>
        <v>46.24</v>
      </c>
      <c r="D16" s="2">
        <f ca="1">IFERROR(__xludf.DUMMYFUNCTION("""COMPUTED_VALUE"""),244.21)</f>
        <v>244.21</v>
      </c>
      <c r="F16" s="16">
        <f>LN(B16/B15)</f>
        <v>-1.6155440222285256E-2</v>
      </c>
      <c r="G16" s="16">
        <f ca="1">LN(C16/C15)</f>
        <v>-1.1182912239745529E-2</v>
      </c>
      <c r="H16" s="16">
        <f ca="1">LN(D16/D15)</f>
        <v>-2.4152147907470969E-2</v>
      </c>
      <c r="J16" s="38">
        <f>F16-$B$9</f>
        <v>-1.6240360857205892E-2</v>
      </c>
      <c r="K16" s="38">
        <f t="shared" ref="K16:L16" ca="1" si="3">G16-$B$9</f>
        <v>-1.1267832874666164E-2</v>
      </c>
      <c r="L16" s="38">
        <f t="shared" ca="1" si="3"/>
        <v>-2.4237068542391604E-2</v>
      </c>
    </row>
    <row r="17" spans="1:12" ht="13.8" thickBot="1" x14ac:dyDescent="0.3">
      <c r="A17" s="11">
        <f ca="1">IFERROR(__xludf.DUMMYFUNCTION("""COMPUTED_VALUE"""),43469.6666666666)</f>
        <v>43469.666666666599</v>
      </c>
      <c r="B17" s="4">
        <v>25.58</v>
      </c>
      <c r="C17" s="2">
        <f ca="1">IFERROR(__xludf.DUMMYFUNCTION("""COMPUTED_VALUE"""),47.98)</f>
        <v>47.98</v>
      </c>
      <c r="D17" s="2">
        <f ca="1">IFERROR(__xludf.DUMMYFUNCTION("""COMPUTED_VALUE"""),252.39)</f>
        <v>252.39</v>
      </c>
      <c r="F17" s="16">
        <f t="shared" ref="F17:F80" si="4">LN(B17/B16)</f>
        <v>4.069169287175483E-2</v>
      </c>
      <c r="G17" s="16">
        <f t="shared" ref="G17:G80" ca="1" si="5">LN(C17/C16)</f>
        <v>3.6939033047426316E-2</v>
      </c>
      <c r="H17" s="16">
        <f t="shared" ref="H17:H80" ca="1" si="6">LN(D17/D16)</f>
        <v>3.2946999351707418E-2</v>
      </c>
      <c r="J17" s="38">
        <f t="shared" ref="J17:J80" si="7">F17-$B$9</f>
        <v>4.0606772236834197E-2</v>
      </c>
      <c r="K17" s="38">
        <f t="shared" ref="K17:K80" ca="1" si="8">G17-$B$9</f>
        <v>3.6854112412505684E-2</v>
      </c>
      <c r="L17" s="38">
        <f t="shared" ref="L17:L80" ca="1" si="9">H17-$B$9</f>
        <v>3.2862078716786786E-2</v>
      </c>
    </row>
    <row r="18" spans="1:12" ht="13.8" thickBot="1" x14ac:dyDescent="0.3">
      <c r="A18" s="11">
        <f ca="1">IFERROR(__xludf.DUMMYFUNCTION("""COMPUTED_VALUE"""),43472.6666666666)</f>
        <v>43472.666666666599</v>
      </c>
      <c r="B18" s="4">
        <v>25.56</v>
      </c>
      <c r="C18" s="2">
        <f ca="1">IFERROR(__xludf.DUMMYFUNCTION("""COMPUTED_VALUE"""),48.42)</f>
        <v>48.42</v>
      </c>
      <c r="D18" s="2">
        <f ca="1">IFERROR(__xludf.DUMMYFUNCTION("""COMPUTED_VALUE"""),254.38)</f>
        <v>254.38</v>
      </c>
      <c r="F18" s="16">
        <f t="shared" si="4"/>
        <v>-7.8216664136250503E-4</v>
      </c>
      <c r="G18" s="16">
        <f t="shared" ca="1" si="5"/>
        <v>9.1286940983639625E-3</v>
      </c>
      <c r="H18" s="16">
        <f t="shared" ca="1" si="6"/>
        <v>7.853701792506532E-3</v>
      </c>
      <c r="J18" s="38">
        <f t="shared" si="7"/>
        <v>-8.6708727628313992E-4</v>
      </c>
      <c r="K18" s="38">
        <f t="shared" ca="1" si="8"/>
        <v>9.0437734634433269E-3</v>
      </c>
      <c r="L18" s="38">
        <f t="shared" ca="1" si="9"/>
        <v>7.7687811575858972E-3</v>
      </c>
    </row>
    <row r="19" spans="1:12" ht="15.75" customHeight="1" thickBot="1" x14ac:dyDescent="0.3">
      <c r="A19" s="12">
        <f ca="1">IFERROR(__xludf.DUMMYFUNCTION("""COMPUTED_VALUE"""),43473.6666666666)</f>
        <v>43473.666666666599</v>
      </c>
      <c r="B19" s="4">
        <v>25.51</v>
      </c>
      <c r="C19" s="2">
        <f ca="1">IFERROR(__xludf.DUMMYFUNCTION("""COMPUTED_VALUE"""),48.07)</f>
        <v>48.07</v>
      </c>
      <c r="D19" s="2">
        <f ca="1">IFERROR(__xludf.DUMMYFUNCTION("""COMPUTED_VALUE"""),256.77)</f>
        <v>256.77</v>
      </c>
      <c r="F19" s="16">
        <f t="shared" si="4"/>
        <v>-1.9580973556138893E-3</v>
      </c>
      <c r="G19" s="16">
        <f t="shared" ca="1" si="5"/>
        <v>-7.2546696040430838E-3</v>
      </c>
      <c r="H19" s="16">
        <f t="shared" ca="1" si="6"/>
        <v>9.3515305382895209E-3</v>
      </c>
      <c r="J19" s="38">
        <f t="shared" si="7"/>
        <v>-2.043017990534524E-3</v>
      </c>
      <c r="K19" s="38">
        <f t="shared" ca="1" si="8"/>
        <v>-7.3395902389637186E-3</v>
      </c>
      <c r="L19" s="38">
        <f t="shared" ca="1" si="9"/>
        <v>9.2666099033688852E-3</v>
      </c>
    </row>
    <row r="20" spans="1:12" ht="15.75" customHeight="1" thickBot="1" x14ac:dyDescent="0.3">
      <c r="A20" s="12">
        <f ca="1">IFERROR(__xludf.DUMMYFUNCTION("""COMPUTED_VALUE"""),43474.6666666666)</f>
        <v>43474.666666666599</v>
      </c>
      <c r="B20" s="4">
        <v>25.76</v>
      </c>
      <c r="C20" s="2">
        <f ca="1">IFERROR(__xludf.DUMMYFUNCTION("""COMPUTED_VALUE"""),48.83)</f>
        <v>48.83</v>
      </c>
      <c r="D20" s="2">
        <f ca="1">IFERROR(__xludf.DUMMYFUNCTION("""COMPUTED_VALUE"""),257.97)</f>
        <v>257.97000000000003</v>
      </c>
      <c r="F20" s="16">
        <f t="shared" si="4"/>
        <v>9.7523690824327675E-3</v>
      </c>
      <c r="G20" s="16">
        <f t="shared" ca="1" si="5"/>
        <v>1.5686596167699473E-2</v>
      </c>
      <c r="H20" s="16">
        <f t="shared" ca="1" si="6"/>
        <v>4.6625565292869233E-3</v>
      </c>
      <c r="J20" s="38">
        <f t="shared" si="7"/>
        <v>9.6674484475121319E-3</v>
      </c>
      <c r="K20" s="38">
        <f t="shared" ca="1" si="8"/>
        <v>1.5601675532778837E-2</v>
      </c>
      <c r="L20" s="38">
        <f t="shared" ca="1" si="9"/>
        <v>4.5776358943662885E-3</v>
      </c>
    </row>
    <row r="21" spans="1:12" ht="15.75" customHeight="1" thickBot="1" x14ac:dyDescent="0.3">
      <c r="A21" s="12">
        <f ca="1">IFERROR(__xludf.DUMMYFUNCTION("""COMPUTED_VALUE"""),43475.6666666666)</f>
        <v>43475.666666666599</v>
      </c>
      <c r="B21" s="4">
        <v>25.73</v>
      </c>
      <c r="C21" s="2">
        <f ca="1">IFERROR(__xludf.DUMMYFUNCTION("""COMPUTED_VALUE"""),49.25)</f>
        <v>49.25</v>
      </c>
      <c r="D21" s="2">
        <f ca="1">IFERROR(__xludf.DUMMYFUNCTION("""COMPUTED_VALUE"""),258.88)</f>
        <v>258.88</v>
      </c>
      <c r="F21" s="16">
        <f t="shared" si="4"/>
        <v>-1.1652749425001567E-3</v>
      </c>
      <c r="G21" s="16">
        <f t="shared" ca="1" si="5"/>
        <v>8.5644895445291056E-3</v>
      </c>
      <c r="H21" s="16">
        <f t="shared" ca="1" si="6"/>
        <v>3.5213347792119416E-3</v>
      </c>
      <c r="J21" s="38">
        <f t="shared" si="7"/>
        <v>-1.2501955774207917E-3</v>
      </c>
      <c r="K21" s="38">
        <f t="shared" ca="1" si="8"/>
        <v>8.47956890960847E-3</v>
      </c>
      <c r="L21" s="38">
        <f t="shared" ca="1" si="9"/>
        <v>3.4364141442913068E-3</v>
      </c>
    </row>
    <row r="22" spans="1:12" ht="15.75" customHeight="1" thickBot="1" x14ac:dyDescent="0.3">
      <c r="A22" s="12">
        <f ca="1">IFERROR(__xludf.DUMMYFUNCTION("""COMPUTED_VALUE"""),43476.6666666666)</f>
        <v>43476.666666666599</v>
      </c>
      <c r="B22" s="4">
        <v>26.03</v>
      </c>
      <c r="C22" s="2">
        <f ca="1">IFERROR(__xludf.DUMMYFUNCTION("""COMPUTED_VALUE"""),49.57)</f>
        <v>49.57</v>
      </c>
      <c r="D22" s="2">
        <f ca="1">IFERROR(__xludf.DUMMYFUNCTION("""COMPUTED_VALUE"""),258.98)</f>
        <v>258.98</v>
      </c>
      <c r="F22" s="16">
        <f t="shared" si="4"/>
        <v>1.1592092712821307E-2</v>
      </c>
      <c r="G22" s="16">
        <f t="shared" ca="1" si="5"/>
        <v>6.4764444143845922E-3</v>
      </c>
      <c r="H22" s="16">
        <f t="shared" ca="1" si="6"/>
        <v>3.8620477056734107E-4</v>
      </c>
      <c r="J22" s="38">
        <f t="shared" si="7"/>
        <v>1.1507172077900672E-2</v>
      </c>
      <c r="K22" s="38">
        <f t="shared" ca="1" si="8"/>
        <v>6.3915237794639574E-3</v>
      </c>
      <c r="L22" s="38">
        <f t="shared" ca="1" si="9"/>
        <v>3.0128413564670619E-4</v>
      </c>
    </row>
    <row r="23" spans="1:12" ht="15.75" customHeight="1" thickBot="1" x14ac:dyDescent="0.3">
      <c r="A23" s="12">
        <f ca="1">IFERROR(__xludf.DUMMYFUNCTION("""COMPUTED_VALUE"""),43479.6666666666)</f>
        <v>43479.666666666599</v>
      </c>
      <c r="B23" s="4">
        <v>26.37</v>
      </c>
      <c r="C23" s="2">
        <f ca="1">IFERROR(__xludf.DUMMYFUNCTION("""COMPUTED_VALUE"""),51.07)</f>
        <v>51.07</v>
      </c>
      <c r="D23" s="2">
        <f ca="1">IFERROR(__xludf.DUMMYFUNCTION("""COMPUTED_VALUE"""),257.4)</f>
        <v>257.39999999999998</v>
      </c>
      <c r="F23" s="16">
        <f t="shared" si="4"/>
        <v>1.2977281358721402E-2</v>
      </c>
      <c r="G23" s="16">
        <f t="shared" ca="1" si="5"/>
        <v>2.9811428627069952E-2</v>
      </c>
      <c r="H23" s="16">
        <f t="shared" ca="1" si="6"/>
        <v>-6.1195434786679046E-3</v>
      </c>
      <c r="J23" s="38">
        <f t="shared" si="7"/>
        <v>1.2892360723800766E-2</v>
      </c>
      <c r="K23" s="38">
        <f t="shared" ca="1" si="8"/>
        <v>2.9726507992149317E-2</v>
      </c>
      <c r="L23" s="38">
        <f t="shared" ca="1" si="9"/>
        <v>-6.2044641135885394E-3</v>
      </c>
    </row>
    <row r="24" spans="1:12" ht="15.75" customHeight="1" thickBot="1" x14ac:dyDescent="0.3">
      <c r="A24" s="12">
        <f ca="1">IFERROR(__xludf.DUMMYFUNCTION("""COMPUTED_VALUE"""),43480.6666666666)</f>
        <v>43480.666666666599</v>
      </c>
      <c r="B24" s="4">
        <v>26.55</v>
      </c>
      <c r="C24" s="2">
        <f ca="1">IFERROR(__xludf.DUMMYFUNCTION("""COMPUTED_VALUE"""),53.57)</f>
        <v>53.57</v>
      </c>
      <c r="D24" s="2">
        <f ca="1">IFERROR(__xludf.DUMMYFUNCTION("""COMPUTED_VALUE"""),260.35)</f>
        <v>260.35000000000002</v>
      </c>
      <c r="F24" s="16">
        <f t="shared" si="4"/>
        <v>6.8027473227523999E-3</v>
      </c>
      <c r="G24" s="16">
        <f t="shared" ca="1" si="5"/>
        <v>4.7791969233316516E-2</v>
      </c>
      <c r="H24" s="16">
        <f t="shared" ca="1" si="6"/>
        <v>1.1395584446881915E-2</v>
      </c>
      <c r="J24" s="38">
        <f t="shared" si="7"/>
        <v>6.7178266878317652E-3</v>
      </c>
      <c r="K24" s="38">
        <f t="shared" ca="1" si="8"/>
        <v>4.7707048598395883E-2</v>
      </c>
      <c r="L24" s="38">
        <f t="shared" ca="1" si="9"/>
        <v>1.131066381196128E-2</v>
      </c>
    </row>
    <row r="25" spans="1:12" ht="15.75" customHeight="1" thickBot="1" x14ac:dyDescent="0.3">
      <c r="A25" s="12">
        <f ca="1">IFERROR(__xludf.DUMMYFUNCTION("""COMPUTED_VALUE"""),43481.6666666666)</f>
        <v>43481.666666666599</v>
      </c>
      <c r="B25" s="4">
        <v>28.45</v>
      </c>
      <c r="C25" s="2">
        <f ca="1">IFERROR(__xludf.DUMMYFUNCTION("""COMPUTED_VALUE"""),54.75)</f>
        <v>54.75</v>
      </c>
      <c r="D25" s="2">
        <f ca="1">IFERROR(__xludf.DUMMYFUNCTION("""COMPUTED_VALUE"""),260.98)</f>
        <v>260.98</v>
      </c>
      <c r="F25" s="16">
        <f t="shared" si="4"/>
        <v>6.9118412884391953E-2</v>
      </c>
      <c r="G25" s="16">
        <f t="shared" ca="1" si="5"/>
        <v>2.1788158803741266E-2</v>
      </c>
      <c r="H25" s="16">
        <f t="shared" ca="1" si="6"/>
        <v>2.4168964251926432E-3</v>
      </c>
      <c r="J25" s="38">
        <f t="shared" si="7"/>
        <v>6.903349224947132E-2</v>
      </c>
      <c r="K25" s="38">
        <f t="shared" ca="1" si="8"/>
        <v>2.1703238168820631E-2</v>
      </c>
      <c r="L25" s="38">
        <f t="shared" ca="1" si="9"/>
        <v>2.3319757902720084E-3</v>
      </c>
    </row>
    <row r="26" spans="1:12" ht="15.75" customHeight="1" thickBot="1" x14ac:dyDescent="0.3">
      <c r="A26" s="12">
        <f ca="1">IFERROR(__xludf.DUMMYFUNCTION("""COMPUTED_VALUE"""),43482.6666666666)</f>
        <v>43482.666666666599</v>
      </c>
      <c r="B26" s="4">
        <v>28.99</v>
      </c>
      <c r="C26" s="2">
        <f ca="1">IFERROR(__xludf.DUMMYFUNCTION("""COMPUTED_VALUE"""),53.93)</f>
        <v>53.93</v>
      </c>
      <c r="D26" s="2">
        <f ca="1">IFERROR(__xludf.DUMMYFUNCTION("""COMPUTED_VALUE"""),262.96)</f>
        <v>262.95999999999998</v>
      </c>
      <c r="F26" s="16">
        <f t="shared" si="4"/>
        <v>1.8802782361224239E-2</v>
      </c>
      <c r="G26" s="16">
        <f t="shared" ca="1" si="5"/>
        <v>-1.5090459347474614E-2</v>
      </c>
      <c r="H26" s="16">
        <f t="shared" ca="1" si="6"/>
        <v>7.5581533218629683E-3</v>
      </c>
      <c r="J26" s="38">
        <f t="shared" si="7"/>
        <v>1.8717861726303603E-2</v>
      </c>
      <c r="K26" s="38">
        <f t="shared" ca="1" si="8"/>
        <v>-1.5175379982395249E-2</v>
      </c>
      <c r="L26" s="38">
        <f t="shared" ca="1" si="9"/>
        <v>7.4732326869423335E-3</v>
      </c>
    </row>
    <row r="27" spans="1:12" ht="15.75" customHeight="1" thickBot="1" x14ac:dyDescent="0.3">
      <c r="A27" s="12">
        <f ca="1">IFERROR(__xludf.DUMMYFUNCTION("""COMPUTED_VALUE"""),43483.6666666666)</f>
        <v>43483.666666666599</v>
      </c>
      <c r="B27" s="4">
        <v>29.3</v>
      </c>
      <c r="C27" s="2">
        <f ca="1">IFERROR(__xludf.DUMMYFUNCTION("""COMPUTED_VALUE"""),55.38)</f>
        <v>55.38</v>
      </c>
      <c r="D27" s="2">
        <f ca="1">IFERROR(__xludf.DUMMYFUNCTION("""COMPUTED_VALUE"""),266.46)</f>
        <v>266.45999999999998</v>
      </c>
      <c r="F27" s="16">
        <f t="shared" si="4"/>
        <v>1.0636573089457509E-2</v>
      </c>
      <c r="G27" s="16">
        <f t="shared" ca="1" si="5"/>
        <v>2.6531608393680125E-2</v>
      </c>
      <c r="H27" s="16">
        <f t="shared" ca="1" si="6"/>
        <v>1.3222209176101955E-2</v>
      </c>
      <c r="J27" s="38">
        <f t="shared" si="7"/>
        <v>1.0551652454536873E-2</v>
      </c>
      <c r="K27" s="38">
        <f t="shared" ca="1" si="8"/>
        <v>2.6446687758759489E-2</v>
      </c>
      <c r="L27" s="38">
        <f t="shared" ca="1" si="9"/>
        <v>1.3137288541181319E-2</v>
      </c>
    </row>
    <row r="28" spans="1:12" ht="13.8" thickBot="1" x14ac:dyDescent="0.3">
      <c r="A28" s="12">
        <f ca="1">IFERROR(__xludf.DUMMYFUNCTION("""COMPUTED_VALUE"""),43487.6666666666)</f>
        <v>43487.666666666599</v>
      </c>
      <c r="B28" s="4">
        <v>29.09</v>
      </c>
      <c r="C28" s="2">
        <f ca="1">IFERROR(__xludf.DUMMYFUNCTION("""COMPUTED_VALUE"""),55.42)</f>
        <v>55.42</v>
      </c>
      <c r="D28" s="2">
        <f ca="1">IFERROR(__xludf.DUMMYFUNCTION("""COMPUTED_VALUE"""),262.86)</f>
        <v>262.86</v>
      </c>
      <c r="F28" s="16">
        <f t="shared" si="4"/>
        <v>-7.1930435159114426E-3</v>
      </c>
      <c r="G28" s="16">
        <f t="shared" ca="1" si="5"/>
        <v>7.2202169201664417E-4</v>
      </c>
      <c r="H28" s="16">
        <f t="shared" ca="1" si="6"/>
        <v>-1.3602567478203717E-2</v>
      </c>
      <c r="J28" s="38">
        <f t="shared" si="7"/>
        <v>-7.2779641508320773E-3</v>
      </c>
      <c r="K28" s="38">
        <f t="shared" ca="1" si="8"/>
        <v>6.3710105709600929E-4</v>
      </c>
      <c r="L28" s="38">
        <f t="shared" ca="1" si="9"/>
        <v>-1.3687488113124353E-2</v>
      </c>
    </row>
    <row r="29" spans="1:12" ht="13.8" thickBot="1" x14ac:dyDescent="0.3">
      <c r="A29" s="12">
        <f ca="1">IFERROR(__xludf.DUMMYFUNCTION("""COMPUTED_VALUE"""),43488.6666666666)</f>
        <v>43488.666666666599</v>
      </c>
      <c r="B29" s="4">
        <v>28.92</v>
      </c>
      <c r="C29" s="2">
        <f ca="1">IFERROR(__xludf.DUMMYFUNCTION("""COMPUTED_VALUE"""),54.76)</f>
        <v>54.76</v>
      </c>
      <c r="D29" s="2">
        <f ca="1">IFERROR(__xludf.DUMMYFUNCTION("""COMPUTED_VALUE"""),263.41)</f>
        <v>263.41000000000003</v>
      </c>
      <c r="F29" s="16">
        <f t="shared" si="4"/>
        <v>-5.8610752165462595E-3</v>
      </c>
      <c r="G29" s="16">
        <f t="shared" ca="1" si="5"/>
        <v>-1.1980539014584245E-2</v>
      </c>
      <c r="H29" s="16">
        <f t="shared" ca="1" si="6"/>
        <v>2.090182606797119E-3</v>
      </c>
      <c r="J29" s="38">
        <f t="shared" si="7"/>
        <v>-5.9459958514668943E-3</v>
      </c>
      <c r="K29" s="38">
        <f t="shared" ca="1" si="8"/>
        <v>-1.2065459649504881E-2</v>
      </c>
      <c r="L29" s="38">
        <f t="shared" ca="1" si="9"/>
        <v>2.0052619718764842E-3</v>
      </c>
    </row>
    <row r="30" spans="1:12" ht="13.8" thickBot="1" x14ac:dyDescent="0.3">
      <c r="A30" s="12">
        <f ca="1">IFERROR(__xludf.DUMMYFUNCTION("""COMPUTED_VALUE"""),43489.6666666666)</f>
        <v>43489.666666666599</v>
      </c>
      <c r="B30" s="4">
        <v>29.08</v>
      </c>
      <c r="C30" s="2">
        <f ca="1">IFERROR(__xludf.DUMMYFUNCTION("""COMPUTED_VALUE"""),54.31)</f>
        <v>54.31</v>
      </c>
      <c r="D30" s="2">
        <f ca="1">IFERROR(__xludf.DUMMYFUNCTION("""COMPUTED_VALUE"""),263.55)</f>
        <v>263.55</v>
      </c>
      <c r="F30" s="16">
        <f t="shared" si="4"/>
        <v>5.5172553747546592E-3</v>
      </c>
      <c r="G30" s="16">
        <f t="shared" ca="1" si="5"/>
        <v>-8.2516283734941111E-3</v>
      </c>
      <c r="H30" s="16">
        <f t="shared" ca="1" si="6"/>
        <v>5.313496405565997E-4</v>
      </c>
      <c r="J30" s="38">
        <f t="shared" si="7"/>
        <v>5.4323347398340244E-3</v>
      </c>
      <c r="K30" s="38">
        <f t="shared" ca="1" si="8"/>
        <v>-8.3365490084147467E-3</v>
      </c>
      <c r="L30" s="38">
        <f t="shared" ca="1" si="9"/>
        <v>4.4642900563596482E-4</v>
      </c>
    </row>
    <row r="31" spans="1:12" ht="13.8" thickBot="1" x14ac:dyDescent="0.3">
      <c r="A31" s="12">
        <f ca="1">IFERROR(__xludf.DUMMYFUNCTION("""COMPUTED_VALUE"""),43490.6666666666)</f>
        <v>43490.666666666599</v>
      </c>
      <c r="B31" s="4">
        <v>29.58</v>
      </c>
      <c r="C31" s="2">
        <f ca="1">IFERROR(__xludf.DUMMYFUNCTION("""COMPUTED_VALUE"""),55.1)</f>
        <v>55.1</v>
      </c>
      <c r="D31" s="2">
        <f ca="1">IFERROR(__xludf.DUMMYFUNCTION("""COMPUTED_VALUE"""),265.78)</f>
        <v>265.77999999999997</v>
      </c>
      <c r="F31" s="16">
        <f t="shared" si="4"/>
        <v>1.7047804617335065E-2</v>
      </c>
      <c r="G31" s="16">
        <f t="shared" ca="1" si="5"/>
        <v>1.4441344112114856E-2</v>
      </c>
      <c r="H31" s="16">
        <f t="shared" ca="1" si="6"/>
        <v>8.4257956021455815E-3</v>
      </c>
      <c r="J31" s="38">
        <f t="shared" si="7"/>
        <v>1.6962883982414429E-2</v>
      </c>
      <c r="K31" s="38">
        <f t="shared" ca="1" si="8"/>
        <v>1.435642347719422E-2</v>
      </c>
      <c r="L31" s="38">
        <f t="shared" ca="1" si="9"/>
        <v>8.3408749672249458E-3</v>
      </c>
    </row>
    <row r="32" spans="1:12" ht="13.8" thickBot="1" x14ac:dyDescent="0.3">
      <c r="A32" s="12">
        <f ca="1">IFERROR(__xludf.DUMMYFUNCTION("""COMPUTED_VALUE"""),43493.6666666666)</f>
        <v>43493.666666666599</v>
      </c>
      <c r="B32" s="4">
        <v>29.63</v>
      </c>
      <c r="C32" s="2">
        <f ca="1">IFERROR(__xludf.DUMMYFUNCTION("""COMPUTED_VALUE"""),56.11)</f>
        <v>56.11</v>
      </c>
      <c r="D32" s="2">
        <f ca="1">IFERROR(__xludf.DUMMYFUNCTION("""COMPUTED_VALUE"""),263.76)</f>
        <v>263.76</v>
      </c>
      <c r="F32" s="16">
        <f t="shared" si="4"/>
        <v>1.6889043028202645E-3</v>
      </c>
      <c r="G32" s="16">
        <f t="shared" ca="1" si="5"/>
        <v>1.8164333604011818E-2</v>
      </c>
      <c r="H32" s="16">
        <f t="shared" ca="1" si="6"/>
        <v>-7.6293001398859746E-3</v>
      </c>
      <c r="J32" s="38">
        <f t="shared" si="7"/>
        <v>1.6039836678996295E-3</v>
      </c>
      <c r="K32" s="38">
        <f t="shared" ca="1" si="8"/>
        <v>1.8079412969091182E-2</v>
      </c>
      <c r="L32" s="38">
        <f t="shared" ca="1" si="9"/>
        <v>-7.7142207748066094E-3</v>
      </c>
    </row>
    <row r="33" spans="1:12" ht="13.8" thickBot="1" x14ac:dyDescent="0.3">
      <c r="A33" s="12">
        <f ca="1">IFERROR(__xludf.DUMMYFUNCTION("""COMPUTED_VALUE"""),43494.6666666666)</f>
        <v>43494.666666666599</v>
      </c>
      <c r="B33" s="4">
        <v>29.39</v>
      </c>
      <c r="C33" s="2">
        <f ca="1">IFERROR(__xludf.DUMMYFUNCTION("""COMPUTED_VALUE"""),55.72)</f>
        <v>55.72</v>
      </c>
      <c r="D33" s="2">
        <f ca="1">IFERROR(__xludf.DUMMYFUNCTION("""COMPUTED_VALUE"""),263.41)</f>
        <v>263.41000000000003</v>
      </c>
      <c r="F33" s="16">
        <f t="shared" si="4"/>
        <v>-8.1328811546478794E-3</v>
      </c>
      <c r="G33" s="16">
        <f t="shared" ca="1" si="5"/>
        <v>-6.974900851275681E-3</v>
      </c>
      <c r="H33" s="16">
        <f t="shared" ca="1" si="6"/>
        <v>-1.3278451028162824E-3</v>
      </c>
      <c r="J33" s="38">
        <f t="shared" si="7"/>
        <v>-8.217801789568515E-3</v>
      </c>
      <c r="K33" s="38">
        <f t="shared" ca="1" si="8"/>
        <v>-7.0598214861963158E-3</v>
      </c>
      <c r="L33" s="38">
        <f t="shared" ca="1" si="9"/>
        <v>-1.4127657377369174E-3</v>
      </c>
    </row>
    <row r="34" spans="1:12" ht="13.8" thickBot="1" x14ac:dyDescent="0.3">
      <c r="A34" s="12">
        <f ca="1">IFERROR(__xludf.DUMMYFUNCTION("""COMPUTED_VALUE"""),43495.6666666666)</f>
        <v>43495.666666666599</v>
      </c>
      <c r="B34" s="4">
        <v>29.07</v>
      </c>
      <c r="C34" s="2">
        <f ca="1">IFERROR(__xludf.DUMMYFUNCTION("""COMPUTED_VALUE"""),55.49)</f>
        <v>55.49</v>
      </c>
      <c r="D34" s="2">
        <f ca="1">IFERROR(__xludf.DUMMYFUNCTION("""COMPUTED_VALUE"""),267.58)</f>
        <v>267.58</v>
      </c>
      <c r="F34" s="16">
        <f t="shared" si="4"/>
        <v>-1.0947765860041453E-2</v>
      </c>
      <c r="G34" s="16">
        <f t="shared" ca="1" si="5"/>
        <v>-4.1363245737949719E-3</v>
      </c>
      <c r="H34" s="16">
        <f t="shared" ca="1" si="6"/>
        <v>1.5706833384813879E-2</v>
      </c>
      <c r="J34" s="38">
        <f t="shared" si="7"/>
        <v>-1.1032686494962089E-2</v>
      </c>
      <c r="K34" s="38">
        <f t="shared" ca="1" si="8"/>
        <v>-4.2212452087156066E-3</v>
      </c>
      <c r="L34" s="38">
        <f t="shared" ca="1" si="9"/>
        <v>1.5621912749893243E-2</v>
      </c>
    </row>
    <row r="35" spans="1:12" ht="13.8" thickBot="1" x14ac:dyDescent="0.3">
      <c r="A35" s="12">
        <f ca="1">IFERROR(__xludf.DUMMYFUNCTION("""COMPUTED_VALUE"""),43496.6666666666)</f>
        <v>43496.666666666599</v>
      </c>
      <c r="B35" s="4">
        <v>28.47</v>
      </c>
      <c r="C35" s="2">
        <f ca="1">IFERROR(__xludf.DUMMYFUNCTION("""COMPUTED_VALUE"""),55.51)</f>
        <v>55.51</v>
      </c>
      <c r="D35" s="2">
        <f ca="1">IFERROR(__xludf.DUMMYFUNCTION("""COMPUTED_VALUE"""),269.93)</f>
        <v>269.93</v>
      </c>
      <c r="F35" s="16">
        <f t="shared" si="4"/>
        <v>-2.0855813280838457E-2</v>
      </c>
      <c r="G35" s="16">
        <f t="shared" ca="1" si="5"/>
        <v>3.6036036425995076E-4</v>
      </c>
      <c r="H35" s="16">
        <f t="shared" ca="1" si="6"/>
        <v>8.7440790801507837E-3</v>
      </c>
      <c r="J35" s="38">
        <f t="shared" si="7"/>
        <v>-2.0940733915759093E-2</v>
      </c>
      <c r="K35" s="38">
        <f t="shared" ca="1" si="8"/>
        <v>2.7543972933931587E-4</v>
      </c>
      <c r="L35" s="38">
        <f t="shared" ca="1" si="9"/>
        <v>8.659158445230148E-3</v>
      </c>
    </row>
    <row r="36" spans="1:12" ht="13.8" thickBot="1" x14ac:dyDescent="0.3">
      <c r="A36" s="12">
        <f ca="1">IFERROR(__xludf.DUMMYFUNCTION("""COMPUTED_VALUE"""),43497.6666666666)</f>
        <v>43497.666666666599</v>
      </c>
      <c r="B36" s="4">
        <v>28.38</v>
      </c>
      <c r="C36" s="2">
        <f ca="1">IFERROR(__xludf.DUMMYFUNCTION("""COMPUTED_VALUE"""),55.83)</f>
        <v>55.83</v>
      </c>
      <c r="D36" s="2">
        <f ca="1">IFERROR(__xludf.DUMMYFUNCTION("""COMPUTED_VALUE"""),270.06)</f>
        <v>270.06</v>
      </c>
      <c r="F36" s="16">
        <f t="shared" si="4"/>
        <v>-3.1662295580495493E-3</v>
      </c>
      <c r="G36" s="16">
        <f t="shared" ca="1" si="5"/>
        <v>5.7481746201991308E-3</v>
      </c>
      <c r="H36" s="16">
        <f t="shared" ca="1" si="6"/>
        <v>4.8149040727252755E-4</v>
      </c>
      <c r="J36" s="38">
        <f t="shared" si="7"/>
        <v>-3.2511501929701841E-3</v>
      </c>
      <c r="K36" s="38">
        <f t="shared" ca="1" si="8"/>
        <v>5.663253985278496E-3</v>
      </c>
      <c r="L36" s="38">
        <f t="shared" ca="1" si="9"/>
        <v>3.9656977235189266E-4</v>
      </c>
    </row>
    <row r="37" spans="1:12" ht="13.8" thickBot="1" x14ac:dyDescent="0.3">
      <c r="A37" s="12">
        <f ca="1">IFERROR(__xludf.DUMMYFUNCTION("""COMPUTED_VALUE"""),43500.6666666666)</f>
        <v>43500.666666666599</v>
      </c>
      <c r="B37" s="4">
        <v>28.88</v>
      </c>
      <c r="C37" s="2">
        <f ca="1">IFERROR(__xludf.DUMMYFUNCTION("""COMPUTED_VALUE"""),55.56)</f>
        <v>55.56</v>
      </c>
      <c r="D37" s="2">
        <f ca="1">IFERROR(__xludf.DUMMYFUNCTION("""COMPUTED_VALUE"""),271.96)</f>
        <v>271.95999999999998</v>
      </c>
      <c r="F37" s="16">
        <f t="shared" si="4"/>
        <v>1.746464229272893E-2</v>
      </c>
      <c r="G37" s="16">
        <f t="shared" ca="1" si="5"/>
        <v>-4.8478414361259525E-3</v>
      </c>
      <c r="H37" s="16">
        <f t="shared" ca="1" si="6"/>
        <v>7.0108401253624253E-3</v>
      </c>
      <c r="J37" s="38">
        <f t="shared" si="7"/>
        <v>1.7379721657808295E-2</v>
      </c>
      <c r="K37" s="38">
        <f t="shared" ca="1" si="8"/>
        <v>-4.9327620710465873E-3</v>
      </c>
      <c r="L37" s="38">
        <f t="shared" ca="1" si="9"/>
        <v>6.9259194904417905E-3</v>
      </c>
    </row>
    <row r="38" spans="1:12" ht="13.8" thickBot="1" x14ac:dyDescent="0.3">
      <c r="A38" s="12">
        <f ca="1">IFERROR(__xludf.DUMMYFUNCTION("""COMPUTED_VALUE"""),43501.6666666666)</f>
        <v>43501.666666666599</v>
      </c>
      <c r="B38" s="4">
        <v>28.78</v>
      </c>
      <c r="C38" s="2">
        <f ca="1">IFERROR(__xludf.DUMMYFUNCTION("""COMPUTED_VALUE"""),55.74)</f>
        <v>55.74</v>
      </c>
      <c r="D38" s="2">
        <f ca="1">IFERROR(__xludf.DUMMYFUNCTION("""COMPUTED_VALUE"""),273.1)</f>
        <v>273.10000000000002</v>
      </c>
      <c r="F38" s="16">
        <f t="shared" si="4"/>
        <v>-3.468612565403633E-3</v>
      </c>
      <c r="G38" s="16">
        <f t="shared" ca="1" si="5"/>
        <v>3.2345041676590976E-3</v>
      </c>
      <c r="H38" s="16">
        <f t="shared" ca="1" si="6"/>
        <v>4.183031821400519E-3</v>
      </c>
      <c r="J38" s="38">
        <f t="shared" si="7"/>
        <v>-3.5535332003242678E-3</v>
      </c>
      <c r="K38" s="38">
        <f t="shared" ca="1" si="8"/>
        <v>3.1495835327384628E-3</v>
      </c>
      <c r="L38" s="38">
        <f t="shared" ca="1" si="9"/>
        <v>4.0981111864798843E-3</v>
      </c>
    </row>
    <row r="39" spans="1:12" ht="13.8" thickBot="1" x14ac:dyDescent="0.3">
      <c r="A39" s="12">
        <f ca="1">IFERROR(__xludf.DUMMYFUNCTION("""COMPUTED_VALUE"""),43502.6666666666)</f>
        <v>43502.666666666599</v>
      </c>
      <c r="B39" s="4">
        <v>28.73</v>
      </c>
      <c r="C39" s="2">
        <f ca="1">IFERROR(__xludf.DUMMYFUNCTION("""COMPUTED_VALUE"""),55.89)</f>
        <v>55.89</v>
      </c>
      <c r="D39" s="2">
        <f ca="1">IFERROR(__xludf.DUMMYFUNCTION("""COMPUTED_VALUE"""),272.74)</f>
        <v>272.74</v>
      </c>
      <c r="F39" s="16">
        <f t="shared" si="4"/>
        <v>-1.738828468023611E-3</v>
      </c>
      <c r="G39" s="16">
        <f t="shared" ca="1" si="5"/>
        <v>2.6874512278045339E-3</v>
      </c>
      <c r="H39" s="16">
        <f t="shared" ca="1" si="6"/>
        <v>-1.3190680499714715E-3</v>
      </c>
      <c r="J39" s="38">
        <f t="shared" si="7"/>
        <v>-1.823749102944246E-3</v>
      </c>
      <c r="K39" s="38">
        <f t="shared" ca="1" si="8"/>
        <v>2.6025305928838991E-3</v>
      </c>
      <c r="L39" s="38">
        <f t="shared" ca="1" si="9"/>
        <v>-1.4039886848921065E-3</v>
      </c>
    </row>
    <row r="40" spans="1:12" ht="13.8" thickBot="1" x14ac:dyDescent="0.3">
      <c r="A40" s="12">
        <f ca="1">IFERROR(__xludf.DUMMYFUNCTION("""COMPUTED_VALUE"""),43503.6666666666)</f>
        <v>43503.666666666599</v>
      </c>
      <c r="B40" s="4">
        <v>28.24</v>
      </c>
      <c r="C40" s="2">
        <f ca="1">IFERROR(__xludf.DUMMYFUNCTION("""COMPUTED_VALUE"""),56.08)</f>
        <v>56.08</v>
      </c>
      <c r="D40" s="2">
        <f ca="1">IFERROR(__xludf.DUMMYFUNCTION("""COMPUTED_VALUE"""),270.14)</f>
        <v>270.14</v>
      </c>
      <c r="F40" s="16">
        <f t="shared" si="4"/>
        <v>-1.7202460366156927E-2</v>
      </c>
      <c r="G40" s="16">
        <f t="shared" ca="1" si="5"/>
        <v>3.3937694447278123E-3</v>
      </c>
      <c r="H40" s="16">
        <f t="shared" ca="1" si="6"/>
        <v>-9.5786172970698837E-3</v>
      </c>
      <c r="J40" s="38">
        <f t="shared" si="7"/>
        <v>-1.7287381001077563E-2</v>
      </c>
      <c r="K40" s="38">
        <f t="shared" ca="1" si="8"/>
        <v>3.3088488098071776E-3</v>
      </c>
      <c r="L40" s="38">
        <f t="shared" ca="1" si="9"/>
        <v>-9.6635379319905193E-3</v>
      </c>
    </row>
    <row r="41" spans="1:12" ht="13.8" thickBot="1" x14ac:dyDescent="0.3">
      <c r="A41" s="12">
        <f ca="1">IFERROR(__xludf.DUMMYFUNCTION("""COMPUTED_VALUE"""),43504.6666666666)</f>
        <v>43504.666666666599</v>
      </c>
      <c r="B41" s="4">
        <v>28.29</v>
      </c>
      <c r="C41" s="2">
        <f ca="1">IFERROR(__xludf.DUMMYFUNCTION("""COMPUTED_VALUE"""),54.69)</f>
        <v>54.69</v>
      </c>
      <c r="D41" s="2">
        <f ca="1">IFERROR(__xludf.DUMMYFUNCTION("""COMPUTED_VALUE"""),270.47)</f>
        <v>270.47000000000003</v>
      </c>
      <c r="F41" s="16">
        <f t="shared" si="4"/>
        <v>1.768972688434591E-3</v>
      </c>
      <c r="G41" s="16">
        <f t="shared" ca="1" si="5"/>
        <v>-2.5098365367653301E-2</v>
      </c>
      <c r="H41" s="16">
        <f t="shared" ca="1" si="6"/>
        <v>1.2208432732935864E-3</v>
      </c>
      <c r="J41" s="38">
        <f t="shared" si="7"/>
        <v>1.684052053513956E-3</v>
      </c>
      <c r="K41" s="38">
        <f t="shared" ca="1" si="8"/>
        <v>-2.5183286002573937E-2</v>
      </c>
      <c r="L41" s="38">
        <f t="shared" ca="1" si="9"/>
        <v>1.1359226383729514E-3</v>
      </c>
    </row>
    <row r="42" spans="1:12" ht="13.8" thickBot="1" x14ac:dyDescent="0.3">
      <c r="A42" s="12">
        <f ca="1">IFERROR(__xludf.DUMMYFUNCTION("""COMPUTED_VALUE"""),43507.6666666666)</f>
        <v>43507.666666666599</v>
      </c>
      <c r="B42" s="4">
        <v>28.41</v>
      </c>
      <c r="C42" s="2">
        <f ca="1">IFERROR(__xludf.DUMMYFUNCTION("""COMPUTED_VALUE"""),54.16)</f>
        <v>54.16</v>
      </c>
      <c r="D42" s="2">
        <f ca="1">IFERROR(__xludf.DUMMYFUNCTION("""COMPUTED_VALUE"""),270.62)</f>
        <v>270.62</v>
      </c>
      <c r="F42" s="16">
        <f t="shared" si="4"/>
        <v>4.2328105526207626E-3</v>
      </c>
      <c r="G42" s="16">
        <f t="shared" ca="1" si="5"/>
        <v>-9.7382487546618223E-3</v>
      </c>
      <c r="H42" s="16">
        <f t="shared" ca="1" si="6"/>
        <v>5.5443642958641272E-4</v>
      </c>
      <c r="J42" s="38">
        <f t="shared" si="7"/>
        <v>4.1478899177001278E-3</v>
      </c>
      <c r="K42" s="38">
        <f t="shared" ca="1" si="8"/>
        <v>-9.823169389582458E-3</v>
      </c>
      <c r="L42" s="38">
        <f t="shared" ca="1" si="9"/>
        <v>4.6951579466577784E-4</v>
      </c>
    </row>
    <row r="43" spans="1:12" ht="13.8" thickBot="1" x14ac:dyDescent="0.3">
      <c r="A43" s="12">
        <f ca="1">IFERROR(__xludf.DUMMYFUNCTION("""COMPUTED_VALUE"""),43508.6666666666)</f>
        <v>43508.666666666599</v>
      </c>
      <c r="B43" s="4">
        <v>28.69</v>
      </c>
      <c r="C43" s="2">
        <f ca="1">IFERROR(__xludf.DUMMYFUNCTION("""COMPUTED_VALUE"""),54.74)</f>
        <v>54.74</v>
      </c>
      <c r="D43" s="2">
        <f ca="1">IFERROR(__xludf.DUMMYFUNCTION("""COMPUTED_VALUE"""),274.1)</f>
        <v>274.10000000000002</v>
      </c>
      <c r="F43" s="16">
        <f t="shared" si="4"/>
        <v>9.8074341271767972E-3</v>
      </c>
      <c r="G43" s="16">
        <f t="shared" ca="1" si="5"/>
        <v>1.0652075008513602E-2</v>
      </c>
      <c r="H43" s="16">
        <f t="shared" ca="1" si="6"/>
        <v>1.2777380473242105E-2</v>
      </c>
      <c r="J43" s="38">
        <f t="shared" si="7"/>
        <v>9.7225134922561615E-3</v>
      </c>
      <c r="K43" s="38">
        <f t="shared" ca="1" si="8"/>
        <v>1.0567154373592966E-2</v>
      </c>
      <c r="L43" s="38">
        <f t="shared" ca="1" si="9"/>
        <v>1.2692459838321469E-2</v>
      </c>
    </row>
    <row r="44" spans="1:12" ht="13.8" thickBot="1" x14ac:dyDescent="0.3">
      <c r="A44" s="12">
        <f ca="1">IFERROR(__xludf.DUMMYFUNCTION("""COMPUTED_VALUE"""),43509.6666666666)</f>
        <v>43509.666666666599</v>
      </c>
      <c r="B44" s="4">
        <v>28.7</v>
      </c>
      <c r="C44" s="2">
        <f ca="1">IFERROR(__xludf.DUMMYFUNCTION("""COMPUTED_VALUE"""),55.55)</f>
        <v>55.55</v>
      </c>
      <c r="D44" s="2">
        <f ca="1">IFERROR(__xludf.DUMMYFUNCTION("""COMPUTED_VALUE"""),274.99)</f>
        <v>274.99</v>
      </c>
      <c r="F44" s="16">
        <f t="shared" si="4"/>
        <v>3.4849277230188916E-4</v>
      </c>
      <c r="G44" s="16">
        <f t="shared" ca="1" si="5"/>
        <v>1.468881247310579E-2</v>
      </c>
      <c r="H44" s="16">
        <f t="shared" ca="1" si="6"/>
        <v>3.2417300602944599E-3</v>
      </c>
      <c r="J44" s="38">
        <f t="shared" si="7"/>
        <v>2.6357213738125427E-4</v>
      </c>
      <c r="K44" s="38">
        <f t="shared" ca="1" si="8"/>
        <v>1.4603891838185154E-2</v>
      </c>
      <c r="L44" s="38">
        <f t="shared" ca="1" si="9"/>
        <v>3.1568094253738251E-3</v>
      </c>
    </row>
    <row r="45" spans="1:12" ht="13.8" thickBot="1" x14ac:dyDescent="0.3">
      <c r="A45" s="12">
        <f ca="1">IFERROR(__xludf.DUMMYFUNCTION("""COMPUTED_VALUE"""),43510.6666666666)</f>
        <v>43510.666666666599</v>
      </c>
      <c r="B45" s="4">
        <v>28.39</v>
      </c>
      <c r="C45" s="2">
        <f ca="1">IFERROR(__xludf.DUMMYFUNCTION("""COMPUTED_VALUE"""),56.02)</f>
        <v>56.02</v>
      </c>
      <c r="D45" s="2">
        <f ca="1">IFERROR(__xludf.DUMMYFUNCTION("""COMPUTED_VALUE"""),274.38)</f>
        <v>274.38</v>
      </c>
      <c r="F45" s="16">
        <f t="shared" si="4"/>
        <v>-1.0860152280695583E-2</v>
      </c>
      <c r="G45" s="16">
        <f t="shared" ca="1" si="5"/>
        <v>8.4252537463235123E-3</v>
      </c>
      <c r="H45" s="16">
        <f t="shared" ca="1" si="6"/>
        <v>-2.2207264710157838E-3</v>
      </c>
      <c r="J45" s="38">
        <f t="shared" si="7"/>
        <v>-1.0945072915616218E-2</v>
      </c>
      <c r="K45" s="38">
        <f t="shared" ca="1" si="8"/>
        <v>8.3403331114028766E-3</v>
      </c>
      <c r="L45" s="38">
        <f t="shared" ca="1" si="9"/>
        <v>-2.3056471059364186E-3</v>
      </c>
    </row>
    <row r="46" spans="1:12" ht="13.8" thickBot="1" x14ac:dyDescent="0.3">
      <c r="A46" s="12">
        <f ca="1">IFERROR(__xludf.DUMMYFUNCTION("""COMPUTED_VALUE"""),43511.6666666666)</f>
        <v>43511.666666666599</v>
      </c>
      <c r="B46" s="4">
        <v>29.11</v>
      </c>
      <c r="C46" s="2">
        <f ca="1">IFERROR(__xludf.DUMMYFUNCTION("""COMPUTED_VALUE"""),55.25)</f>
        <v>55.25</v>
      </c>
      <c r="D46" s="2">
        <f ca="1">IFERROR(__xludf.DUMMYFUNCTION("""COMPUTED_VALUE"""),277.37)</f>
        <v>277.37</v>
      </c>
      <c r="F46" s="16">
        <f t="shared" si="4"/>
        <v>2.5044787272651952E-2</v>
      </c>
      <c r="G46" s="16">
        <f t="shared" ca="1" si="5"/>
        <v>-1.3840429434100344E-2</v>
      </c>
      <c r="H46" s="16">
        <f t="shared" ca="1" si="6"/>
        <v>1.0838348054366481E-2</v>
      </c>
      <c r="J46" s="38">
        <f t="shared" si="7"/>
        <v>2.4959866637731316E-2</v>
      </c>
      <c r="K46" s="38">
        <f t="shared" ca="1" si="8"/>
        <v>-1.3925350069020979E-2</v>
      </c>
      <c r="L46" s="38">
        <f t="shared" ca="1" si="9"/>
        <v>1.0753427419445846E-2</v>
      </c>
    </row>
    <row r="47" spans="1:12" ht="13.8" thickBot="1" x14ac:dyDescent="0.3">
      <c r="A47" s="12">
        <f ca="1">IFERROR(__xludf.DUMMYFUNCTION("""COMPUTED_VALUE"""),43515.6666666666)</f>
        <v>43515.666666666599</v>
      </c>
      <c r="B47" s="4">
        <v>29.13</v>
      </c>
      <c r="C47" s="2">
        <f ca="1">IFERROR(__xludf.DUMMYFUNCTION("""COMPUTED_VALUE"""),56.79)</f>
        <v>56.79</v>
      </c>
      <c r="D47" s="2">
        <f ca="1">IFERROR(__xludf.DUMMYFUNCTION("""COMPUTED_VALUE"""),277.85)</f>
        <v>277.85000000000002</v>
      </c>
      <c r="F47" s="16">
        <f t="shared" si="4"/>
        <v>6.8681321381130621E-4</v>
      </c>
      <c r="G47" s="16">
        <f t="shared" ca="1" si="5"/>
        <v>2.749191349147892E-2</v>
      </c>
      <c r="H47" s="16">
        <f t="shared" ca="1" si="6"/>
        <v>1.72904477354513E-3</v>
      </c>
      <c r="J47" s="38">
        <f t="shared" si="7"/>
        <v>6.0189257889067132E-4</v>
      </c>
      <c r="K47" s="38">
        <f t="shared" ca="1" si="8"/>
        <v>2.7406992856558284E-2</v>
      </c>
      <c r="L47" s="38">
        <f t="shared" ca="1" si="9"/>
        <v>1.644124138624495E-3</v>
      </c>
    </row>
    <row r="48" spans="1:12" ht="13.8" thickBot="1" x14ac:dyDescent="0.3">
      <c r="A48" s="12">
        <f ca="1">IFERROR(__xludf.DUMMYFUNCTION("""COMPUTED_VALUE"""),43516.6666666666)</f>
        <v>43516.666666666599</v>
      </c>
      <c r="B48" s="4">
        <v>29.41</v>
      </c>
      <c r="C48" s="2">
        <f ca="1">IFERROR(__xludf.DUMMYFUNCTION("""COMPUTED_VALUE"""),56.82)</f>
        <v>56.82</v>
      </c>
      <c r="D48" s="2">
        <f ca="1">IFERROR(__xludf.DUMMYFUNCTION("""COMPUTED_VALUE"""),278.41)</f>
        <v>278.41000000000003</v>
      </c>
      <c r="F48" s="16">
        <f t="shared" si="4"/>
        <v>9.5661815945604755E-3</v>
      </c>
      <c r="G48" s="16">
        <f t="shared" ca="1" si="5"/>
        <v>5.281225367007637E-4</v>
      </c>
      <c r="H48" s="16">
        <f t="shared" ca="1" si="6"/>
        <v>2.0134476294730889E-3</v>
      </c>
      <c r="J48" s="38">
        <f t="shared" si="7"/>
        <v>9.4812609596398398E-3</v>
      </c>
      <c r="K48" s="38">
        <f t="shared" ca="1" si="8"/>
        <v>4.4320190178012882E-4</v>
      </c>
      <c r="L48" s="38">
        <f t="shared" ca="1" si="9"/>
        <v>1.9285269945524539E-3</v>
      </c>
    </row>
    <row r="49" spans="1:12" ht="13.8" thickBot="1" x14ac:dyDescent="0.3">
      <c r="A49" s="12">
        <f ca="1">IFERROR(__xludf.DUMMYFUNCTION("""COMPUTED_VALUE"""),43517.6666666666)</f>
        <v>43517.666666666599</v>
      </c>
      <c r="B49" s="4">
        <v>29.29</v>
      </c>
      <c r="C49" s="2">
        <f ca="1">IFERROR(__xludf.DUMMYFUNCTION("""COMPUTED_VALUE"""),56.33)</f>
        <v>56.33</v>
      </c>
      <c r="D49" s="2">
        <f ca="1">IFERROR(__xludf.DUMMYFUNCTION("""COMPUTED_VALUE"""),277.42)</f>
        <v>277.42</v>
      </c>
      <c r="F49" s="16">
        <f t="shared" si="4"/>
        <v>-4.0885917262616063E-3</v>
      </c>
      <c r="G49" s="16">
        <f t="shared" ca="1" si="5"/>
        <v>-8.6611235194193666E-3</v>
      </c>
      <c r="H49" s="16">
        <f t="shared" ca="1" si="6"/>
        <v>-3.5622440202592084E-3</v>
      </c>
      <c r="J49" s="38">
        <f t="shared" si="7"/>
        <v>-4.1735123611822411E-3</v>
      </c>
      <c r="K49" s="38">
        <f t="shared" ca="1" si="8"/>
        <v>-8.7460441543400023E-3</v>
      </c>
      <c r="L49" s="38">
        <f t="shared" ca="1" si="9"/>
        <v>-3.6471646551798432E-3</v>
      </c>
    </row>
    <row r="50" spans="1:12" ht="13.8" thickBot="1" x14ac:dyDescent="0.3">
      <c r="A50" s="12">
        <f ca="1">IFERROR(__xludf.DUMMYFUNCTION("""COMPUTED_VALUE"""),43518.6666666666)</f>
        <v>43518.666666666599</v>
      </c>
      <c r="B50" s="4">
        <v>29.08</v>
      </c>
      <c r="C50" s="2">
        <f ca="1">IFERROR(__xludf.DUMMYFUNCTION("""COMPUTED_VALUE"""),56.74)</f>
        <v>56.74</v>
      </c>
      <c r="D50" s="2">
        <f ca="1">IFERROR(__xludf.DUMMYFUNCTION("""COMPUTED_VALUE"""),279.14)</f>
        <v>279.14</v>
      </c>
      <c r="F50" s="16">
        <f t="shared" si="4"/>
        <v>-7.195508174323558E-3</v>
      </c>
      <c r="G50" s="16">
        <f t="shared" ca="1" si="5"/>
        <v>7.2521764740827001E-3</v>
      </c>
      <c r="H50" s="16">
        <f t="shared" ca="1" si="6"/>
        <v>6.1808447453540775E-3</v>
      </c>
      <c r="J50" s="38">
        <f t="shared" si="7"/>
        <v>-7.2804288092441927E-3</v>
      </c>
      <c r="K50" s="38">
        <f t="shared" ca="1" si="8"/>
        <v>7.1672558391620653E-3</v>
      </c>
      <c r="L50" s="38">
        <f t="shared" ca="1" si="9"/>
        <v>6.0959241104334427E-3</v>
      </c>
    </row>
    <row r="51" spans="1:12" ht="13.8" thickBot="1" x14ac:dyDescent="0.3">
      <c r="A51" s="12">
        <f ca="1">IFERROR(__xludf.DUMMYFUNCTION("""COMPUTED_VALUE"""),43521.6666666666)</f>
        <v>43521.666666666599</v>
      </c>
      <c r="B51" s="4">
        <v>29.27</v>
      </c>
      <c r="C51" s="2">
        <f ca="1">IFERROR(__xludf.DUMMYFUNCTION("""COMPUTED_VALUE"""),56.57)</f>
        <v>56.57</v>
      </c>
      <c r="D51" s="2">
        <f ca="1">IFERROR(__xludf.DUMMYFUNCTION("""COMPUTED_VALUE"""),279.52)</f>
        <v>279.52</v>
      </c>
      <c r="F51" s="16">
        <f t="shared" si="4"/>
        <v>6.5124480384758949E-3</v>
      </c>
      <c r="G51" s="16">
        <f t="shared" ca="1" si="5"/>
        <v>-3.0006200256409827E-3</v>
      </c>
      <c r="H51" s="16">
        <f t="shared" ca="1" si="6"/>
        <v>1.3603983052481337E-3</v>
      </c>
      <c r="J51" s="38">
        <f t="shared" si="7"/>
        <v>6.4275274035552601E-3</v>
      </c>
      <c r="K51" s="38">
        <f t="shared" ca="1" si="8"/>
        <v>-3.0855406605616175E-3</v>
      </c>
      <c r="L51" s="38">
        <f t="shared" ca="1" si="9"/>
        <v>1.2754776703274987E-3</v>
      </c>
    </row>
    <row r="52" spans="1:12" ht="13.8" thickBot="1" x14ac:dyDescent="0.3">
      <c r="A52" s="12">
        <f ca="1">IFERROR(__xludf.DUMMYFUNCTION("""COMPUTED_VALUE"""),43522.6666666666)</f>
        <v>43522.666666666599</v>
      </c>
      <c r="B52" s="4">
        <v>29.29</v>
      </c>
      <c r="C52" s="2">
        <f ca="1">IFERROR(__xludf.DUMMYFUNCTION("""COMPUTED_VALUE"""),56.66)</f>
        <v>56.66</v>
      </c>
      <c r="D52" s="2">
        <f ca="1">IFERROR(__xludf.DUMMYFUNCTION("""COMPUTED_VALUE"""),279.32)</f>
        <v>279.32</v>
      </c>
      <c r="F52" s="16">
        <f t="shared" si="4"/>
        <v>6.8306013584763044E-4</v>
      </c>
      <c r="G52" s="16">
        <f t="shared" ca="1" si="5"/>
        <v>1.589685047306015E-3</v>
      </c>
      <c r="H52" s="16">
        <f t="shared" ca="1" si="6"/>
        <v>-7.1576840791187321E-4</v>
      </c>
      <c r="J52" s="38">
        <f t="shared" si="7"/>
        <v>5.9813950092699555E-4</v>
      </c>
      <c r="K52" s="38">
        <f t="shared" ca="1" si="8"/>
        <v>1.50476441238538E-3</v>
      </c>
      <c r="L52" s="38">
        <f t="shared" ca="1" si="9"/>
        <v>-8.0068904283250809E-4</v>
      </c>
    </row>
    <row r="53" spans="1:12" ht="13.8" thickBot="1" x14ac:dyDescent="0.3">
      <c r="A53" s="12">
        <f ca="1">IFERROR(__xludf.DUMMYFUNCTION("""COMPUTED_VALUE"""),43523.6666666666)</f>
        <v>43523.666666666599</v>
      </c>
      <c r="B53" s="4">
        <v>29.53</v>
      </c>
      <c r="C53" s="2">
        <f ca="1">IFERROR(__xludf.DUMMYFUNCTION("""COMPUTED_VALUE"""),57.53)</f>
        <v>57.53</v>
      </c>
      <c r="D53" s="2">
        <f ca="1">IFERROR(__xludf.DUMMYFUNCTION("""COMPUTED_VALUE"""),279.2)</f>
        <v>279.2</v>
      </c>
      <c r="F53" s="16">
        <f t="shared" si="4"/>
        <v>8.1605349161893576E-3</v>
      </c>
      <c r="G53" s="16">
        <f t="shared" ca="1" si="5"/>
        <v>1.5238056472831605E-2</v>
      </c>
      <c r="H53" s="16">
        <f t="shared" ca="1" si="6"/>
        <v>-4.2970708961711477E-4</v>
      </c>
      <c r="J53" s="38">
        <f t="shared" si="7"/>
        <v>8.0756142812687219E-3</v>
      </c>
      <c r="K53" s="38">
        <f t="shared" ca="1" si="8"/>
        <v>1.515313583791097E-2</v>
      </c>
      <c r="L53" s="38">
        <f t="shared" ca="1" si="9"/>
        <v>-5.1462772453774971E-4</v>
      </c>
    </row>
    <row r="54" spans="1:12" ht="13.8" thickBot="1" x14ac:dyDescent="0.3">
      <c r="A54" s="12">
        <f ca="1">IFERROR(__xludf.DUMMYFUNCTION("""COMPUTED_VALUE"""),43524.6666666666)</f>
        <v>43524.666666666599</v>
      </c>
      <c r="B54" s="4">
        <v>29.08</v>
      </c>
      <c r="C54" s="2">
        <f ca="1">IFERROR(__xludf.DUMMYFUNCTION("""COMPUTED_VALUE"""),56.76)</f>
        <v>56.76</v>
      </c>
      <c r="D54" s="2">
        <f ca="1">IFERROR(__xludf.DUMMYFUNCTION("""COMPUTED_VALUE"""),278.68)</f>
        <v>278.68</v>
      </c>
      <c r="F54" s="16">
        <f t="shared" si="4"/>
        <v>-1.5356043090512818E-2</v>
      </c>
      <c r="G54" s="16">
        <f t="shared" ca="1" si="5"/>
        <v>-1.3474698583360272E-2</v>
      </c>
      <c r="H54" s="16">
        <f t="shared" ca="1" si="6"/>
        <v>-1.864200726299147E-3</v>
      </c>
      <c r="J54" s="38">
        <f t="shared" si="7"/>
        <v>-1.5440963725433453E-2</v>
      </c>
      <c r="K54" s="38">
        <f t="shared" ca="1" si="8"/>
        <v>-1.3559619218280907E-2</v>
      </c>
      <c r="L54" s="38">
        <f t="shared" ca="1" si="9"/>
        <v>-1.949121361219782E-3</v>
      </c>
    </row>
    <row r="55" spans="1:12" ht="13.8" thickBot="1" x14ac:dyDescent="0.3">
      <c r="A55" s="12">
        <f ca="1">IFERROR(__xludf.DUMMYFUNCTION("""COMPUTED_VALUE"""),43525.6666666666)</f>
        <v>43525.666666666599</v>
      </c>
      <c r="B55" s="4">
        <v>29.31</v>
      </c>
      <c r="C55" s="2">
        <f ca="1">IFERROR(__xludf.DUMMYFUNCTION("""COMPUTED_VALUE"""),56.59)</f>
        <v>56.59</v>
      </c>
      <c r="D55" s="2">
        <f ca="1">IFERROR(__xludf.DUMMYFUNCTION("""COMPUTED_VALUE"""),280.42)</f>
        <v>280.42</v>
      </c>
      <c r="F55" s="16">
        <f t="shared" si="4"/>
        <v>7.8781020574824369E-3</v>
      </c>
      <c r="G55" s="16">
        <f t="shared" ca="1" si="5"/>
        <v>-2.9995611374093491E-3</v>
      </c>
      <c r="H55" s="16">
        <f t="shared" ca="1" si="6"/>
        <v>6.2243091310674441E-3</v>
      </c>
      <c r="J55" s="38">
        <f t="shared" si="7"/>
        <v>7.7931814225618021E-3</v>
      </c>
      <c r="K55" s="38">
        <f t="shared" ca="1" si="8"/>
        <v>-3.0844817723299838E-3</v>
      </c>
      <c r="L55" s="38">
        <f t="shared" ca="1" si="9"/>
        <v>6.1393884961468094E-3</v>
      </c>
    </row>
    <row r="56" spans="1:12" ht="13.8" thickBot="1" x14ac:dyDescent="0.3">
      <c r="A56" s="12">
        <f ca="1">IFERROR(__xludf.DUMMYFUNCTION("""COMPUTED_VALUE"""),43528.6666666666)</f>
        <v>43528.666666666599</v>
      </c>
      <c r="B56" s="4">
        <v>29.03</v>
      </c>
      <c r="C56" s="2">
        <f ca="1">IFERROR(__xludf.DUMMYFUNCTION("""COMPUTED_VALUE"""),56.29)</f>
        <v>56.29</v>
      </c>
      <c r="D56" s="2">
        <f ca="1">IFERROR(__xludf.DUMMYFUNCTION("""COMPUTED_VALUE"""),279.4)</f>
        <v>279.39999999999998</v>
      </c>
      <c r="F56" s="16">
        <f t="shared" si="4"/>
        <v>-9.5989766862624535E-3</v>
      </c>
      <c r="G56" s="16">
        <f t="shared" ca="1" si="5"/>
        <v>-5.3153916784973209E-3</v>
      </c>
      <c r="H56" s="16">
        <f t="shared" ca="1" si="6"/>
        <v>-3.6440324701241425E-3</v>
      </c>
      <c r="J56" s="38">
        <f t="shared" si="7"/>
        <v>-9.6838973211830891E-3</v>
      </c>
      <c r="K56" s="38">
        <f t="shared" ca="1" si="8"/>
        <v>-5.4003123134179556E-3</v>
      </c>
      <c r="L56" s="38">
        <f t="shared" ca="1" si="9"/>
        <v>-3.7289531050447773E-3</v>
      </c>
    </row>
    <row r="57" spans="1:12" ht="13.8" thickBot="1" x14ac:dyDescent="0.3">
      <c r="A57" s="12">
        <f ca="1">IFERROR(__xludf.DUMMYFUNCTION("""COMPUTED_VALUE"""),43529.6666666666)</f>
        <v>43529.666666666599</v>
      </c>
      <c r="B57" s="4">
        <v>29.08</v>
      </c>
      <c r="C57" s="2">
        <f ca="1">IFERROR(__xludf.DUMMYFUNCTION("""COMPUTED_VALUE"""),57.03)</f>
        <v>57.03</v>
      </c>
      <c r="D57" s="2">
        <f ca="1">IFERROR(__xludf.DUMMYFUNCTION("""COMPUTED_VALUE"""),279.02)</f>
        <v>279.02</v>
      </c>
      <c r="F57" s="16">
        <f t="shared" si="4"/>
        <v>1.7208746287800613E-3</v>
      </c>
      <c r="G57" s="16">
        <f t="shared" ca="1" si="5"/>
        <v>1.3060545692512273E-2</v>
      </c>
      <c r="H57" s="16">
        <f t="shared" ca="1" si="6"/>
        <v>-1.3609829828994931E-3</v>
      </c>
      <c r="J57" s="38">
        <f t="shared" si="7"/>
        <v>1.6359539938594263E-3</v>
      </c>
      <c r="K57" s="38">
        <f t="shared" ca="1" si="8"/>
        <v>1.2975625057591637E-2</v>
      </c>
      <c r="L57" s="38">
        <f t="shared" ca="1" si="9"/>
        <v>-1.4459036178201281E-3</v>
      </c>
    </row>
    <row r="58" spans="1:12" ht="13.8" thickBot="1" x14ac:dyDescent="0.3">
      <c r="A58" s="12">
        <f ca="1">IFERROR(__xludf.DUMMYFUNCTION("""COMPUTED_VALUE"""),43530.6666666666)</f>
        <v>43530.666666666599</v>
      </c>
      <c r="B58" s="4">
        <v>28.84</v>
      </c>
      <c r="C58" s="2">
        <f ca="1">IFERROR(__xludf.DUMMYFUNCTION("""COMPUTED_VALUE"""),56.86)</f>
        <v>56.86</v>
      </c>
      <c r="D58" s="2">
        <f ca="1">IFERROR(__xludf.DUMMYFUNCTION("""COMPUTED_VALUE"""),277.33)</f>
        <v>277.33</v>
      </c>
      <c r="F58" s="16">
        <f t="shared" si="4"/>
        <v>-8.2873402485702692E-3</v>
      </c>
      <c r="G58" s="16">
        <f t="shared" ca="1" si="5"/>
        <v>-2.9853389455937939E-3</v>
      </c>
      <c r="H58" s="16">
        <f t="shared" ca="1" si="6"/>
        <v>-6.0753309898638683E-3</v>
      </c>
      <c r="J58" s="38">
        <f t="shared" si="7"/>
        <v>-8.3722608834909049E-3</v>
      </c>
      <c r="K58" s="38">
        <f t="shared" ca="1" si="8"/>
        <v>-3.0702595805144287E-3</v>
      </c>
      <c r="L58" s="38">
        <f t="shared" ca="1" si="9"/>
        <v>-6.160251624784503E-3</v>
      </c>
    </row>
    <row r="59" spans="1:12" ht="13.8" thickBot="1" x14ac:dyDescent="0.3">
      <c r="A59" s="12">
        <f ca="1">IFERROR(__xludf.DUMMYFUNCTION("""COMPUTED_VALUE"""),43531.6666666666)</f>
        <v>43531.666666666599</v>
      </c>
      <c r="B59" s="4">
        <v>28.55</v>
      </c>
      <c r="C59" s="2">
        <f ca="1">IFERROR(__xludf.DUMMYFUNCTION("""COMPUTED_VALUE"""),55.31)</f>
        <v>55.31</v>
      </c>
      <c r="D59" s="2">
        <f ca="1">IFERROR(__xludf.DUMMYFUNCTION("""COMPUTED_VALUE"""),275.01)</f>
        <v>275.01</v>
      </c>
      <c r="F59" s="16">
        <f t="shared" si="4"/>
        <v>-1.0106376314729099E-2</v>
      </c>
      <c r="G59" s="16">
        <f t="shared" ca="1" si="5"/>
        <v>-2.7638382216267063E-2</v>
      </c>
      <c r="H59" s="16">
        <f t="shared" ca="1" si="6"/>
        <v>-8.4006722083041722E-3</v>
      </c>
      <c r="J59" s="38">
        <f t="shared" si="7"/>
        <v>-1.0191296949649735E-2</v>
      </c>
      <c r="K59" s="38">
        <f t="shared" ca="1" si="8"/>
        <v>-2.7723302851187698E-2</v>
      </c>
      <c r="L59" s="38">
        <f t="shared" ca="1" si="9"/>
        <v>-8.4855928432248078E-3</v>
      </c>
    </row>
    <row r="60" spans="1:12" ht="13.8" thickBot="1" x14ac:dyDescent="0.3">
      <c r="A60" s="12">
        <f ca="1">IFERROR(__xludf.DUMMYFUNCTION("""COMPUTED_VALUE"""),43532.6666666666)</f>
        <v>43532.666666666599</v>
      </c>
      <c r="B60" s="4">
        <v>28.65</v>
      </c>
      <c r="C60" s="2">
        <f ca="1">IFERROR(__xludf.DUMMYFUNCTION("""COMPUTED_VALUE"""),55.67)</f>
        <v>55.67</v>
      </c>
      <c r="D60" s="2">
        <f ca="1">IFERROR(__xludf.DUMMYFUNCTION("""COMPUTED_VALUE"""),274.46)</f>
        <v>274.45999999999998</v>
      </c>
      <c r="F60" s="16">
        <f t="shared" si="4"/>
        <v>3.496507058729306E-3</v>
      </c>
      <c r="G60" s="16">
        <f t="shared" ca="1" si="5"/>
        <v>6.4876781888297402E-3</v>
      </c>
      <c r="H60" s="16">
        <f t="shared" ca="1" si="6"/>
        <v>-2.0019298003067878E-3</v>
      </c>
      <c r="J60" s="38">
        <f t="shared" si="7"/>
        <v>3.4115864238086712E-3</v>
      </c>
      <c r="K60" s="38">
        <f t="shared" ca="1" si="8"/>
        <v>6.4027575539091055E-3</v>
      </c>
      <c r="L60" s="38">
        <f t="shared" ca="1" si="9"/>
        <v>-2.0868504352274226E-3</v>
      </c>
    </row>
    <row r="61" spans="1:12" ht="13.8" thickBot="1" x14ac:dyDescent="0.3">
      <c r="A61" s="12">
        <f ca="1">IFERROR(__xludf.DUMMYFUNCTION("""COMPUTED_VALUE"""),43535.6666666666)</f>
        <v>43535.666666666599</v>
      </c>
      <c r="B61" s="4">
        <v>28.94</v>
      </c>
      <c r="C61" s="2">
        <f ca="1">IFERROR(__xludf.DUMMYFUNCTION("""COMPUTED_VALUE"""),55.01)</f>
        <v>55.01</v>
      </c>
      <c r="D61" s="2">
        <f ca="1">IFERROR(__xludf.DUMMYFUNCTION("""COMPUTED_VALUE"""),278.44)</f>
        <v>278.44</v>
      </c>
      <c r="F61" s="16">
        <f t="shared" si="4"/>
        <v>1.00712780425894E-2</v>
      </c>
      <c r="G61" s="16">
        <f t="shared" ca="1" si="5"/>
        <v>-1.1926415308049804E-2</v>
      </c>
      <c r="H61" s="16">
        <f t="shared" ca="1" si="6"/>
        <v>1.4397065458978639E-2</v>
      </c>
      <c r="J61" s="38">
        <f t="shared" si="7"/>
        <v>9.9863574076687646E-3</v>
      </c>
      <c r="K61" s="38">
        <f t="shared" ca="1" si="8"/>
        <v>-1.2011335942970439E-2</v>
      </c>
      <c r="L61" s="38">
        <f t="shared" ca="1" si="9"/>
        <v>1.4312144824058003E-2</v>
      </c>
    </row>
    <row r="62" spans="1:12" ht="13.8" thickBot="1" x14ac:dyDescent="0.3">
      <c r="A62" s="12">
        <f ca="1">IFERROR(__xludf.DUMMYFUNCTION("""COMPUTED_VALUE"""),43536.6666666666)</f>
        <v>43536.666666666599</v>
      </c>
      <c r="B62" s="4">
        <v>28.94</v>
      </c>
      <c r="C62" s="2">
        <f ca="1">IFERROR(__xludf.DUMMYFUNCTION("""COMPUTED_VALUE"""),54.93)</f>
        <v>54.93</v>
      </c>
      <c r="D62" s="2">
        <f ca="1">IFERROR(__xludf.DUMMYFUNCTION("""COMPUTED_VALUE"""),279.49)</f>
        <v>279.49</v>
      </c>
      <c r="F62" s="16">
        <f t="shared" si="4"/>
        <v>0</v>
      </c>
      <c r="G62" s="16">
        <f t="shared" ca="1" si="5"/>
        <v>-1.4553395328376693E-3</v>
      </c>
      <c r="H62" s="16">
        <f t="shared" ca="1" si="6"/>
        <v>3.7639174793208702E-3</v>
      </c>
      <c r="J62" s="38">
        <f t="shared" si="7"/>
        <v>-8.4920634920634914E-5</v>
      </c>
      <c r="K62" s="38">
        <f t="shared" ca="1" si="8"/>
        <v>-1.5402601677583043E-3</v>
      </c>
      <c r="L62" s="38">
        <f t="shared" ca="1" si="9"/>
        <v>3.6789968444002354E-3</v>
      </c>
    </row>
    <row r="63" spans="1:12" ht="13.8" thickBot="1" x14ac:dyDescent="0.3">
      <c r="A63" s="12">
        <f ca="1">IFERROR(__xludf.DUMMYFUNCTION("""COMPUTED_VALUE"""),43537.6666666666)</f>
        <v>43537.666666666599</v>
      </c>
      <c r="B63" s="4">
        <v>29.29</v>
      </c>
      <c r="C63" s="2">
        <f ca="1">IFERROR(__xludf.DUMMYFUNCTION("""COMPUTED_VALUE"""),55.74)</f>
        <v>55.74</v>
      </c>
      <c r="D63" s="2">
        <f ca="1">IFERROR(__xludf.DUMMYFUNCTION("""COMPUTED_VALUE"""),281.34)</f>
        <v>281.33999999999997</v>
      </c>
      <c r="F63" s="16">
        <f t="shared" si="4"/>
        <v>1.2021439636304126E-2</v>
      </c>
      <c r="G63" s="16">
        <f t="shared" ca="1" si="5"/>
        <v>1.4638374699273263E-2</v>
      </c>
      <c r="H63" s="16">
        <f t="shared" ca="1" si="6"/>
        <v>6.5973885497631318E-3</v>
      </c>
      <c r="J63" s="38">
        <f t="shared" si="7"/>
        <v>1.193651900138349E-2</v>
      </c>
      <c r="K63" s="38">
        <f t="shared" ca="1" si="8"/>
        <v>1.4553454064352628E-2</v>
      </c>
      <c r="L63" s="38">
        <f t="shared" ca="1" si="9"/>
        <v>6.512467914842497E-3</v>
      </c>
    </row>
    <row r="64" spans="1:12" ht="13.8" thickBot="1" x14ac:dyDescent="0.3">
      <c r="A64" s="12">
        <f ca="1">IFERROR(__xludf.DUMMYFUNCTION("""COMPUTED_VALUE"""),43538.6666666666)</f>
        <v>43538.666666666599</v>
      </c>
      <c r="B64" s="4">
        <v>29.46</v>
      </c>
      <c r="C64" s="2">
        <f ca="1">IFERROR(__xludf.DUMMYFUNCTION("""COMPUTED_VALUE"""),55.07)</f>
        <v>55.07</v>
      </c>
      <c r="D64" s="2">
        <f ca="1">IFERROR(__xludf.DUMMYFUNCTION("""COMPUTED_VALUE"""),281.16)</f>
        <v>281.16000000000003</v>
      </c>
      <c r="F64" s="16">
        <f t="shared" si="4"/>
        <v>5.7872501948421371E-3</v>
      </c>
      <c r="G64" s="16">
        <f t="shared" ca="1" si="5"/>
        <v>-1.2092918779412055E-2</v>
      </c>
      <c r="H64" s="16">
        <f t="shared" ca="1" si="6"/>
        <v>-6.4000002184513025E-4</v>
      </c>
      <c r="J64" s="38">
        <f t="shared" si="7"/>
        <v>5.7023295599215023E-3</v>
      </c>
      <c r="K64" s="38">
        <f t="shared" ca="1" si="8"/>
        <v>-1.2177839414332691E-2</v>
      </c>
      <c r="L64" s="38">
        <f t="shared" ca="1" si="9"/>
        <v>-7.2492065676576514E-4</v>
      </c>
    </row>
    <row r="65" spans="1:12" ht="13.8" thickBot="1" x14ac:dyDescent="0.3">
      <c r="A65" s="12">
        <f ca="1">IFERROR(__xludf.DUMMYFUNCTION("""COMPUTED_VALUE"""),43539.6666666666)</f>
        <v>43539.666666666599</v>
      </c>
      <c r="B65" s="4">
        <v>29.3</v>
      </c>
      <c r="C65" s="2">
        <f ca="1">IFERROR(__xludf.DUMMYFUNCTION("""COMPUTED_VALUE"""),56.4)</f>
        <v>56.4</v>
      </c>
      <c r="D65" s="2">
        <f ca="1">IFERROR(__xludf.DUMMYFUNCTION("""COMPUTED_VALUE"""),281.31)</f>
        <v>281.31</v>
      </c>
      <c r="F65" s="16">
        <f t="shared" si="4"/>
        <v>-5.4458950114626391E-3</v>
      </c>
      <c r="G65" s="16">
        <f t="shared" ca="1" si="5"/>
        <v>2.3864055229623093E-2</v>
      </c>
      <c r="H65" s="16">
        <f t="shared" ca="1" si="6"/>
        <v>5.3336179193889716E-4</v>
      </c>
      <c r="J65" s="38">
        <f t="shared" si="7"/>
        <v>-5.5308156463832739E-3</v>
      </c>
      <c r="K65" s="38">
        <f t="shared" ca="1" si="8"/>
        <v>2.3779134594702458E-2</v>
      </c>
      <c r="L65" s="38">
        <f t="shared" ca="1" si="9"/>
        <v>4.4844115701826227E-4</v>
      </c>
    </row>
    <row r="66" spans="1:12" ht="13.8" thickBot="1" x14ac:dyDescent="0.3">
      <c r="A66" s="12">
        <f ca="1">IFERROR(__xludf.DUMMYFUNCTION("""COMPUTED_VALUE"""),43542.6666666666)</f>
        <v>43542.666666666599</v>
      </c>
      <c r="B66" s="4">
        <v>29.82</v>
      </c>
      <c r="C66" s="2">
        <f ca="1">IFERROR(__xludf.DUMMYFUNCTION("""COMPUTED_VALUE"""),56.73)</f>
        <v>56.73</v>
      </c>
      <c r="D66" s="2">
        <f ca="1">IFERROR(__xludf.DUMMYFUNCTION("""COMPUTED_VALUE"""),282.33)</f>
        <v>282.33</v>
      </c>
      <c r="F66" s="16">
        <f t="shared" si="4"/>
        <v>1.7591793313570733E-2</v>
      </c>
      <c r="G66" s="16">
        <f t="shared" ca="1" si="5"/>
        <v>5.8340128344626548E-3</v>
      </c>
      <c r="H66" s="16">
        <f t="shared" ca="1" si="6"/>
        <v>3.6193354391626216E-3</v>
      </c>
      <c r="J66" s="38">
        <f t="shared" si="7"/>
        <v>1.7506872678650098E-2</v>
      </c>
      <c r="K66" s="38">
        <f t="shared" ca="1" si="8"/>
        <v>5.74909219954202E-3</v>
      </c>
      <c r="L66" s="38">
        <f t="shared" ca="1" si="9"/>
        <v>3.5344148042419869E-3</v>
      </c>
    </row>
    <row r="67" spans="1:12" ht="13.8" thickBot="1" x14ac:dyDescent="0.3">
      <c r="A67" s="12">
        <f ca="1">IFERROR(__xludf.DUMMYFUNCTION("""COMPUTED_VALUE"""),43543.6666666666)</f>
        <v>43543.666666666599</v>
      </c>
      <c r="B67" s="4">
        <v>29.65</v>
      </c>
      <c r="C67" s="2">
        <f ca="1">IFERROR(__xludf.DUMMYFUNCTION("""COMPUTED_VALUE"""),57.38)</f>
        <v>57.38</v>
      </c>
      <c r="D67" s="2">
        <f ca="1">IFERROR(__xludf.DUMMYFUNCTION("""COMPUTED_VALUE"""),282.4)</f>
        <v>282.39999999999998</v>
      </c>
      <c r="F67" s="16">
        <f t="shared" si="4"/>
        <v>-5.7171838928579194E-3</v>
      </c>
      <c r="G67" s="16">
        <f t="shared" ca="1" si="5"/>
        <v>1.1392639214742989E-2</v>
      </c>
      <c r="H67" s="16">
        <f t="shared" ca="1" si="6"/>
        <v>2.4790608028092285E-4</v>
      </c>
      <c r="J67" s="38">
        <f t="shared" si="7"/>
        <v>-5.8021045277785541E-3</v>
      </c>
      <c r="K67" s="38">
        <f t="shared" ca="1" si="8"/>
        <v>1.1307718579822353E-2</v>
      </c>
      <c r="L67" s="38">
        <f t="shared" ca="1" si="9"/>
        <v>1.6298544536028794E-4</v>
      </c>
    </row>
    <row r="68" spans="1:12" ht="13.8" thickBot="1" x14ac:dyDescent="0.3">
      <c r="A68" s="12">
        <f ca="1">IFERROR(__xludf.DUMMYFUNCTION("""COMPUTED_VALUE"""),43544.6666666666)</f>
        <v>43544.666666666599</v>
      </c>
      <c r="B68" s="4">
        <v>28.64</v>
      </c>
      <c r="C68" s="2">
        <f ca="1">IFERROR(__xludf.DUMMYFUNCTION("""COMPUTED_VALUE"""),58.48)</f>
        <v>58.48</v>
      </c>
      <c r="D68" s="2">
        <f ca="1">IFERROR(__xludf.DUMMYFUNCTION("""COMPUTED_VALUE"""),281.55)</f>
        <v>281.55</v>
      </c>
      <c r="F68" s="16">
        <f t="shared" si="4"/>
        <v>-3.4657783351289481E-2</v>
      </c>
      <c r="G68" s="16">
        <f t="shared" ca="1" si="5"/>
        <v>1.8989004888304222E-2</v>
      </c>
      <c r="H68" s="16">
        <f t="shared" ca="1" si="6"/>
        <v>-3.0144539184593323E-3</v>
      </c>
      <c r="J68" s="38">
        <f t="shared" si="7"/>
        <v>-3.4742703986210113E-2</v>
      </c>
      <c r="K68" s="38">
        <f t="shared" ca="1" si="8"/>
        <v>1.8904084253383587E-2</v>
      </c>
      <c r="L68" s="38">
        <f t="shared" ca="1" si="9"/>
        <v>-3.0993745533799671E-3</v>
      </c>
    </row>
    <row r="69" spans="1:12" ht="13.8" thickBot="1" x14ac:dyDescent="0.3">
      <c r="A69" s="12">
        <f ca="1">IFERROR(__xludf.DUMMYFUNCTION("""COMPUTED_VALUE"""),43545.6666666666)</f>
        <v>43545.666666666599</v>
      </c>
      <c r="B69" s="4">
        <v>28.18</v>
      </c>
      <c r="C69" s="2">
        <f ca="1">IFERROR(__xludf.DUMMYFUNCTION("""COMPUTED_VALUE"""),57.21)</f>
        <v>57.21</v>
      </c>
      <c r="D69" s="2">
        <f ca="1">IFERROR(__xludf.DUMMYFUNCTION("""COMPUTED_VALUE"""),284.73)</f>
        <v>284.73</v>
      </c>
      <c r="F69" s="16">
        <f t="shared" si="4"/>
        <v>-1.619183562191074E-2</v>
      </c>
      <c r="G69" s="16">
        <f t="shared" ca="1" si="5"/>
        <v>-2.195610716108564E-2</v>
      </c>
      <c r="H69" s="16">
        <f t="shared" ca="1" si="6"/>
        <v>1.1231311109882977E-2</v>
      </c>
      <c r="J69" s="38">
        <f t="shared" si="7"/>
        <v>-1.6276756256831375E-2</v>
      </c>
      <c r="K69" s="38">
        <f t="shared" ca="1" si="8"/>
        <v>-2.2041027796006276E-2</v>
      </c>
      <c r="L69" s="38">
        <f t="shared" ca="1" si="9"/>
        <v>1.1146390474962341E-2</v>
      </c>
    </row>
    <row r="70" spans="1:12" ht="13.8" thickBot="1" x14ac:dyDescent="0.3">
      <c r="A70" s="12">
        <f ca="1">IFERROR(__xludf.DUMMYFUNCTION("""COMPUTED_VALUE"""),43546.6666666666)</f>
        <v>43546.666666666599</v>
      </c>
      <c r="B70" s="4">
        <v>27.01</v>
      </c>
      <c r="C70" s="2">
        <f ca="1">IFERROR(__xludf.DUMMYFUNCTION("""COMPUTED_VALUE"""),56.03)</f>
        <v>56.03</v>
      </c>
      <c r="D70" s="2">
        <f ca="1">IFERROR(__xludf.DUMMYFUNCTION("""COMPUTED_VALUE"""),279.25)</f>
        <v>279.25</v>
      </c>
      <c r="F70" s="16">
        <f t="shared" si="4"/>
        <v>-4.2405338666009901E-2</v>
      </c>
      <c r="G70" s="16">
        <f t="shared" ca="1" si="5"/>
        <v>-2.0841446703244202E-2</v>
      </c>
      <c r="H70" s="16">
        <f t="shared" ca="1" si="6"/>
        <v>-1.9433924861200446E-2</v>
      </c>
      <c r="J70" s="38">
        <f t="shared" si="7"/>
        <v>-4.2490259300930533E-2</v>
      </c>
      <c r="K70" s="38">
        <f t="shared" ca="1" si="8"/>
        <v>-2.0926367338164838E-2</v>
      </c>
      <c r="L70" s="38">
        <f t="shared" ca="1" si="9"/>
        <v>-1.9518845496121082E-2</v>
      </c>
    </row>
    <row r="71" spans="1:12" ht="13.8" thickBot="1" x14ac:dyDescent="0.3">
      <c r="A71" s="12">
        <f ca="1">IFERROR(__xludf.DUMMYFUNCTION("""COMPUTED_VALUE"""),43549.6666666666)</f>
        <v>43549.666666666599</v>
      </c>
      <c r="B71" s="4">
        <v>26.84</v>
      </c>
      <c r="C71" s="2">
        <f ca="1">IFERROR(__xludf.DUMMYFUNCTION("""COMPUTED_VALUE"""),53.69)</f>
        <v>53.69</v>
      </c>
      <c r="D71" s="2">
        <f ca="1">IFERROR(__xludf.DUMMYFUNCTION("""COMPUTED_VALUE"""),279.04)</f>
        <v>279.04000000000002</v>
      </c>
      <c r="F71" s="16">
        <f t="shared" si="4"/>
        <v>-6.3138557010432774E-3</v>
      </c>
      <c r="G71" s="16">
        <f t="shared" ca="1" si="5"/>
        <v>-4.2660497142715061E-2</v>
      </c>
      <c r="H71" s="16">
        <f t="shared" ca="1" si="6"/>
        <v>-7.5229722869525812E-4</v>
      </c>
      <c r="J71" s="38">
        <f t="shared" si="7"/>
        <v>-6.3987763359639122E-3</v>
      </c>
      <c r="K71" s="38">
        <f t="shared" ca="1" si="8"/>
        <v>-4.2745417777635693E-2</v>
      </c>
      <c r="L71" s="38">
        <f t="shared" ca="1" si="9"/>
        <v>-8.3721786361589301E-4</v>
      </c>
    </row>
    <row r="72" spans="1:12" ht="13.8" thickBot="1" x14ac:dyDescent="0.3">
      <c r="A72" s="12">
        <f ca="1">IFERROR(__xludf.DUMMYFUNCTION("""COMPUTED_VALUE"""),43550.6666666666)</f>
        <v>43550.666666666599</v>
      </c>
      <c r="B72" s="4">
        <v>27.21</v>
      </c>
      <c r="C72" s="2">
        <f ca="1">IFERROR(__xludf.DUMMYFUNCTION("""COMPUTED_VALUE"""),53.67)</f>
        <v>53.67</v>
      </c>
      <c r="D72" s="2">
        <f ca="1">IFERROR(__xludf.DUMMYFUNCTION("""COMPUTED_VALUE"""),281.12)</f>
        <v>281.12</v>
      </c>
      <c r="F72" s="16">
        <f t="shared" si="4"/>
        <v>1.3691240691673812E-2</v>
      </c>
      <c r="G72" s="16">
        <f t="shared" ca="1" si="5"/>
        <v>-3.7257824574058455E-4</v>
      </c>
      <c r="H72" s="16">
        <f t="shared" ca="1" si="6"/>
        <v>7.42648371817214E-3</v>
      </c>
      <c r="J72" s="38">
        <f t="shared" si="7"/>
        <v>1.3606320056753177E-2</v>
      </c>
      <c r="K72" s="38">
        <f t="shared" ca="1" si="8"/>
        <v>-4.5749888066121949E-4</v>
      </c>
      <c r="L72" s="38">
        <f t="shared" ca="1" si="9"/>
        <v>7.3415630832515053E-3</v>
      </c>
    </row>
    <row r="73" spans="1:12" ht="13.8" thickBot="1" x14ac:dyDescent="0.3">
      <c r="A73" s="12">
        <f ca="1">IFERROR(__xludf.DUMMYFUNCTION("""COMPUTED_VALUE"""),43551.6666666666)</f>
        <v>43551.666666666599</v>
      </c>
      <c r="B73" s="4">
        <v>27.03</v>
      </c>
      <c r="C73" s="2">
        <f ca="1">IFERROR(__xludf.DUMMYFUNCTION("""COMPUTED_VALUE"""),54.22)</f>
        <v>54.22</v>
      </c>
      <c r="D73" s="2">
        <f ca="1">IFERROR(__xludf.DUMMYFUNCTION("""COMPUTED_VALUE"""),279.65)</f>
        <v>279.64999999999998</v>
      </c>
      <c r="F73" s="16">
        <f t="shared" si="4"/>
        <v>-6.6371925067987298E-3</v>
      </c>
      <c r="G73" s="16">
        <f t="shared" ca="1" si="5"/>
        <v>1.0195657881782019E-2</v>
      </c>
      <c r="H73" s="16">
        <f t="shared" ca="1" si="6"/>
        <v>-5.2428031711901331E-3</v>
      </c>
      <c r="J73" s="38">
        <f t="shared" si="7"/>
        <v>-6.7221131417193646E-3</v>
      </c>
      <c r="K73" s="38">
        <f t="shared" ca="1" si="8"/>
        <v>1.0110737246861384E-2</v>
      </c>
      <c r="L73" s="38">
        <f t="shared" ca="1" si="9"/>
        <v>-5.3277238061107679E-3</v>
      </c>
    </row>
    <row r="74" spans="1:12" ht="13.8" thickBot="1" x14ac:dyDescent="0.3">
      <c r="A74" s="12">
        <f ca="1">IFERROR(__xludf.DUMMYFUNCTION("""COMPUTED_VALUE"""),43552.6666666666)</f>
        <v>43552.666666666599</v>
      </c>
      <c r="B74" s="4">
        <v>27.33</v>
      </c>
      <c r="C74" s="2">
        <f ca="1">IFERROR(__xludf.DUMMYFUNCTION("""COMPUTED_VALUE"""),54.19)</f>
        <v>54.19</v>
      </c>
      <c r="D74" s="2">
        <f ca="1">IFERROR(__xludf.DUMMYFUNCTION("""COMPUTED_VALUE"""),280.71)</f>
        <v>280.70999999999998</v>
      </c>
      <c r="F74" s="16">
        <f t="shared" si="4"/>
        <v>1.1037639651620313E-2</v>
      </c>
      <c r="G74" s="16">
        <f t="shared" ca="1" si="5"/>
        <v>-5.5345449249661564E-4</v>
      </c>
      <c r="H74" s="16">
        <f t="shared" ca="1" si="6"/>
        <v>3.783286688334231E-3</v>
      </c>
      <c r="J74" s="38">
        <f t="shared" si="7"/>
        <v>1.0952719016699678E-2</v>
      </c>
      <c r="K74" s="38">
        <f t="shared" ca="1" si="8"/>
        <v>-6.3837512741725052E-4</v>
      </c>
      <c r="L74" s="38">
        <f t="shared" ca="1" si="9"/>
        <v>3.6983660534135963E-3</v>
      </c>
    </row>
    <row r="75" spans="1:12" ht="13.8" thickBot="1" x14ac:dyDescent="0.3">
      <c r="A75" s="12">
        <f ca="1">IFERROR(__xludf.DUMMYFUNCTION("""COMPUTED_VALUE"""),43553.6666666666)</f>
        <v>43553.666666666599</v>
      </c>
      <c r="B75" s="4">
        <v>27.59</v>
      </c>
      <c r="C75" s="2">
        <f ca="1">IFERROR(__xludf.DUMMYFUNCTION("""COMPUTED_VALUE"""),54.33)</f>
        <v>54.33</v>
      </c>
      <c r="D75" s="2">
        <f ca="1">IFERROR(__xludf.DUMMYFUNCTION("""COMPUTED_VALUE"""),282.48)</f>
        <v>282.48</v>
      </c>
      <c r="F75" s="16">
        <f t="shared" si="4"/>
        <v>9.4683882892181073E-3</v>
      </c>
      <c r="G75" s="16">
        <f t="shared" ca="1" si="5"/>
        <v>2.5801709854089442E-3</v>
      </c>
      <c r="H75" s="16">
        <f t="shared" ca="1" si="6"/>
        <v>6.285643664199864E-3</v>
      </c>
      <c r="J75" s="38">
        <f t="shared" si="7"/>
        <v>9.3834676542974716E-3</v>
      </c>
      <c r="K75" s="38">
        <f t="shared" ca="1" si="8"/>
        <v>2.4952503504883095E-3</v>
      </c>
      <c r="L75" s="38">
        <f t="shared" ca="1" si="9"/>
        <v>6.2007230292792292E-3</v>
      </c>
    </row>
    <row r="76" spans="1:12" ht="13.8" thickBot="1" x14ac:dyDescent="0.3">
      <c r="A76" s="12">
        <f ca="1">IFERROR(__xludf.DUMMYFUNCTION("""COMPUTED_VALUE"""),43556.6666666666)</f>
        <v>43556.666666666599</v>
      </c>
      <c r="B76" s="4">
        <v>28.54</v>
      </c>
      <c r="C76" s="2">
        <f ca="1">IFERROR(__xludf.DUMMYFUNCTION("""COMPUTED_VALUE"""),55.43)</f>
        <v>55.43</v>
      </c>
      <c r="D76" s="2">
        <f ca="1">IFERROR(__xludf.DUMMYFUNCTION("""COMPUTED_VALUE"""),285.83)</f>
        <v>285.83</v>
      </c>
      <c r="F76" s="16">
        <f t="shared" si="4"/>
        <v>3.3853223819495668E-2</v>
      </c>
      <c r="G76" s="16">
        <f t="shared" ca="1" si="5"/>
        <v>2.0044402868281703E-2</v>
      </c>
      <c r="H76" s="16">
        <f t="shared" ca="1" si="6"/>
        <v>1.1789476876274581E-2</v>
      </c>
      <c r="J76" s="38">
        <f t="shared" si="7"/>
        <v>3.3768303184575035E-2</v>
      </c>
      <c r="K76" s="38">
        <f t="shared" ca="1" si="8"/>
        <v>1.9959482233361067E-2</v>
      </c>
      <c r="L76" s="38">
        <f t="shared" ca="1" si="9"/>
        <v>1.1704556241353945E-2</v>
      </c>
    </row>
    <row r="77" spans="1:12" ht="13.8" thickBot="1" x14ac:dyDescent="0.3">
      <c r="A77" s="12">
        <f ca="1">IFERROR(__xludf.DUMMYFUNCTION("""COMPUTED_VALUE"""),43557.6666666666)</f>
        <v>43557.666666666599</v>
      </c>
      <c r="B77" s="4">
        <v>28.87</v>
      </c>
      <c r="C77" s="2">
        <f ca="1">IFERROR(__xludf.DUMMYFUNCTION("""COMPUTED_VALUE"""),57.16)</f>
        <v>57.16</v>
      </c>
      <c r="D77" s="2">
        <f ca="1">IFERROR(__xludf.DUMMYFUNCTION("""COMPUTED_VALUE"""),285.97)</f>
        <v>285.97000000000003</v>
      </c>
      <c r="F77" s="16">
        <f t="shared" si="4"/>
        <v>1.1496381626153396E-2</v>
      </c>
      <c r="G77" s="16">
        <f t="shared" ca="1" si="5"/>
        <v>3.0733389629953325E-2</v>
      </c>
      <c r="H77" s="16">
        <f t="shared" ca="1" si="6"/>
        <v>4.8968171667564705E-4</v>
      </c>
      <c r="J77" s="38">
        <f t="shared" si="7"/>
        <v>1.1411460991232761E-2</v>
      </c>
      <c r="K77" s="38">
        <f t="shared" ca="1" si="8"/>
        <v>3.064846899503269E-2</v>
      </c>
      <c r="L77" s="38">
        <f t="shared" ca="1" si="9"/>
        <v>4.0476108175501217E-4</v>
      </c>
    </row>
    <row r="78" spans="1:12" ht="13.8" thickBot="1" x14ac:dyDescent="0.3">
      <c r="A78" s="12">
        <f ca="1">IFERROR(__xludf.DUMMYFUNCTION("""COMPUTED_VALUE"""),43558.6666666666)</f>
        <v>43558.666666666599</v>
      </c>
      <c r="B78" s="4">
        <v>28.84</v>
      </c>
      <c r="C78" s="2">
        <f ca="1">IFERROR(__xludf.DUMMYFUNCTION("""COMPUTED_VALUE"""),57.81)</f>
        <v>57.81</v>
      </c>
      <c r="D78" s="2">
        <f ca="1">IFERROR(__xludf.DUMMYFUNCTION("""COMPUTED_VALUE"""),286.42)</f>
        <v>286.42</v>
      </c>
      <c r="F78" s="16">
        <f t="shared" si="4"/>
        <v>-1.0396812580954664E-3</v>
      </c>
      <c r="G78" s="16">
        <f t="shared" ca="1" si="5"/>
        <v>1.1307418032718198E-2</v>
      </c>
      <c r="H78" s="16">
        <f t="shared" ca="1" si="6"/>
        <v>1.5723548374752395E-3</v>
      </c>
      <c r="J78" s="38">
        <f t="shared" si="7"/>
        <v>-1.1246018930161014E-3</v>
      </c>
      <c r="K78" s="38">
        <f t="shared" ca="1" si="8"/>
        <v>1.1222497397797562E-2</v>
      </c>
      <c r="L78" s="38">
        <f t="shared" ca="1" si="9"/>
        <v>1.4874342025546045E-3</v>
      </c>
    </row>
    <row r="79" spans="1:12" ht="13.8" thickBot="1" x14ac:dyDescent="0.3">
      <c r="A79" s="12">
        <f ca="1">IFERROR(__xludf.DUMMYFUNCTION("""COMPUTED_VALUE"""),43559.6666666666)</f>
        <v>43559.666666666599</v>
      </c>
      <c r="B79" s="4">
        <v>29.15</v>
      </c>
      <c r="C79" s="2">
        <f ca="1">IFERROR(__xludf.DUMMYFUNCTION("""COMPUTED_VALUE"""),57.71)</f>
        <v>57.71</v>
      </c>
      <c r="D79" s="2">
        <f ca="1">IFERROR(__xludf.DUMMYFUNCTION("""COMPUTED_VALUE"""),287.18)</f>
        <v>287.18</v>
      </c>
      <c r="F79" s="16">
        <f t="shared" si="4"/>
        <v>1.0691600379752943E-2</v>
      </c>
      <c r="G79" s="16">
        <f t="shared" ca="1" si="5"/>
        <v>-1.7313023715097163E-3</v>
      </c>
      <c r="H79" s="16">
        <f t="shared" ca="1" si="6"/>
        <v>2.6499318156743517E-3</v>
      </c>
      <c r="J79" s="38">
        <f t="shared" si="7"/>
        <v>1.0606679744832308E-2</v>
      </c>
      <c r="K79" s="38">
        <f t="shared" ca="1" si="8"/>
        <v>-1.8162230064303513E-3</v>
      </c>
      <c r="L79" s="38">
        <f t="shared" ca="1" si="9"/>
        <v>2.565011180753717E-3</v>
      </c>
    </row>
    <row r="80" spans="1:12" ht="13.8" thickBot="1" x14ac:dyDescent="0.3">
      <c r="A80" s="12">
        <f ca="1">IFERROR(__xludf.DUMMYFUNCTION("""COMPUTED_VALUE"""),43560.6666666666)</f>
        <v>43560.666666666599</v>
      </c>
      <c r="B80" s="4">
        <v>29.08</v>
      </c>
      <c r="C80" s="2">
        <f ca="1">IFERROR(__xludf.DUMMYFUNCTION("""COMPUTED_VALUE"""),58.8)</f>
        <v>58.8</v>
      </c>
      <c r="D80" s="2">
        <f ca="1">IFERROR(__xludf.DUMMYFUNCTION("""COMPUTED_VALUE"""),288.57)</f>
        <v>288.57</v>
      </c>
      <c r="F80" s="16">
        <f t="shared" si="4"/>
        <v>-2.4042601311827878E-3</v>
      </c>
      <c r="G80" s="16">
        <f t="shared" ca="1" si="5"/>
        <v>1.8711386181706206E-2</v>
      </c>
      <c r="H80" s="16">
        <f t="shared" ca="1" si="6"/>
        <v>4.8284939664029539E-3</v>
      </c>
      <c r="J80" s="38">
        <f t="shared" si="7"/>
        <v>-2.4891807661034226E-3</v>
      </c>
      <c r="K80" s="38">
        <f t="shared" ca="1" si="8"/>
        <v>1.862646554678557E-2</v>
      </c>
      <c r="L80" s="38">
        <f t="shared" ca="1" si="9"/>
        <v>4.7435733314823191E-3</v>
      </c>
    </row>
    <row r="81" spans="1:12" ht="13.8" thickBot="1" x14ac:dyDescent="0.3">
      <c r="A81" s="12">
        <f ca="1">IFERROR(__xludf.DUMMYFUNCTION("""COMPUTED_VALUE"""),43563.6666666666)</f>
        <v>43563.666666666599</v>
      </c>
      <c r="B81" s="4">
        <v>29.17</v>
      </c>
      <c r="C81" s="2">
        <f ca="1">IFERROR(__xludf.DUMMYFUNCTION("""COMPUTED_VALUE"""),58.31)</f>
        <v>58.31</v>
      </c>
      <c r="D81" s="2">
        <f ca="1">IFERROR(__xludf.DUMMYFUNCTION("""COMPUTED_VALUE"""),288.79)</f>
        <v>288.79000000000002</v>
      </c>
      <c r="F81" s="16">
        <f t="shared" ref="F81:F144" si="10">LN(B81/B80)</f>
        <v>3.0901312143115649E-3</v>
      </c>
      <c r="G81" s="16">
        <f t="shared" ref="G81:G144" ca="1" si="11">LN(C81/C80)</f>
        <v>-8.3682496705164665E-3</v>
      </c>
      <c r="H81" s="16">
        <f t="shared" ref="H81:H144" ca="1" si="12">LN(D81/D80)</f>
        <v>7.6208954776116659E-4</v>
      </c>
      <c r="J81" s="38">
        <f t="shared" ref="J81:J144" si="13">F81-$B$9</f>
        <v>3.0052105793909301E-3</v>
      </c>
      <c r="K81" s="38">
        <f t="shared" ref="K81:K144" ca="1" si="14">G81-$B$9</f>
        <v>-8.4531703054371021E-3</v>
      </c>
      <c r="L81" s="38">
        <f t="shared" ref="L81:L144" ca="1" si="15">H81-$B$9</f>
        <v>6.771689128405317E-4</v>
      </c>
    </row>
    <row r="82" spans="1:12" ht="13.8" thickBot="1" x14ac:dyDescent="0.3">
      <c r="A82" s="12">
        <f ca="1">IFERROR(__xludf.DUMMYFUNCTION("""COMPUTED_VALUE"""),43564.6666666666)</f>
        <v>43564.666666666599</v>
      </c>
      <c r="B82" s="4">
        <v>28.89</v>
      </c>
      <c r="C82" s="2">
        <f ca="1">IFERROR(__xludf.DUMMYFUNCTION("""COMPUTED_VALUE"""),58.21)</f>
        <v>58.21</v>
      </c>
      <c r="D82" s="2">
        <f ca="1">IFERROR(__xludf.DUMMYFUNCTION("""COMPUTED_VALUE"""),287.31)</f>
        <v>287.31</v>
      </c>
      <c r="F82" s="16">
        <f t="shared" si="10"/>
        <v>-9.6452694014861982E-3</v>
      </c>
      <c r="G82" s="16">
        <f t="shared" ca="1" si="11"/>
        <v>-1.7164439504205554E-3</v>
      </c>
      <c r="H82" s="16">
        <f t="shared" ca="1" si="12"/>
        <v>-5.1380081787573053E-3</v>
      </c>
      <c r="J82" s="38">
        <f t="shared" si="13"/>
        <v>-9.7301900364068338E-3</v>
      </c>
      <c r="K82" s="38">
        <f t="shared" ca="1" si="14"/>
        <v>-1.8013645853411904E-3</v>
      </c>
      <c r="L82" s="38">
        <f t="shared" ca="1" si="15"/>
        <v>-5.2229288136779401E-3</v>
      </c>
    </row>
    <row r="83" spans="1:12" ht="13.8" thickBot="1" x14ac:dyDescent="0.3">
      <c r="A83" s="12">
        <f ca="1">IFERROR(__xludf.DUMMYFUNCTION("""COMPUTED_VALUE"""),43565.6666666666)</f>
        <v>43565.666666666599</v>
      </c>
      <c r="B83" s="4">
        <v>29.07</v>
      </c>
      <c r="C83" s="2">
        <f ca="1">IFERROR(__xludf.DUMMYFUNCTION("""COMPUTED_VALUE"""),57.84)</f>
        <v>57.84</v>
      </c>
      <c r="D83" s="2">
        <f ca="1">IFERROR(__xludf.DUMMYFUNCTION("""COMPUTED_VALUE"""),288.29)</f>
        <v>288.29000000000002</v>
      </c>
      <c r="F83" s="16">
        <f t="shared" si="10"/>
        <v>6.2112000926406764E-3</v>
      </c>
      <c r="G83" s="16">
        <f t="shared" ca="1" si="11"/>
        <v>-6.3765834331348725E-3</v>
      </c>
      <c r="H83" s="16">
        <f t="shared" ca="1" si="12"/>
        <v>3.4051457502650585E-3</v>
      </c>
      <c r="J83" s="38">
        <f t="shared" si="13"/>
        <v>6.1262794577200417E-3</v>
      </c>
      <c r="K83" s="38">
        <f t="shared" ca="1" si="14"/>
        <v>-6.4615040680555073E-3</v>
      </c>
      <c r="L83" s="38">
        <f t="shared" ca="1" si="15"/>
        <v>3.3202251153444237E-3</v>
      </c>
    </row>
    <row r="84" spans="1:12" ht="13.8" thickBot="1" x14ac:dyDescent="0.3">
      <c r="A84" s="12">
        <f ca="1">IFERROR(__xludf.DUMMYFUNCTION("""COMPUTED_VALUE"""),43566.6666666666)</f>
        <v>43566.666666666599</v>
      </c>
      <c r="B84" s="4">
        <v>29.07</v>
      </c>
      <c r="C84" s="2">
        <f ca="1">IFERROR(__xludf.DUMMYFUNCTION("""COMPUTED_VALUE"""),57.84)</f>
        <v>57.84</v>
      </c>
      <c r="D84" s="2">
        <f ca="1">IFERROR(__xludf.DUMMYFUNCTION("""COMPUTED_VALUE"""),288.21)</f>
        <v>288.20999999999998</v>
      </c>
      <c r="F84" s="16">
        <f t="shared" si="10"/>
        <v>0</v>
      </c>
      <c r="G84" s="16">
        <f t="shared" ca="1" si="11"/>
        <v>0</v>
      </c>
      <c r="H84" s="16">
        <f t="shared" ca="1" si="12"/>
        <v>-2.7753686214590246E-4</v>
      </c>
      <c r="J84" s="38">
        <f t="shared" si="13"/>
        <v>-8.4920634920634914E-5</v>
      </c>
      <c r="K84" s="38">
        <f t="shared" ca="1" si="14"/>
        <v>-8.4920634920634914E-5</v>
      </c>
      <c r="L84" s="38">
        <f t="shared" ca="1" si="15"/>
        <v>-3.624574970665374E-4</v>
      </c>
    </row>
    <row r="85" spans="1:12" ht="13.8" thickBot="1" x14ac:dyDescent="0.3">
      <c r="A85" s="12">
        <f ca="1">IFERROR(__xludf.DUMMYFUNCTION("""COMPUTED_VALUE"""),43567.6666666666)</f>
        <v>43567.666666666599</v>
      </c>
      <c r="B85" s="4">
        <v>30.17</v>
      </c>
      <c r="C85" s="2">
        <f ca="1">IFERROR(__xludf.DUMMYFUNCTION("""COMPUTED_VALUE"""),58.25)</f>
        <v>58.25</v>
      </c>
      <c r="D85" s="2">
        <f ca="1">IFERROR(__xludf.DUMMYFUNCTION("""COMPUTED_VALUE"""),290.16)</f>
        <v>290.16000000000003</v>
      </c>
      <c r="F85" s="16">
        <f t="shared" si="10"/>
        <v>3.7141338600185189E-2</v>
      </c>
      <c r="G85" s="16">
        <f t="shared" ca="1" si="11"/>
        <v>7.0635145953006741E-3</v>
      </c>
      <c r="H85" s="16">
        <f t="shared" ca="1" si="12"/>
        <v>6.7431138848903218E-3</v>
      </c>
      <c r="J85" s="38">
        <f t="shared" si="13"/>
        <v>3.7056417965264557E-2</v>
      </c>
      <c r="K85" s="38">
        <f t="shared" ca="1" si="14"/>
        <v>6.9785939603800393E-3</v>
      </c>
      <c r="L85" s="38">
        <f t="shared" ca="1" si="15"/>
        <v>6.6581932499696871E-3</v>
      </c>
    </row>
    <row r="86" spans="1:12" ht="13.8" thickBot="1" x14ac:dyDescent="0.3">
      <c r="A86" s="12">
        <f ca="1">IFERROR(__xludf.DUMMYFUNCTION("""COMPUTED_VALUE"""),43570.6666666666)</f>
        <v>43570.666666666599</v>
      </c>
      <c r="B86" s="4">
        <v>29.84</v>
      </c>
      <c r="C86" s="2">
        <f ca="1">IFERROR(__xludf.DUMMYFUNCTION("""COMPUTED_VALUE"""),59.38)</f>
        <v>59.38</v>
      </c>
      <c r="D86" s="2">
        <f ca="1">IFERROR(__xludf.DUMMYFUNCTION("""COMPUTED_VALUE"""),289.97)</f>
        <v>289.97000000000003</v>
      </c>
      <c r="F86" s="16">
        <f t="shared" si="10"/>
        <v>-1.0998277835409728E-2</v>
      </c>
      <c r="G86" s="16">
        <f t="shared" ca="1" si="11"/>
        <v>1.9213376889803901E-2</v>
      </c>
      <c r="H86" s="16">
        <f t="shared" ca="1" si="12"/>
        <v>-6.5502562113115633E-4</v>
      </c>
      <c r="J86" s="38">
        <f t="shared" si="13"/>
        <v>-1.1083198470330364E-2</v>
      </c>
      <c r="K86" s="38">
        <f t="shared" ca="1" si="14"/>
        <v>1.9128456254883266E-2</v>
      </c>
      <c r="L86" s="38">
        <f t="shared" ca="1" si="15"/>
        <v>-7.3994625605179121E-4</v>
      </c>
    </row>
    <row r="87" spans="1:12" ht="13.8" thickBot="1" x14ac:dyDescent="0.3">
      <c r="A87" s="12">
        <f ca="1">IFERROR(__xludf.DUMMYFUNCTION("""COMPUTED_VALUE"""),43571.6666666666)</f>
        <v>43571.666666666599</v>
      </c>
      <c r="B87" s="4">
        <v>29.88</v>
      </c>
      <c r="C87" s="2">
        <f ca="1">IFERROR(__xludf.DUMMYFUNCTION("""COMPUTED_VALUE"""),59.37)</f>
        <v>59.37</v>
      </c>
      <c r="D87" s="2">
        <f ca="1">IFERROR(__xludf.DUMMYFUNCTION("""COMPUTED_VALUE"""),290.16)</f>
        <v>290.16000000000003</v>
      </c>
      <c r="F87" s="16">
        <f t="shared" si="10"/>
        <v>1.3395849290563455E-3</v>
      </c>
      <c r="G87" s="16">
        <f t="shared" ca="1" si="11"/>
        <v>-1.684210530297493E-4</v>
      </c>
      <c r="H87" s="16">
        <f t="shared" ca="1" si="12"/>
        <v>6.5502562113114234E-4</v>
      </c>
      <c r="J87" s="38">
        <f t="shared" si="13"/>
        <v>1.2546642941357105E-3</v>
      </c>
      <c r="K87" s="38">
        <f t="shared" ca="1" si="14"/>
        <v>-2.5334168795038419E-4</v>
      </c>
      <c r="L87" s="38">
        <f t="shared" ca="1" si="15"/>
        <v>5.7010498621050745E-4</v>
      </c>
    </row>
    <row r="88" spans="1:12" ht="13.8" thickBot="1" x14ac:dyDescent="0.3">
      <c r="A88" s="12">
        <f ca="1">IFERROR(__xludf.DUMMYFUNCTION("""COMPUTED_VALUE"""),43572.6666666666)</f>
        <v>43572.666666666599</v>
      </c>
      <c r="B88" s="4">
        <v>30.03</v>
      </c>
      <c r="C88" s="2">
        <f ca="1">IFERROR(__xludf.DUMMYFUNCTION("""COMPUTED_VALUE"""),60.65)</f>
        <v>60.65</v>
      </c>
      <c r="D88" s="2">
        <f ca="1">IFERROR(__xludf.DUMMYFUNCTION("""COMPUTED_VALUE"""),289.45)</f>
        <v>289.45</v>
      </c>
      <c r="F88" s="16">
        <f t="shared" si="10"/>
        <v>5.0075217306224133E-3</v>
      </c>
      <c r="G88" s="16">
        <f t="shared" ca="1" si="11"/>
        <v>2.1330587107475048E-2</v>
      </c>
      <c r="H88" s="16">
        <f t="shared" ca="1" si="12"/>
        <v>-2.4499244496334195E-3</v>
      </c>
      <c r="J88" s="38">
        <f t="shared" si="13"/>
        <v>4.9226010957017785E-3</v>
      </c>
      <c r="K88" s="38">
        <f t="shared" ca="1" si="14"/>
        <v>2.1245666472554412E-2</v>
      </c>
      <c r="L88" s="38">
        <f t="shared" ca="1" si="15"/>
        <v>-2.5348450845540543E-3</v>
      </c>
    </row>
    <row r="89" spans="1:12" ht="13.8" thickBot="1" x14ac:dyDescent="0.3">
      <c r="A89" s="12">
        <f ca="1">IFERROR(__xludf.DUMMYFUNCTION("""COMPUTED_VALUE"""),43573.6666666666)</f>
        <v>43573.666666666599</v>
      </c>
      <c r="B89" s="4">
        <v>30.03</v>
      </c>
      <c r="C89" s="2">
        <f ca="1">IFERROR(__xludf.DUMMYFUNCTION("""COMPUTED_VALUE"""),61.72)</f>
        <v>61.72</v>
      </c>
      <c r="D89" s="2">
        <f ca="1">IFERROR(__xludf.DUMMYFUNCTION("""COMPUTED_VALUE"""),290.02)</f>
        <v>290.02</v>
      </c>
      <c r="F89" s="16">
        <f t="shared" si="10"/>
        <v>0</v>
      </c>
      <c r="G89" s="16">
        <f t="shared" ca="1" si="11"/>
        <v>1.748839210490092E-2</v>
      </c>
      <c r="H89" s="16">
        <f t="shared" ca="1" si="12"/>
        <v>1.967315594735424E-3</v>
      </c>
      <c r="J89" s="38">
        <f t="shared" si="13"/>
        <v>-8.4920634920634914E-5</v>
      </c>
      <c r="K89" s="38">
        <f t="shared" ca="1" si="14"/>
        <v>1.7403471469980284E-2</v>
      </c>
      <c r="L89" s="38">
        <f t="shared" ca="1" si="15"/>
        <v>1.882394959814789E-3</v>
      </c>
    </row>
    <row r="90" spans="1:12" ht="13.8" thickBot="1" x14ac:dyDescent="0.3">
      <c r="A90" s="12">
        <f ca="1">IFERROR(__xludf.DUMMYFUNCTION("""COMPUTED_VALUE"""),43577.6666666666)</f>
        <v>43577.666666666599</v>
      </c>
      <c r="B90" s="4">
        <v>30.05</v>
      </c>
      <c r="C90" s="2">
        <f ca="1">IFERROR(__xludf.DUMMYFUNCTION("""COMPUTED_VALUE"""),62.23)</f>
        <v>62.23</v>
      </c>
      <c r="D90" s="2">
        <f ca="1">IFERROR(__xludf.DUMMYFUNCTION("""COMPUTED_VALUE"""),290.27)</f>
        <v>290.27</v>
      </c>
      <c r="F90" s="16">
        <f t="shared" si="10"/>
        <v>6.6577898597765467E-4</v>
      </c>
      <c r="G90" s="16">
        <f t="shared" ca="1" si="11"/>
        <v>8.2291710861664234E-3</v>
      </c>
      <c r="H90" s="16">
        <f t="shared" ca="1" si="12"/>
        <v>8.6163819975209341E-4</v>
      </c>
      <c r="J90" s="38">
        <f t="shared" si="13"/>
        <v>5.8085835105701979E-4</v>
      </c>
      <c r="K90" s="38">
        <f t="shared" ca="1" si="14"/>
        <v>8.1442504512457877E-3</v>
      </c>
      <c r="L90" s="38">
        <f t="shared" ca="1" si="15"/>
        <v>7.7671756483145853E-4</v>
      </c>
    </row>
    <row r="91" spans="1:12" ht="13.8" thickBot="1" x14ac:dyDescent="0.3">
      <c r="A91" s="12">
        <f ca="1">IFERROR(__xludf.DUMMYFUNCTION("""COMPUTED_VALUE"""),43578.6666666666)</f>
        <v>43578.666666666599</v>
      </c>
      <c r="B91" s="4">
        <v>30.07</v>
      </c>
      <c r="C91" s="2">
        <f ca="1">IFERROR(__xludf.DUMMYFUNCTION("""COMPUTED_VALUE"""),61.52)</f>
        <v>61.52</v>
      </c>
      <c r="D91" s="2">
        <f ca="1">IFERROR(__xludf.DUMMYFUNCTION("""COMPUTED_VALUE"""),292.88)</f>
        <v>292.88</v>
      </c>
      <c r="F91" s="16">
        <f t="shared" si="10"/>
        <v>6.6533601922115796E-4</v>
      </c>
      <c r="G91" s="16">
        <f t="shared" ca="1" si="11"/>
        <v>-1.1474873383737826E-2</v>
      </c>
      <c r="H91" s="16">
        <f t="shared" ca="1" si="12"/>
        <v>8.9514444924794576E-3</v>
      </c>
      <c r="J91" s="38">
        <f t="shared" si="13"/>
        <v>5.8041538430052308E-4</v>
      </c>
      <c r="K91" s="38">
        <f t="shared" ca="1" si="14"/>
        <v>-1.1559794018658462E-2</v>
      </c>
      <c r="L91" s="38">
        <f t="shared" ca="1" si="15"/>
        <v>8.866523857558822E-3</v>
      </c>
    </row>
    <row r="92" spans="1:12" ht="13.8" thickBot="1" x14ac:dyDescent="0.3">
      <c r="A92" s="12">
        <f ca="1">IFERROR(__xludf.DUMMYFUNCTION("""COMPUTED_VALUE"""),43579.6666666666)</f>
        <v>43579.666666666599</v>
      </c>
      <c r="B92" s="4">
        <v>30.02</v>
      </c>
      <c r="C92" s="2">
        <f ca="1">IFERROR(__xludf.DUMMYFUNCTION("""COMPUTED_VALUE"""),61.65)</f>
        <v>61.65</v>
      </c>
      <c r="D92" s="2">
        <f ca="1">IFERROR(__xludf.DUMMYFUNCTION("""COMPUTED_VALUE"""),292.23)</f>
        <v>292.23</v>
      </c>
      <c r="F92" s="16">
        <f t="shared" si="10"/>
        <v>-1.664170795121795E-3</v>
      </c>
      <c r="G92" s="16">
        <f t="shared" ca="1" si="11"/>
        <v>2.1109044129648032E-3</v>
      </c>
      <c r="H92" s="16">
        <f t="shared" ca="1" si="12"/>
        <v>-2.2218053610066832E-3</v>
      </c>
      <c r="J92" s="38">
        <f t="shared" si="13"/>
        <v>-1.74909143004243E-3</v>
      </c>
      <c r="K92" s="38">
        <f t="shared" ca="1" si="14"/>
        <v>2.0259837780441685E-3</v>
      </c>
      <c r="L92" s="38">
        <f t="shared" ca="1" si="15"/>
        <v>-2.306725995927318E-3</v>
      </c>
    </row>
    <row r="93" spans="1:12" ht="13.8" thickBot="1" x14ac:dyDescent="0.3">
      <c r="A93" s="12">
        <f ca="1">IFERROR(__xludf.DUMMYFUNCTION("""COMPUTED_VALUE"""),43580.6666666666)</f>
        <v>43580.666666666599</v>
      </c>
      <c r="B93" s="4">
        <v>30.08</v>
      </c>
      <c r="C93" s="2">
        <f ca="1">IFERROR(__xludf.DUMMYFUNCTION("""COMPUTED_VALUE"""),61.9)</f>
        <v>61.9</v>
      </c>
      <c r="D93" s="2">
        <f ca="1">IFERROR(__xludf.DUMMYFUNCTION("""COMPUTED_VALUE"""),292.05)</f>
        <v>292.05</v>
      </c>
      <c r="F93" s="16">
        <f t="shared" si="10"/>
        <v>1.9966728763230737E-3</v>
      </c>
      <c r="G93" s="16">
        <f t="shared" ca="1" si="11"/>
        <v>4.0469500801970718E-3</v>
      </c>
      <c r="H93" s="16">
        <f t="shared" ca="1" si="12"/>
        <v>-6.1614296465564331E-4</v>
      </c>
      <c r="J93" s="38">
        <f t="shared" si="13"/>
        <v>1.9117522414024387E-3</v>
      </c>
      <c r="K93" s="38">
        <f t="shared" ca="1" si="14"/>
        <v>3.962029445276437E-3</v>
      </c>
      <c r="L93" s="38">
        <f t="shared" ca="1" si="15"/>
        <v>-7.010635995762782E-4</v>
      </c>
    </row>
    <row r="94" spans="1:12" ht="13.8" thickBot="1" x14ac:dyDescent="0.3">
      <c r="A94" s="12">
        <f ca="1">IFERROR(__xludf.DUMMYFUNCTION("""COMPUTED_VALUE"""),43581.6666666666)</f>
        <v>43581.666666666599</v>
      </c>
      <c r="B94" s="4">
        <v>30.35</v>
      </c>
      <c r="C94" s="2">
        <f ca="1">IFERROR(__xludf.DUMMYFUNCTION("""COMPUTED_VALUE"""),61.94)</f>
        <v>61.94</v>
      </c>
      <c r="D94" s="2">
        <f ca="1">IFERROR(__xludf.DUMMYFUNCTION("""COMPUTED_VALUE"""),293.41)</f>
        <v>293.41000000000003</v>
      </c>
      <c r="F94" s="16">
        <f t="shared" si="10"/>
        <v>8.9360184238682864E-3</v>
      </c>
      <c r="G94" s="16">
        <f t="shared" ca="1" si="11"/>
        <v>6.4599485450625405E-4</v>
      </c>
      <c r="H94" s="16">
        <f t="shared" ca="1" si="12"/>
        <v>4.6459278046626735E-3</v>
      </c>
      <c r="J94" s="38">
        <f t="shared" si="13"/>
        <v>8.8510977889476507E-3</v>
      </c>
      <c r="K94" s="38">
        <f t="shared" ca="1" si="14"/>
        <v>5.6107421958561917E-4</v>
      </c>
      <c r="L94" s="38">
        <f t="shared" ca="1" si="15"/>
        <v>4.5610071697420387E-3</v>
      </c>
    </row>
    <row r="95" spans="1:12" ht="13.8" thickBot="1" x14ac:dyDescent="0.3">
      <c r="A95" s="12">
        <f ca="1">IFERROR(__xludf.DUMMYFUNCTION("""COMPUTED_VALUE"""),43584.6666666666)</f>
        <v>43584.666666666599</v>
      </c>
      <c r="B95" s="4">
        <v>30.77</v>
      </c>
      <c r="C95" s="2">
        <f ca="1">IFERROR(__xludf.DUMMYFUNCTION("""COMPUTED_VALUE"""),63.62)</f>
        <v>63.62</v>
      </c>
      <c r="D95" s="2">
        <f ca="1">IFERROR(__xludf.DUMMYFUNCTION("""COMPUTED_VALUE"""),293.87)</f>
        <v>293.87</v>
      </c>
      <c r="F95" s="16">
        <f t="shared" si="10"/>
        <v>1.3743671828443219E-2</v>
      </c>
      <c r="G95" s="16">
        <f t="shared" ca="1" si="11"/>
        <v>2.6761711775941357E-2</v>
      </c>
      <c r="H95" s="16">
        <f t="shared" ca="1" si="12"/>
        <v>1.5665443879318986E-3</v>
      </c>
      <c r="J95" s="38">
        <f t="shared" si="13"/>
        <v>1.3658751193522584E-2</v>
      </c>
      <c r="K95" s="38">
        <f t="shared" ca="1" si="14"/>
        <v>2.6676791141020721E-2</v>
      </c>
      <c r="L95" s="38">
        <f t="shared" ca="1" si="15"/>
        <v>1.4816237530112636E-3</v>
      </c>
    </row>
    <row r="96" spans="1:12" ht="13.8" thickBot="1" x14ac:dyDescent="0.3">
      <c r="A96" s="12">
        <f ca="1">IFERROR(__xludf.DUMMYFUNCTION("""COMPUTED_VALUE"""),43585.6666666666)</f>
        <v>43585.666666666599</v>
      </c>
      <c r="B96" s="4">
        <v>30.58</v>
      </c>
      <c r="C96" s="2">
        <f ca="1">IFERROR(__xludf.DUMMYFUNCTION("""COMPUTED_VALUE"""),62.96)</f>
        <v>62.96</v>
      </c>
      <c r="D96" s="2">
        <f ca="1">IFERROR(__xludf.DUMMYFUNCTION("""COMPUTED_VALUE"""),294.02)</f>
        <v>294.02</v>
      </c>
      <c r="F96" s="16">
        <f t="shared" si="10"/>
        <v>-6.1939888330342207E-3</v>
      </c>
      <c r="G96" s="16">
        <f t="shared" ca="1" si="11"/>
        <v>-1.0428282211850229E-2</v>
      </c>
      <c r="H96" s="16">
        <f t="shared" ca="1" si="12"/>
        <v>5.1029955690712456E-4</v>
      </c>
      <c r="J96" s="38">
        <f t="shared" si="13"/>
        <v>-6.2789094679548555E-3</v>
      </c>
      <c r="K96" s="38">
        <f t="shared" ca="1" si="14"/>
        <v>-1.0513202846770865E-2</v>
      </c>
      <c r="L96" s="38">
        <f t="shared" ca="1" si="15"/>
        <v>4.2537892198648967E-4</v>
      </c>
    </row>
    <row r="97" spans="1:12" ht="13.8" thickBot="1" x14ac:dyDescent="0.3">
      <c r="A97" s="12">
        <f ca="1">IFERROR(__xludf.DUMMYFUNCTION("""COMPUTED_VALUE"""),43586.6666666666)</f>
        <v>43586.666666666599</v>
      </c>
      <c r="B97" s="4">
        <v>30.26</v>
      </c>
      <c r="C97" s="2">
        <f ca="1">IFERROR(__xludf.DUMMYFUNCTION("""COMPUTED_VALUE"""),62.52)</f>
        <v>62.52</v>
      </c>
      <c r="D97" s="2">
        <f ca="1">IFERROR(__xludf.DUMMYFUNCTION("""COMPUTED_VALUE"""),291.81)</f>
        <v>291.81</v>
      </c>
      <c r="F97" s="16">
        <f t="shared" si="10"/>
        <v>-1.0519492140706266E-2</v>
      </c>
      <c r="G97" s="16">
        <f t="shared" ca="1" si="11"/>
        <v>-7.0130985558719177E-3</v>
      </c>
      <c r="H97" s="16">
        <f t="shared" ca="1" si="12"/>
        <v>-7.5448866863614588E-3</v>
      </c>
      <c r="J97" s="38">
        <f t="shared" si="13"/>
        <v>-1.0604412775626902E-2</v>
      </c>
      <c r="K97" s="38">
        <f t="shared" ca="1" si="14"/>
        <v>-7.0980191907925524E-3</v>
      </c>
      <c r="L97" s="38">
        <f t="shared" ca="1" si="15"/>
        <v>-7.6298073212820935E-3</v>
      </c>
    </row>
    <row r="98" spans="1:12" ht="13.8" thickBot="1" x14ac:dyDescent="0.3">
      <c r="A98" s="12">
        <f ca="1">IFERROR(__xludf.DUMMYFUNCTION("""COMPUTED_VALUE"""),43587.6666666666)</f>
        <v>43587.666666666599</v>
      </c>
      <c r="B98" s="4">
        <v>30.5</v>
      </c>
      <c r="C98" s="2">
        <f ca="1">IFERROR(__xludf.DUMMYFUNCTION("""COMPUTED_VALUE"""),63.07)</f>
        <v>63.07</v>
      </c>
      <c r="D98" s="2">
        <f ca="1">IFERROR(__xludf.DUMMYFUNCTION("""COMPUTED_VALUE"""),291.18)</f>
        <v>291.18</v>
      </c>
      <c r="F98" s="16">
        <f t="shared" si="10"/>
        <v>7.8999752531559303E-3</v>
      </c>
      <c r="G98" s="16">
        <f t="shared" ca="1" si="11"/>
        <v>8.7587151222839575E-3</v>
      </c>
      <c r="H98" s="16">
        <f t="shared" ca="1" si="12"/>
        <v>-2.1612729042788225E-3</v>
      </c>
      <c r="J98" s="38">
        <f t="shared" si="13"/>
        <v>7.8150546182352947E-3</v>
      </c>
      <c r="K98" s="38">
        <f t="shared" ca="1" si="14"/>
        <v>8.6737944873633219E-3</v>
      </c>
      <c r="L98" s="38">
        <f t="shared" ca="1" si="15"/>
        <v>-2.2461935391994573E-3</v>
      </c>
    </row>
    <row r="99" spans="1:12" ht="13.8" thickBot="1" x14ac:dyDescent="0.3">
      <c r="A99" s="12">
        <f ca="1">IFERROR(__xludf.DUMMYFUNCTION("""COMPUTED_VALUE"""),43588.6666666666)</f>
        <v>43588.666666666599</v>
      </c>
      <c r="B99" s="4">
        <v>30.71</v>
      </c>
      <c r="C99" s="2">
        <f ca="1">IFERROR(__xludf.DUMMYFUNCTION("""COMPUTED_VALUE"""),62.84)</f>
        <v>62.84</v>
      </c>
      <c r="D99" s="2">
        <f ca="1">IFERROR(__xludf.DUMMYFUNCTION("""COMPUTED_VALUE"""),294.03)</f>
        <v>294.02999999999997</v>
      </c>
      <c r="F99" s="16">
        <f t="shared" si="10"/>
        <v>6.8616508393650197E-3</v>
      </c>
      <c r="G99" s="16">
        <f t="shared" ca="1" si="11"/>
        <v>-3.6534072881394221E-3</v>
      </c>
      <c r="H99" s="16">
        <f t="shared" ca="1" si="12"/>
        <v>9.7401703040183221E-3</v>
      </c>
      <c r="J99" s="38">
        <f t="shared" si="13"/>
        <v>6.7767302044443849E-3</v>
      </c>
      <c r="K99" s="38">
        <f t="shared" ca="1" si="14"/>
        <v>-3.7383279230600568E-3</v>
      </c>
      <c r="L99" s="38">
        <f t="shared" ca="1" si="15"/>
        <v>9.6552496690976864E-3</v>
      </c>
    </row>
    <row r="100" spans="1:12" ht="13.8" thickBot="1" x14ac:dyDescent="0.3">
      <c r="A100" s="12">
        <f ca="1">IFERROR(__xludf.DUMMYFUNCTION("""COMPUTED_VALUE"""),43591.6666666666)</f>
        <v>43591.666666666599</v>
      </c>
      <c r="B100" s="4">
        <v>30.47</v>
      </c>
      <c r="C100" s="2">
        <f ca="1">IFERROR(__xludf.DUMMYFUNCTION("""COMPUTED_VALUE"""),61.34)</f>
        <v>61.34</v>
      </c>
      <c r="D100" s="2">
        <f ca="1">IFERROR(__xludf.DUMMYFUNCTION("""COMPUTED_VALUE"""),292.82)</f>
        <v>292.82</v>
      </c>
      <c r="F100" s="16">
        <f t="shared" si="10"/>
        <v>-7.8457414551133427E-3</v>
      </c>
      <c r="G100" s="16">
        <f t="shared" ca="1" si="11"/>
        <v>-2.4159654701314988E-2</v>
      </c>
      <c r="H100" s="16">
        <f t="shared" ca="1" si="12"/>
        <v>-4.1237171838620409E-3</v>
      </c>
      <c r="J100" s="38">
        <f t="shared" si="13"/>
        <v>-7.9306620900339783E-3</v>
      </c>
      <c r="K100" s="38">
        <f t="shared" ca="1" si="14"/>
        <v>-2.4244575336235624E-2</v>
      </c>
      <c r="L100" s="38">
        <f t="shared" ca="1" si="15"/>
        <v>-4.2086378187826757E-3</v>
      </c>
    </row>
    <row r="101" spans="1:12" ht="13.8" thickBot="1" x14ac:dyDescent="0.3">
      <c r="A101" s="12">
        <f ca="1">IFERROR(__xludf.DUMMYFUNCTION("""COMPUTED_VALUE"""),43592.6666666666)</f>
        <v>43592.666666666599</v>
      </c>
      <c r="B101" s="4">
        <v>29.92</v>
      </c>
      <c r="C101" s="2">
        <f ca="1">IFERROR(__xludf.DUMMYFUNCTION("""COMPUTED_VALUE"""),61.16)</f>
        <v>61.16</v>
      </c>
      <c r="D101" s="2">
        <f ca="1">IFERROR(__xludf.DUMMYFUNCTION("""COMPUTED_VALUE"""),287.93)</f>
        <v>287.93</v>
      </c>
      <c r="F101" s="16">
        <f t="shared" si="10"/>
        <v>-1.8215439891341105E-2</v>
      </c>
      <c r="G101" s="16">
        <f t="shared" ca="1" si="11"/>
        <v>-2.9387776252440424E-3</v>
      </c>
      <c r="H101" s="16">
        <f t="shared" ca="1" si="12"/>
        <v>-1.6840690727734399E-2</v>
      </c>
      <c r="J101" s="38">
        <f t="shared" si="13"/>
        <v>-1.8300360526261741E-2</v>
      </c>
      <c r="K101" s="38">
        <f t="shared" ca="1" si="14"/>
        <v>-3.0236982601646771E-3</v>
      </c>
      <c r="L101" s="38">
        <f t="shared" ca="1" si="15"/>
        <v>-1.6925611362655035E-2</v>
      </c>
    </row>
    <row r="102" spans="1:12" ht="13.8" thickBot="1" x14ac:dyDescent="0.3">
      <c r="A102" s="12">
        <f ca="1">IFERROR(__xludf.DUMMYFUNCTION("""COMPUTED_VALUE"""),43593.6666666666)</f>
        <v>43593.666666666599</v>
      </c>
      <c r="B102" s="4">
        <v>29.8</v>
      </c>
      <c r="C102" s="2">
        <f ca="1">IFERROR(__xludf.DUMMYFUNCTION("""COMPUTED_VALUE"""),59.42)</f>
        <v>59.42</v>
      </c>
      <c r="D102" s="2">
        <f ca="1">IFERROR(__xludf.DUMMYFUNCTION("""COMPUTED_VALUE"""),287.53)</f>
        <v>287.52999999999997</v>
      </c>
      <c r="F102" s="16">
        <f t="shared" si="10"/>
        <v>-4.0187595949177438E-3</v>
      </c>
      <c r="G102" s="16">
        <f t="shared" ca="1" si="11"/>
        <v>-2.8862511026399848E-2</v>
      </c>
      <c r="H102" s="16">
        <f t="shared" ca="1" si="12"/>
        <v>-1.3901924179654515E-3</v>
      </c>
      <c r="J102" s="38">
        <f t="shared" si="13"/>
        <v>-4.1036802298383785E-3</v>
      </c>
      <c r="K102" s="38">
        <f t="shared" ca="1" si="14"/>
        <v>-2.8947431661320484E-2</v>
      </c>
      <c r="L102" s="38">
        <f t="shared" ca="1" si="15"/>
        <v>-1.4751130528860865E-3</v>
      </c>
    </row>
    <row r="103" spans="1:12" ht="13.8" thickBot="1" x14ac:dyDescent="0.3">
      <c r="A103" s="12">
        <f ca="1">IFERROR(__xludf.DUMMYFUNCTION("""COMPUTED_VALUE"""),43594.6666666666)</f>
        <v>43594.666666666599</v>
      </c>
      <c r="B103" s="4">
        <v>29.71</v>
      </c>
      <c r="C103" s="2">
        <f ca="1">IFERROR(__xludf.DUMMYFUNCTION("""COMPUTED_VALUE"""),59.52)</f>
        <v>59.52</v>
      </c>
      <c r="D103" s="2">
        <f ca="1">IFERROR(__xludf.DUMMYFUNCTION("""COMPUTED_VALUE"""),286.66)</f>
        <v>286.66000000000003</v>
      </c>
      <c r="F103" s="16">
        <f t="shared" si="10"/>
        <v>-3.0247040368424939E-3</v>
      </c>
      <c r="G103" s="16">
        <f t="shared" ca="1" si="11"/>
        <v>1.6815204903748702E-3</v>
      </c>
      <c r="H103" s="16">
        <f t="shared" ca="1" si="12"/>
        <v>-3.0303581245666403E-3</v>
      </c>
      <c r="J103" s="38">
        <f t="shared" si="13"/>
        <v>-3.1096246717631287E-3</v>
      </c>
      <c r="K103" s="38">
        <f t="shared" ca="1" si="14"/>
        <v>1.5965998554542352E-3</v>
      </c>
      <c r="L103" s="38">
        <f t="shared" ca="1" si="15"/>
        <v>-3.1152787594872751E-3</v>
      </c>
    </row>
    <row r="104" spans="1:12" ht="13.8" thickBot="1" x14ac:dyDescent="0.3">
      <c r="A104" s="12">
        <f ca="1">IFERROR(__xludf.DUMMYFUNCTION("""COMPUTED_VALUE"""),43595.6666666666)</f>
        <v>43595.666666666599</v>
      </c>
      <c r="B104" s="4">
        <v>29.58</v>
      </c>
      <c r="C104" s="2">
        <f ca="1">IFERROR(__xludf.DUMMYFUNCTION("""COMPUTED_VALUE"""),57.74)</f>
        <v>57.74</v>
      </c>
      <c r="D104" s="2">
        <f ca="1">IFERROR(__xludf.DUMMYFUNCTION("""COMPUTED_VALUE"""),288.1)</f>
        <v>288.10000000000002</v>
      </c>
      <c r="F104" s="16">
        <f t="shared" si="10"/>
        <v>-4.3852321918626735E-3</v>
      </c>
      <c r="G104" s="16">
        <f t="shared" ca="1" si="11"/>
        <v>-3.0362216290047393E-2</v>
      </c>
      <c r="H104" s="16">
        <f t="shared" ca="1" si="12"/>
        <v>5.010797595413184E-3</v>
      </c>
      <c r="J104" s="38">
        <f t="shared" si="13"/>
        <v>-4.4701528267833083E-3</v>
      </c>
      <c r="K104" s="38">
        <f t="shared" ca="1" si="14"/>
        <v>-3.0447136924968029E-2</v>
      </c>
      <c r="L104" s="38">
        <f t="shared" ca="1" si="15"/>
        <v>4.9258769604925493E-3</v>
      </c>
    </row>
    <row r="105" spans="1:12" ht="13.8" thickBot="1" x14ac:dyDescent="0.3">
      <c r="A105" s="12">
        <f ca="1">IFERROR(__xludf.DUMMYFUNCTION("""COMPUTED_VALUE"""),43598.6666666666)</f>
        <v>43598.666666666599</v>
      </c>
      <c r="B105" s="4">
        <v>28.25</v>
      </c>
      <c r="C105" s="2">
        <f ca="1">IFERROR(__xludf.DUMMYFUNCTION("""COMPUTED_VALUE"""),58.58)</f>
        <v>58.58</v>
      </c>
      <c r="D105" s="2">
        <f ca="1">IFERROR(__xludf.DUMMYFUNCTION("""COMPUTED_VALUE"""),280.86)</f>
        <v>280.86</v>
      </c>
      <c r="F105" s="16">
        <f t="shared" si="10"/>
        <v>-4.6004999690203698E-2</v>
      </c>
      <c r="G105" s="16">
        <f t="shared" ca="1" si="11"/>
        <v>1.4443167164798215E-2</v>
      </c>
      <c r="H105" s="16">
        <f t="shared" ca="1" si="12"/>
        <v>-2.5451317550448584E-2</v>
      </c>
      <c r="J105" s="38">
        <f t="shared" si="13"/>
        <v>-4.608992032512433E-2</v>
      </c>
      <c r="K105" s="38">
        <f t="shared" ca="1" si="14"/>
        <v>1.4358246529877579E-2</v>
      </c>
      <c r="L105" s="38">
        <f t="shared" ca="1" si="15"/>
        <v>-2.5536238185369219E-2</v>
      </c>
    </row>
    <row r="106" spans="1:12" ht="13.8" thickBot="1" x14ac:dyDescent="0.3">
      <c r="A106" s="12">
        <f ca="1">IFERROR(__xludf.DUMMYFUNCTION("""COMPUTED_VALUE"""),43599.6666666666)</f>
        <v>43599.666666666599</v>
      </c>
      <c r="B106" s="4">
        <v>28.62</v>
      </c>
      <c r="C106" s="2">
        <f ca="1">IFERROR(__xludf.DUMMYFUNCTION("""COMPUTED_VALUE"""),57.93)</f>
        <v>57.93</v>
      </c>
      <c r="D106" s="2">
        <f ca="1">IFERROR(__xludf.DUMMYFUNCTION("""COMPUTED_VALUE"""),283.4)</f>
        <v>283.39999999999998</v>
      </c>
      <c r="F106" s="16">
        <f t="shared" si="10"/>
        <v>1.3012316535854947E-2</v>
      </c>
      <c r="G106" s="16">
        <f t="shared" ca="1" si="11"/>
        <v>-1.1157956291054618E-2</v>
      </c>
      <c r="H106" s="16">
        <f t="shared" ca="1" si="12"/>
        <v>9.003002716545673E-3</v>
      </c>
      <c r="J106" s="38">
        <f t="shared" si="13"/>
        <v>1.2927395900934311E-2</v>
      </c>
      <c r="K106" s="38">
        <f t="shared" ca="1" si="14"/>
        <v>-1.1242876925975254E-2</v>
      </c>
      <c r="L106" s="38">
        <f t="shared" ca="1" si="15"/>
        <v>8.9180820816250374E-3</v>
      </c>
    </row>
    <row r="107" spans="1:12" ht="13.8" thickBot="1" x14ac:dyDescent="0.3">
      <c r="A107" s="12">
        <f ca="1">IFERROR(__xludf.DUMMYFUNCTION("""COMPUTED_VALUE"""),43600.6666666666)</f>
        <v>43600.666666666599</v>
      </c>
      <c r="B107" s="4">
        <v>28.29</v>
      </c>
      <c r="C107" s="2">
        <f ca="1">IFERROR(__xludf.DUMMYFUNCTION("""COMPUTED_VALUE"""),59.03)</f>
        <v>59.03</v>
      </c>
      <c r="D107" s="2">
        <f ca="1">IFERROR(__xludf.DUMMYFUNCTION("""COMPUTED_VALUE"""),285.06)</f>
        <v>285.06</v>
      </c>
      <c r="F107" s="16">
        <f t="shared" si="10"/>
        <v>-1.1597388814829067E-2</v>
      </c>
      <c r="G107" s="16">
        <f t="shared" ca="1" si="11"/>
        <v>1.8810404144065238E-2</v>
      </c>
      <c r="H107" s="16">
        <f t="shared" ca="1" si="12"/>
        <v>5.8403571703049238E-3</v>
      </c>
      <c r="J107" s="38">
        <f t="shared" si="13"/>
        <v>-1.1682309449749703E-2</v>
      </c>
      <c r="K107" s="38">
        <f t="shared" ca="1" si="14"/>
        <v>1.8725483509144603E-2</v>
      </c>
      <c r="L107" s="38">
        <f t="shared" ca="1" si="15"/>
        <v>5.755436535384289E-3</v>
      </c>
    </row>
    <row r="108" spans="1:12" ht="13.8" thickBot="1" x14ac:dyDescent="0.3">
      <c r="A108" s="12">
        <f ca="1">IFERROR(__xludf.DUMMYFUNCTION("""COMPUTED_VALUE"""),43601.6666666666)</f>
        <v>43601.666666666599</v>
      </c>
      <c r="B108" s="4">
        <v>28.59</v>
      </c>
      <c r="C108" s="2">
        <f ca="1">IFERROR(__xludf.DUMMYFUNCTION("""COMPUTED_VALUE"""),58.78)</f>
        <v>58.78</v>
      </c>
      <c r="D108" s="2">
        <f ca="1">IFERROR(__xludf.DUMMYFUNCTION("""COMPUTED_VALUE"""),287.7)</f>
        <v>287.7</v>
      </c>
      <c r="F108" s="16">
        <f t="shared" si="10"/>
        <v>1.0548621020744541E-2</v>
      </c>
      <c r="G108" s="16">
        <f t="shared" ca="1" si="11"/>
        <v>-4.244128261826725E-3</v>
      </c>
      <c r="H108" s="16">
        <f t="shared" ca="1" si="12"/>
        <v>9.2185861306171429E-3</v>
      </c>
      <c r="J108" s="38">
        <f t="shared" si="13"/>
        <v>1.0463700385823905E-2</v>
      </c>
      <c r="K108" s="38">
        <f t="shared" ca="1" si="14"/>
        <v>-4.3290488967473598E-3</v>
      </c>
      <c r="L108" s="38">
        <f t="shared" ca="1" si="15"/>
        <v>9.1336654956965073E-3</v>
      </c>
    </row>
    <row r="109" spans="1:12" ht="13.8" thickBot="1" x14ac:dyDescent="0.3">
      <c r="A109" s="12">
        <f ca="1">IFERROR(__xludf.DUMMYFUNCTION("""COMPUTED_VALUE"""),43602.6666666666)</f>
        <v>43602.666666666599</v>
      </c>
      <c r="B109" s="4">
        <v>28.4</v>
      </c>
      <c r="C109" s="2">
        <f ca="1">IFERROR(__xludf.DUMMYFUNCTION("""COMPUTED_VALUE"""),58.19)</f>
        <v>58.19</v>
      </c>
      <c r="D109" s="2">
        <f ca="1">IFERROR(__xludf.DUMMYFUNCTION("""COMPUTED_VALUE"""),285.84)</f>
        <v>285.83999999999997</v>
      </c>
      <c r="F109" s="16">
        <f t="shared" si="10"/>
        <v>-6.667861167060145E-3</v>
      </c>
      <c r="G109" s="16">
        <f t="shared" ca="1" si="11"/>
        <v>-1.0088142322192847E-2</v>
      </c>
      <c r="H109" s="16">
        <f t="shared" ca="1" si="12"/>
        <v>-6.4860568423478863E-3</v>
      </c>
      <c r="J109" s="38">
        <f t="shared" si="13"/>
        <v>-6.7527818019807798E-3</v>
      </c>
      <c r="K109" s="38">
        <f t="shared" ca="1" si="14"/>
        <v>-1.0173062957113482E-2</v>
      </c>
      <c r="L109" s="38">
        <f t="shared" ca="1" si="15"/>
        <v>-6.5709774772685211E-3</v>
      </c>
    </row>
    <row r="110" spans="1:12" ht="13.8" thickBot="1" x14ac:dyDescent="0.3">
      <c r="A110" s="12">
        <f ca="1">IFERROR(__xludf.DUMMYFUNCTION("""COMPUTED_VALUE"""),43605.6666666666)</f>
        <v>43605.666666666599</v>
      </c>
      <c r="B110" s="4">
        <v>28.4</v>
      </c>
      <c r="C110" s="2">
        <f ca="1">IFERROR(__xludf.DUMMYFUNCTION("""COMPUTED_VALUE"""),58.96)</f>
        <v>58.96</v>
      </c>
      <c r="D110" s="2">
        <f ca="1">IFERROR(__xludf.DUMMYFUNCTION("""COMPUTED_VALUE"""),283.95)</f>
        <v>283.95</v>
      </c>
      <c r="F110" s="16">
        <f t="shared" si="10"/>
        <v>0</v>
      </c>
      <c r="G110" s="16">
        <f t="shared" ca="1" si="11"/>
        <v>1.3145729212502731E-2</v>
      </c>
      <c r="H110" s="16">
        <f t="shared" ca="1" si="12"/>
        <v>-6.6340473917127661E-3</v>
      </c>
      <c r="J110" s="38">
        <f t="shared" si="13"/>
        <v>-8.4920634920634914E-5</v>
      </c>
      <c r="K110" s="38">
        <f t="shared" ca="1" si="14"/>
        <v>1.3060808577582095E-2</v>
      </c>
      <c r="L110" s="38">
        <f t="shared" ca="1" si="15"/>
        <v>-6.7189680266334009E-3</v>
      </c>
    </row>
    <row r="111" spans="1:12" ht="13.8" thickBot="1" x14ac:dyDescent="0.3">
      <c r="A111" s="12">
        <f ca="1">IFERROR(__xludf.DUMMYFUNCTION("""COMPUTED_VALUE"""),43606.6666666666)</f>
        <v>43606.666666666599</v>
      </c>
      <c r="B111" s="4">
        <v>28.69</v>
      </c>
      <c r="C111" s="2">
        <f ca="1">IFERROR(__xludf.DUMMYFUNCTION("""COMPUTED_VALUE"""),58.43)</f>
        <v>58.43</v>
      </c>
      <c r="D111" s="2">
        <f ca="1">IFERROR(__xludf.DUMMYFUNCTION("""COMPUTED_VALUE"""),286.51)</f>
        <v>286.51</v>
      </c>
      <c r="F111" s="16">
        <f t="shared" si="10"/>
        <v>1.0159484826113107E-2</v>
      </c>
      <c r="G111" s="16">
        <f t="shared" ca="1" si="11"/>
        <v>-9.0297913147355299E-3</v>
      </c>
      <c r="H111" s="16">
        <f t="shared" ca="1" si="12"/>
        <v>8.9752732361833929E-3</v>
      </c>
      <c r="J111" s="38">
        <f t="shared" si="13"/>
        <v>1.0074564191192471E-2</v>
      </c>
      <c r="K111" s="38">
        <f t="shared" ca="1" si="14"/>
        <v>-9.1147119496561655E-3</v>
      </c>
      <c r="L111" s="38">
        <f t="shared" ca="1" si="15"/>
        <v>8.8903526012627573E-3</v>
      </c>
    </row>
    <row r="112" spans="1:12" ht="13.8" thickBot="1" x14ac:dyDescent="0.3">
      <c r="A112" s="12">
        <f ca="1">IFERROR(__xludf.DUMMYFUNCTION("""COMPUTED_VALUE"""),43607.6666666666)</f>
        <v>43607.666666666599</v>
      </c>
      <c r="B112" s="4">
        <v>28.49</v>
      </c>
      <c r="C112" s="2">
        <f ca="1">IFERROR(__xludf.DUMMYFUNCTION("""COMPUTED_VALUE"""),56.91)</f>
        <v>56.91</v>
      </c>
      <c r="D112" s="2">
        <f ca="1">IFERROR(__xludf.DUMMYFUNCTION("""COMPUTED_VALUE"""),285.63)</f>
        <v>285.63</v>
      </c>
      <c r="F112" s="16">
        <f t="shared" si="10"/>
        <v>-6.9954814834566371E-3</v>
      </c>
      <c r="G112" s="16">
        <f t="shared" ca="1" si="11"/>
        <v>-2.6358383951313191E-2</v>
      </c>
      <c r="H112" s="16">
        <f t="shared" ca="1" si="12"/>
        <v>-3.0761725939151916E-3</v>
      </c>
      <c r="J112" s="38">
        <f t="shared" si="13"/>
        <v>-7.0804021183772719E-3</v>
      </c>
      <c r="K112" s="38">
        <f t="shared" ca="1" si="14"/>
        <v>-2.6443304586233826E-2</v>
      </c>
      <c r="L112" s="38">
        <f t="shared" ca="1" si="15"/>
        <v>-3.1610932288358264E-3</v>
      </c>
    </row>
    <row r="113" spans="1:12" ht="13.8" thickBot="1" x14ac:dyDescent="0.3">
      <c r="A113" s="12">
        <f ca="1">IFERROR(__xludf.DUMMYFUNCTION("""COMPUTED_VALUE"""),43608.6666666666)</f>
        <v>43608.666666666599</v>
      </c>
      <c r="B113" s="4">
        <v>27.76</v>
      </c>
      <c r="C113" s="2">
        <f ca="1">IFERROR(__xludf.DUMMYFUNCTION("""COMPUTED_VALUE"""),57.42)</f>
        <v>57.42</v>
      </c>
      <c r="D113" s="2">
        <f ca="1">IFERROR(__xludf.DUMMYFUNCTION("""COMPUTED_VALUE"""),282.14)</f>
        <v>282.14</v>
      </c>
      <c r="F113" s="16">
        <f t="shared" si="10"/>
        <v>-2.5957012871213089E-2</v>
      </c>
      <c r="G113" s="16">
        <f t="shared" ca="1" si="11"/>
        <v>8.9216020778854349E-3</v>
      </c>
      <c r="H113" s="16">
        <f t="shared" ca="1" si="12"/>
        <v>-1.2293865319353498E-2</v>
      </c>
      <c r="J113" s="38">
        <f t="shared" si="13"/>
        <v>-2.6041933506133725E-2</v>
      </c>
      <c r="K113" s="38">
        <f t="shared" ca="1" si="14"/>
        <v>8.8366814429647993E-3</v>
      </c>
      <c r="L113" s="38">
        <f t="shared" ca="1" si="15"/>
        <v>-1.2378785954274133E-2</v>
      </c>
    </row>
    <row r="114" spans="1:12" ht="13.8" thickBot="1" x14ac:dyDescent="0.3">
      <c r="A114" s="12">
        <f ca="1">IFERROR(__xludf.DUMMYFUNCTION("""COMPUTED_VALUE"""),43609.6666666666)</f>
        <v>43609.666666666599</v>
      </c>
      <c r="B114" s="4">
        <v>28.18</v>
      </c>
      <c r="C114" s="2">
        <f ca="1">IFERROR(__xludf.DUMMYFUNCTION("""COMPUTED_VALUE"""),57.45)</f>
        <v>57.45</v>
      </c>
      <c r="D114" s="2">
        <f ca="1">IFERROR(__xludf.DUMMYFUNCTION("""COMPUTED_VALUE"""),282.78)</f>
        <v>282.77999999999997</v>
      </c>
      <c r="F114" s="16">
        <f t="shared" si="10"/>
        <v>1.5016370831930394E-2</v>
      </c>
      <c r="G114" s="16">
        <f t="shared" ca="1" si="11"/>
        <v>5.2232960184677671E-4</v>
      </c>
      <c r="H114" s="16">
        <f t="shared" ca="1" si="12"/>
        <v>2.2658085173382207E-3</v>
      </c>
      <c r="J114" s="38">
        <f t="shared" si="13"/>
        <v>1.4931450197009758E-2</v>
      </c>
      <c r="K114" s="38">
        <f t="shared" ca="1" si="14"/>
        <v>4.3740896692614183E-4</v>
      </c>
      <c r="L114" s="38">
        <f t="shared" ca="1" si="15"/>
        <v>2.1808878824175859E-3</v>
      </c>
    </row>
    <row r="115" spans="1:12" ht="13.8" thickBot="1" x14ac:dyDescent="0.3">
      <c r="A115" s="12">
        <f ca="1">IFERROR(__xludf.DUMMYFUNCTION("""COMPUTED_VALUE"""),43613.6666666666)</f>
        <v>43613.666666666599</v>
      </c>
      <c r="B115" s="4">
        <v>27.9</v>
      </c>
      <c r="C115" s="2">
        <f ca="1">IFERROR(__xludf.DUMMYFUNCTION("""COMPUTED_VALUE"""),57.36)</f>
        <v>57.36</v>
      </c>
      <c r="D115" s="2">
        <f ca="1">IFERROR(__xludf.DUMMYFUNCTION("""COMPUTED_VALUE"""),280.15)</f>
        <v>280.14999999999998</v>
      </c>
      <c r="F115" s="16">
        <f t="shared" si="10"/>
        <v>-9.9858176432142086E-3</v>
      </c>
      <c r="G115" s="16">
        <f t="shared" ca="1" si="11"/>
        <v>-1.567808003399844E-3</v>
      </c>
      <c r="H115" s="16">
        <f t="shared" ca="1" si="12"/>
        <v>-9.3440361524009356E-3</v>
      </c>
      <c r="J115" s="38">
        <f t="shared" si="13"/>
        <v>-1.0070738278134844E-2</v>
      </c>
      <c r="K115" s="38">
        <f t="shared" ca="1" si="14"/>
        <v>-1.6527286383204789E-3</v>
      </c>
      <c r="L115" s="38">
        <f t="shared" ca="1" si="15"/>
        <v>-9.4289567873215713E-3</v>
      </c>
    </row>
    <row r="116" spans="1:12" ht="13.8" thickBot="1" x14ac:dyDescent="0.3">
      <c r="A116" s="12">
        <f ca="1">IFERROR(__xludf.DUMMYFUNCTION("""COMPUTED_VALUE"""),43614.6666666666)</f>
        <v>43614.666666666599</v>
      </c>
      <c r="B116" s="4">
        <v>27.75</v>
      </c>
      <c r="C116" s="2">
        <f ca="1">IFERROR(__xludf.DUMMYFUNCTION("""COMPUTED_VALUE"""),56.61)</f>
        <v>56.61</v>
      </c>
      <c r="D116" s="2">
        <f ca="1">IFERROR(__xludf.DUMMYFUNCTION("""COMPUTED_VALUE"""),278.27)</f>
        <v>278.27</v>
      </c>
      <c r="F116" s="16">
        <f t="shared" si="10"/>
        <v>-5.3908486348764233E-3</v>
      </c>
      <c r="G116" s="16">
        <f t="shared" ca="1" si="11"/>
        <v>-1.3161548242796351E-2</v>
      </c>
      <c r="H116" s="16">
        <f t="shared" ca="1" si="12"/>
        <v>-6.7333086309982896E-3</v>
      </c>
      <c r="J116" s="38">
        <f t="shared" si="13"/>
        <v>-5.4757692697970581E-3</v>
      </c>
      <c r="K116" s="38">
        <f t="shared" ca="1" si="14"/>
        <v>-1.3246468877716987E-2</v>
      </c>
      <c r="L116" s="38">
        <f t="shared" ca="1" si="15"/>
        <v>-6.8182292659189243E-3</v>
      </c>
    </row>
    <row r="117" spans="1:12" ht="13.8" thickBot="1" x14ac:dyDescent="0.3">
      <c r="A117" s="12">
        <f ca="1">IFERROR(__xludf.DUMMYFUNCTION("""COMPUTED_VALUE"""),43615.6666666666)</f>
        <v>43615.666666666599</v>
      </c>
      <c r="B117" s="4">
        <v>27.16</v>
      </c>
      <c r="C117" s="2">
        <f ca="1">IFERROR(__xludf.DUMMYFUNCTION("""COMPUTED_VALUE"""),57.53)</f>
        <v>57.53</v>
      </c>
      <c r="D117" s="2">
        <f ca="1">IFERROR(__xludf.DUMMYFUNCTION("""COMPUTED_VALUE"""),279.03)</f>
        <v>279.02999999999997</v>
      </c>
      <c r="F117" s="16">
        <f t="shared" si="10"/>
        <v>-2.1490537501948143E-2</v>
      </c>
      <c r="G117" s="16">
        <f t="shared" ca="1" si="11"/>
        <v>1.6120902826633497E-2</v>
      </c>
      <c r="H117" s="16">
        <f t="shared" ca="1" si="12"/>
        <v>2.7274375421899866E-3</v>
      </c>
      <c r="J117" s="38">
        <f t="shared" si="13"/>
        <v>-2.1575458136868779E-2</v>
      </c>
      <c r="K117" s="38">
        <f t="shared" ca="1" si="14"/>
        <v>1.6035982191712862E-2</v>
      </c>
      <c r="L117" s="38">
        <f t="shared" ca="1" si="15"/>
        <v>2.6425169072693518E-3</v>
      </c>
    </row>
    <row r="118" spans="1:12" ht="13.8" thickBot="1" x14ac:dyDescent="0.3">
      <c r="A118" s="12">
        <f ca="1">IFERROR(__xludf.DUMMYFUNCTION("""COMPUTED_VALUE"""),43616.6666666666)</f>
        <v>43616.666666666599</v>
      </c>
      <c r="B118" s="4">
        <v>26.6</v>
      </c>
      <c r="C118" s="2">
        <f ca="1">IFERROR(__xludf.DUMMYFUNCTION("""COMPUTED_VALUE"""),56.26)</f>
        <v>56.26</v>
      </c>
      <c r="D118" s="2">
        <f ca="1">IFERROR(__xludf.DUMMYFUNCTION("""COMPUTED_VALUE"""),275.27)</f>
        <v>275.27</v>
      </c>
      <c r="F118" s="16">
        <f t="shared" si="10"/>
        <v>-2.0834086902841914E-2</v>
      </c>
      <c r="G118" s="16">
        <f t="shared" ca="1" si="11"/>
        <v>-2.2322747813491375E-2</v>
      </c>
      <c r="H118" s="16">
        <f t="shared" ca="1" si="12"/>
        <v>-1.356686874231894E-2</v>
      </c>
      <c r="J118" s="38">
        <f t="shared" si="13"/>
        <v>-2.091900753776255E-2</v>
      </c>
      <c r="K118" s="38">
        <f t="shared" ca="1" si="14"/>
        <v>-2.2407668448412011E-2</v>
      </c>
      <c r="L118" s="38">
        <f t="shared" ca="1" si="15"/>
        <v>-1.3651789377239576E-2</v>
      </c>
    </row>
    <row r="119" spans="1:12" ht="13.8" thickBot="1" x14ac:dyDescent="0.3">
      <c r="A119" s="12">
        <f ca="1">IFERROR(__xludf.DUMMYFUNCTION("""COMPUTED_VALUE"""),43619.6666666666)</f>
        <v>43619.666666666599</v>
      </c>
      <c r="B119" s="4">
        <v>26.68</v>
      </c>
      <c r="C119" s="2">
        <f ca="1">IFERROR(__xludf.DUMMYFUNCTION("""COMPUTED_VALUE"""),55.85)</f>
        <v>55.85</v>
      </c>
      <c r="D119" s="2">
        <f ca="1">IFERROR(__xludf.DUMMYFUNCTION("""COMPUTED_VALUE"""),274.57)</f>
        <v>274.57</v>
      </c>
      <c r="F119" s="16">
        <f t="shared" si="10"/>
        <v>3.0030052597695561E-3</v>
      </c>
      <c r="G119" s="16">
        <f t="shared" ca="1" si="11"/>
        <v>-7.3142775465010537E-3</v>
      </c>
      <c r="H119" s="16">
        <f t="shared" ca="1" si="12"/>
        <v>-2.5461966324087106E-3</v>
      </c>
      <c r="J119" s="38">
        <f t="shared" si="13"/>
        <v>2.9180846248489213E-3</v>
      </c>
      <c r="K119" s="38">
        <f t="shared" ca="1" si="14"/>
        <v>-7.3991981814216885E-3</v>
      </c>
      <c r="L119" s="38">
        <f t="shared" ca="1" si="15"/>
        <v>-2.6311172673293454E-3</v>
      </c>
    </row>
    <row r="120" spans="1:12" ht="13.8" thickBot="1" x14ac:dyDescent="0.3">
      <c r="A120" s="12">
        <f ca="1">IFERROR(__xludf.DUMMYFUNCTION("""COMPUTED_VALUE"""),43620.6666666666)</f>
        <v>43620.666666666599</v>
      </c>
      <c r="B120" s="4">
        <v>27.92</v>
      </c>
      <c r="C120" s="2">
        <f ca="1">IFERROR(__xludf.DUMMYFUNCTION("""COMPUTED_VALUE"""),58.29)</f>
        <v>58.29</v>
      </c>
      <c r="D120" s="2">
        <f ca="1">IFERROR(__xludf.DUMMYFUNCTION("""COMPUTED_VALUE"""),280.53)</f>
        <v>280.52999999999997</v>
      </c>
      <c r="F120" s="16">
        <f t="shared" si="10"/>
        <v>4.5429056846748909E-2</v>
      </c>
      <c r="G120" s="16">
        <f t="shared" ca="1" si="11"/>
        <v>4.2761026542248684E-2</v>
      </c>
      <c r="H120" s="16">
        <f t="shared" ca="1" si="12"/>
        <v>2.1474433567707445E-2</v>
      </c>
      <c r="J120" s="38">
        <f t="shared" si="13"/>
        <v>4.5344136211828277E-2</v>
      </c>
      <c r="K120" s="38">
        <f t="shared" ca="1" si="14"/>
        <v>4.2676105907328052E-2</v>
      </c>
      <c r="L120" s="38">
        <f t="shared" ca="1" si="15"/>
        <v>2.1389512932786809E-2</v>
      </c>
    </row>
    <row r="121" spans="1:12" ht="13.8" thickBot="1" x14ac:dyDescent="0.3">
      <c r="A121" s="12">
        <f ca="1">IFERROR(__xludf.DUMMYFUNCTION("""COMPUTED_VALUE"""),43621.6666666666)</f>
        <v>43621.666666666599</v>
      </c>
      <c r="B121" s="4">
        <v>27.91</v>
      </c>
      <c r="C121" s="2">
        <f ca="1">IFERROR(__xludf.DUMMYFUNCTION("""COMPUTED_VALUE"""),58.03)</f>
        <v>58.03</v>
      </c>
      <c r="D121" s="2">
        <f ca="1">IFERROR(__xludf.DUMMYFUNCTION("""COMPUTED_VALUE"""),282.96)</f>
        <v>282.95999999999998</v>
      </c>
      <c r="F121" s="16">
        <f t="shared" si="10"/>
        <v>-3.5823034594094832E-4</v>
      </c>
      <c r="G121" s="16">
        <f t="shared" ca="1" si="11"/>
        <v>-4.4704338549414278E-3</v>
      </c>
      <c r="H121" s="16">
        <f t="shared" ca="1" si="12"/>
        <v>8.6248737817601583E-3</v>
      </c>
      <c r="J121" s="38">
        <f t="shared" si="13"/>
        <v>-4.4315098086158326E-4</v>
      </c>
      <c r="K121" s="38">
        <f t="shared" ca="1" si="14"/>
        <v>-4.5553544898620625E-3</v>
      </c>
      <c r="L121" s="38">
        <f t="shared" ca="1" si="15"/>
        <v>8.5399531468395226E-3</v>
      </c>
    </row>
    <row r="122" spans="1:12" ht="13.8" thickBot="1" x14ac:dyDescent="0.3">
      <c r="A122" s="12">
        <f ca="1">IFERROR(__xludf.DUMMYFUNCTION("""COMPUTED_VALUE"""),43622.6666666666)</f>
        <v>43622.666666666599</v>
      </c>
      <c r="B122" s="4">
        <v>27.88</v>
      </c>
      <c r="C122" s="2">
        <f ca="1">IFERROR(__xludf.DUMMYFUNCTION("""COMPUTED_VALUE"""),58.49)</f>
        <v>58.49</v>
      </c>
      <c r="D122" s="2">
        <f ca="1">IFERROR(__xludf.DUMMYFUNCTION("""COMPUTED_VALUE"""),284.8)</f>
        <v>284.8</v>
      </c>
      <c r="F122" s="16">
        <f t="shared" si="10"/>
        <v>-1.0754616559076949E-3</v>
      </c>
      <c r="G122" s="16">
        <f t="shared" ca="1" si="11"/>
        <v>7.8956812524175277E-3</v>
      </c>
      <c r="H122" s="16">
        <f t="shared" ca="1" si="12"/>
        <v>6.4816346405956356E-3</v>
      </c>
      <c r="J122" s="38">
        <f t="shared" si="13"/>
        <v>-1.1603822908283299E-3</v>
      </c>
      <c r="K122" s="38">
        <f t="shared" ca="1" si="14"/>
        <v>7.810760617496893E-3</v>
      </c>
      <c r="L122" s="38">
        <f t="shared" ca="1" si="15"/>
        <v>6.3967140056750008E-3</v>
      </c>
    </row>
    <row r="123" spans="1:12" ht="13.8" thickBot="1" x14ac:dyDescent="0.3">
      <c r="A123" s="12">
        <f ca="1">IFERROR(__xludf.DUMMYFUNCTION("""COMPUTED_VALUE"""),43623.6666666666)</f>
        <v>43623.666666666599</v>
      </c>
      <c r="B123" s="4">
        <v>27.53</v>
      </c>
      <c r="C123" s="2">
        <f ca="1">IFERROR(__xludf.DUMMYFUNCTION("""COMPUTED_VALUE"""),58.07)</f>
        <v>58.07</v>
      </c>
      <c r="D123" s="2">
        <f ca="1">IFERROR(__xludf.DUMMYFUNCTION("""COMPUTED_VALUE"""),287.65)</f>
        <v>287.64999999999998</v>
      </c>
      <c r="F123" s="16">
        <f t="shared" si="10"/>
        <v>-1.2633266737807094E-2</v>
      </c>
      <c r="G123" s="16">
        <f t="shared" ca="1" si="11"/>
        <v>-7.2066200709758931E-3</v>
      </c>
      <c r="H123" s="16">
        <f t="shared" ca="1" si="12"/>
        <v>9.9572837714816259E-3</v>
      </c>
      <c r="J123" s="38">
        <f t="shared" si="13"/>
        <v>-1.2718187372727729E-2</v>
      </c>
      <c r="K123" s="38">
        <f t="shared" ca="1" si="14"/>
        <v>-7.2915407058965279E-3</v>
      </c>
      <c r="L123" s="38">
        <f t="shared" ca="1" si="15"/>
        <v>9.8723631365609903E-3</v>
      </c>
    </row>
    <row r="124" spans="1:12" ht="13.8" thickBot="1" x14ac:dyDescent="0.3">
      <c r="A124" s="12">
        <f ca="1">IFERROR(__xludf.DUMMYFUNCTION("""COMPUTED_VALUE"""),43626.6666666666)</f>
        <v>43626.666666666599</v>
      </c>
      <c r="B124" s="4">
        <v>28.07</v>
      </c>
      <c r="C124" s="2">
        <f ca="1">IFERROR(__xludf.DUMMYFUNCTION("""COMPUTED_VALUE"""),59.95)</f>
        <v>59.95</v>
      </c>
      <c r="D124" s="2">
        <f ca="1">IFERROR(__xludf.DUMMYFUNCTION("""COMPUTED_VALUE"""),288.97)</f>
        <v>288.97000000000003</v>
      </c>
      <c r="F124" s="16">
        <f t="shared" si="10"/>
        <v>1.9425071219275059E-2</v>
      </c>
      <c r="G124" s="16">
        <f t="shared" ca="1" si="11"/>
        <v>3.1861702089564757E-2</v>
      </c>
      <c r="H124" s="16">
        <f t="shared" ca="1" si="12"/>
        <v>4.5784131865168149E-3</v>
      </c>
      <c r="J124" s="38">
        <f t="shared" si="13"/>
        <v>1.9340150584354423E-2</v>
      </c>
      <c r="K124" s="38">
        <f t="shared" ca="1" si="14"/>
        <v>3.1776781454644125E-2</v>
      </c>
      <c r="L124" s="38">
        <f t="shared" ca="1" si="15"/>
        <v>4.4934925515961802E-3</v>
      </c>
    </row>
    <row r="125" spans="1:12" ht="13.8" thickBot="1" x14ac:dyDescent="0.3">
      <c r="A125" s="12">
        <f ca="1">IFERROR(__xludf.DUMMYFUNCTION("""COMPUTED_VALUE"""),43627.6666666666)</f>
        <v>43627.666666666599</v>
      </c>
      <c r="B125" s="4">
        <v>28.24</v>
      </c>
      <c r="C125" s="2">
        <f ca="1">IFERROR(__xludf.DUMMYFUNCTION("""COMPUTED_VALUE"""),59.59)</f>
        <v>59.59</v>
      </c>
      <c r="D125" s="2">
        <f ca="1">IFERROR(__xludf.DUMMYFUNCTION("""COMPUTED_VALUE"""),288.9)</f>
        <v>288.89999999999998</v>
      </c>
      <c r="F125" s="16">
        <f t="shared" si="10"/>
        <v>6.0380222512500343E-3</v>
      </c>
      <c r="G125" s="16">
        <f t="shared" ca="1" si="11"/>
        <v>-6.0231067146357588E-3</v>
      </c>
      <c r="H125" s="16">
        <f t="shared" ca="1" si="12"/>
        <v>-2.4226902362969375E-4</v>
      </c>
      <c r="J125" s="38">
        <f t="shared" si="13"/>
        <v>5.9531016163293995E-3</v>
      </c>
      <c r="K125" s="38">
        <f t="shared" ca="1" si="14"/>
        <v>-6.1080273495563936E-3</v>
      </c>
      <c r="L125" s="38">
        <f t="shared" ca="1" si="15"/>
        <v>-3.2718965855032866E-4</v>
      </c>
    </row>
    <row r="126" spans="1:12" ht="13.8" thickBot="1" x14ac:dyDescent="0.3">
      <c r="A126" s="12">
        <f ca="1">IFERROR(__xludf.DUMMYFUNCTION("""COMPUTED_VALUE"""),43628.6666666666)</f>
        <v>43628.666666666599</v>
      </c>
      <c r="B126" s="4">
        <v>27.95</v>
      </c>
      <c r="C126" s="2">
        <f ca="1">IFERROR(__xludf.DUMMYFUNCTION("""COMPUTED_VALUE"""),59.63)</f>
        <v>59.63</v>
      </c>
      <c r="D126" s="2">
        <f ca="1">IFERROR(__xludf.DUMMYFUNCTION("""COMPUTED_VALUE"""),288.39)</f>
        <v>288.39</v>
      </c>
      <c r="F126" s="16">
        <f t="shared" si="10"/>
        <v>-1.0322213023933078E-2</v>
      </c>
      <c r="G126" s="16">
        <f t="shared" ca="1" si="11"/>
        <v>6.710283761269068E-4</v>
      </c>
      <c r="H126" s="16">
        <f t="shared" ca="1" si="12"/>
        <v>-1.7668767263550364E-3</v>
      </c>
      <c r="J126" s="38">
        <f t="shared" si="13"/>
        <v>-1.0407133658853714E-2</v>
      </c>
      <c r="K126" s="38">
        <f t="shared" ca="1" si="14"/>
        <v>5.8610774120627191E-4</v>
      </c>
      <c r="L126" s="38">
        <f t="shared" ca="1" si="15"/>
        <v>-1.8517973612756713E-3</v>
      </c>
    </row>
    <row r="127" spans="1:12" ht="13.8" thickBot="1" x14ac:dyDescent="0.3">
      <c r="A127" s="12">
        <f ca="1">IFERROR(__xludf.DUMMYFUNCTION("""COMPUTED_VALUE"""),43629.6666666666)</f>
        <v>43629.666666666599</v>
      </c>
      <c r="B127" s="4">
        <v>27.94</v>
      </c>
      <c r="C127" s="2">
        <f ca="1">IFERROR(__xludf.DUMMYFUNCTION("""COMPUTED_VALUE"""),59.63)</f>
        <v>59.63</v>
      </c>
      <c r="D127" s="2">
        <f ca="1">IFERROR(__xludf.DUMMYFUNCTION("""COMPUTED_VALUE"""),289.58)</f>
        <v>289.58</v>
      </c>
      <c r="F127" s="16">
        <f t="shared" si="10"/>
        <v>-3.578457722923211E-4</v>
      </c>
      <c r="G127" s="16">
        <f t="shared" ca="1" si="11"/>
        <v>0</v>
      </c>
      <c r="H127" s="16">
        <f t="shared" ca="1" si="12"/>
        <v>4.1178666074410302E-3</v>
      </c>
      <c r="J127" s="38">
        <f t="shared" si="13"/>
        <v>-4.4276640721295599E-4</v>
      </c>
      <c r="K127" s="38">
        <f t="shared" ca="1" si="14"/>
        <v>-8.4920634920634914E-5</v>
      </c>
      <c r="L127" s="38">
        <f t="shared" ca="1" si="15"/>
        <v>4.0329459725203954E-3</v>
      </c>
    </row>
    <row r="128" spans="1:12" ht="13.8" thickBot="1" x14ac:dyDescent="0.3">
      <c r="A128" s="12">
        <f ca="1">IFERROR(__xludf.DUMMYFUNCTION("""COMPUTED_VALUE"""),43630.6666666666)</f>
        <v>43630.666666666599</v>
      </c>
      <c r="B128" s="4">
        <v>28.04</v>
      </c>
      <c r="C128" s="2">
        <f ca="1">IFERROR(__xludf.DUMMYFUNCTION("""COMPUTED_VALUE"""),59.83)</f>
        <v>59.83</v>
      </c>
      <c r="D128" s="2">
        <f ca="1">IFERROR(__xludf.DUMMYFUNCTION("""COMPUTED_VALUE"""),289.26)</f>
        <v>289.26</v>
      </c>
      <c r="F128" s="16">
        <f t="shared" si="10"/>
        <v>3.572708337573496E-3</v>
      </c>
      <c r="G128" s="16">
        <f t="shared" ca="1" si="11"/>
        <v>3.348404266925733E-3</v>
      </c>
      <c r="H128" s="16">
        <f t="shared" ca="1" si="12"/>
        <v>-1.1056597076897325E-3</v>
      </c>
      <c r="J128" s="38">
        <f t="shared" si="13"/>
        <v>3.4877877026528612E-3</v>
      </c>
      <c r="K128" s="38">
        <f t="shared" ca="1" si="14"/>
        <v>3.2634836320050982E-3</v>
      </c>
      <c r="L128" s="38">
        <f t="shared" ca="1" si="15"/>
        <v>-1.1905803426103675E-3</v>
      </c>
    </row>
    <row r="129" spans="1:12" ht="13.8" thickBot="1" x14ac:dyDescent="0.3">
      <c r="A129" s="12">
        <f ca="1">IFERROR(__xludf.DUMMYFUNCTION("""COMPUTED_VALUE"""),43633.6666666666)</f>
        <v>43633.666666666599</v>
      </c>
      <c r="B129" s="4">
        <v>27.93</v>
      </c>
      <c r="C129" s="2">
        <f ca="1">IFERROR(__xludf.DUMMYFUNCTION("""COMPUTED_VALUE"""),60.71)</f>
        <v>60.71</v>
      </c>
      <c r="D129" s="2">
        <f ca="1">IFERROR(__xludf.DUMMYFUNCTION("""COMPUTED_VALUE"""),289.37)</f>
        <v>289.37</v>
      </c>
      <c r="F129" s="16">
        <f t="shared" si="10"/>
        <v>-3.9306822093039435E-3</v>
      </c>
      <c r="G129" s="16">
        <f t="shared" ca="1" si="11"/>
        <v>1.4601221740402308E-2</v>
      </c>
      <c r="H129" s="16">
        <f t="shared" ca="1" si="12"/>
        <v>3.8020842792509455E-4</v>
      </c>
      <c r="J129" s="38">
        <f t="shared" si="13"/>
        <v>-4.0156028442245783E-3</v>
      </c>
      <c r="K129" s="38">
        <f t="shared" ca="1" si="14"/>
        <v>1.4516301105481673E-2</v>
      </c>
      <c r="L129" s="38">
        <f t="shared" ca="1" si="15"/>
        <v>2.952877930044596E-4</v>
      </c>
    </row>
    <row r="130" spans="1:12" ht="13.8" thickBot="1" x14ac:dyDescent="0.3">
      <c r="A130" s="12">
        <f ca="1">IFERROR(__xludf.DUMMYFUNCTION("""COMPUTED_VALUE"""),43634.6666666666)</f>
        <v>43634.666666666599</v>
      </c>
      <c r="B130" s="4">
        <v>28.62</v>
      </c>
      <c r="C130" s="2">
        <f ca="1">IFERROR(__xludf.DUMMYFUNCTION("""COMPUTED_VALUE"""),60.71)</f>
        <v>60.71</v>
      </c>
      <c r="D130" s="2">
        <f ca="1">IFERROR(__xludf.DUMMYFUNCTION("""COMPUTED_VALUE"""),292.4)</f>
        <v>292.39999999999998</v>
      </c>
      <c r="F130" s="16">
        <f t="shared" si="10"/>
        <v>2.4404394171219541E-2</v>
      </c>
      <c r="G130" s="16">
        <f t="shared" ca="1" si="11"/>
        <v>0</v>
      </c>
      <c r="H130" s="16">
        <f t="shared" ca="1" si="12"/>
        <v>1.0416581802112461E-2</v>
      </c>
      <c r="J130" s="38">
        <f t="shared" si="13"/>
        <v>2.4319473536298906E-2</v>
      </c>
      <c r="K130" s="38">
        <f t="shared" ca="1" si="14"/>
        <v>-8.4920634920634914E-5</v>
      </c>
      <c r="L130" s="38">
        <f t="shared" ca="1" si="15"/>
        <v>1.0331661167191825E-2</v>
      </c>
    </row>
    <row r="131" spans="1:12" ht="13.8" thickBot="1" x14ac:dyDescent="0.3">
      <c r="A131" s="12">
        <f ca="1">IFERROR(__xludf.DUMMYFUNCTION("""COMPUTED_VALUE"""),43635.6666666666)</f>
        <v>43635.666666666599</v>
      </c>
      <c r="B131" s="4">
        <v>28.32</v>
      </c>
      <c r="C131" s="2">
        <f ca="1">IFERROR(__xludf.DUMMYFUNCTION("""COMPUTED_VALUE"""),59.87)</f>
        <v>59.87</v>
      </c>
      <c r="D131" s="2">
        <f ca="1">IFERROR(__xludf.DUMMYFUNCTION("""COMPUTED_VALUE"""),293.06)</f>
        <v>293.06</v>
      </c>
      <c r="F131" s="16">
        <f t="shared" si="10"/>
        <v>-1.053750530278591E-2</v>
      </c>
      <c r="G131" s="16">
        <f t="shared" ca="1" si="11"/>
        <v>-1.3932884205082012E-2</v>
      </c>
      <c r="H131" s="16">
        <f t="shared" ca="1" si="12"/>
        <v>2.2546383342556984E-3</v>
      </c>
      <c r="J131" s="38">
        <f t="shared" si="13"/>
        <v>-1.0622425937706546E-2</v>
      </c>
      <c r="K131" s="38">
        <f t="shared" ca="1" si="14"/>
        <v>-1.4017804840002647E-2</v>
      </c>
      <c r="L131" s="38">
        <f t="shared" ca="1" si="15"/>
        <v>2.1697176993350636E-3</v>
      </c>
    </row>
    <row r="132" spans="1:12" ht="13.8" thickBot="1" x14ac:dyDescent="0.3">
      <c r="A132" s="12">
        <f ca="1">IFERROR(__xludf.DUMMYFUNCTION("""COMPUTED_VALUE"""),43636.6666666666)</f>
        <v>43636.666666666599</v>
      </c>
      <c r="B132" s="4">
        <v>28.27</v>
      </c>
      <c r="C132" s="2">
        <f ca="1">IFERROR(__xludf.DUMMYFUNCTION("""COMPUTED_VALUE"""),60.69)</f>
        <v>60.69</v>
      </c>
      <c r="D132" s="2">
        <f ca="1">IFERROR(__xludf.DUMMYFUNCTION("""COMPUTED_VALUE"""),295.86)</f>
        <v>295.86</v>
      </c>
      <c r="F132" s="16">
        <f t="shared" si="10"/>
        <v>-1.7670971200200139E-3</v>
      </c>
      <c r="G132" s="16">
        <f t="shared" ca="1" si="11"/>
        <v>1.3603394910503034E-2</v>
      </c>
      <c r="H132" s="16">
        <f t="shared" ca="1" si="12"/>
        <v>9.5090032542108228E-3</v>
      </c>
      <c r="J132" s="38">
        <f t="shared" si="13"/>
        <v>-1.8520177549406489E-3</v>
      </c>
      <c r="K132" s="38">
        <f t="shared" ca="1" si="14"/>
        <v>1.3518474275582398E-2</v>
      </c>
      <c r="L132" s="38">
        <f t="shared" ca="1" si="15"/>
        <v>9.4240826192901871E-3</v>
      </c>
    </row>
    <row r="133" spans="1:12" ht="13.8" thickBot="1" x14ac:dyDescent="0.3">
      <c r="A133" s="12">
        <f ca="1">IFERROR(__xludf.DUMMYFUNCTION("""COMPUTED_VALUE"""),43637.6666666666)</f>
        <v>43637.666666666599</v>
      </c>
      <c r="B133" s="4">
        <v>28.12</v>
      </c>
      <c r="C133" s="2">
        <f ca="1">IFERROR(__xludf.DUMMYFUNCTION("""COMPUTED_VALUE"""),59.59)</f>
        <v>59.59</v>
      </c>
      <c r="D133" s="2">
        <f ca="1">IFERROR(__xludf.DUMMYFUNCTION("""COMPUTED_VALUE"""),294)</f>
        <v>294</v>
      </c>
      <c r="F133" s="16">
        <f t="shared" si="10"/>
        <v>-5.3201047630348202E-3</v>
      </c>
      <c r="G133" s="16">
        <f t="shared" ca="1" si="11"/>
        <v>-1.829116508887621E-2</v>
      </c>
      <c r="H133" s="16">
        <f t="shared" ca="1" si="12"/>
        <v>-6.3066021254082226E-3</v>
      </c>
      <c r="J133" s="38">
        <f t="shared" si="13"/>
        <v>-5.405025397955455E-3</v>
      </c>
      <c r="K133" s="38">
        <f t="shared" ca="1" si="14"/>
        <v>-1.8376085723796846E-2</v>
      </c>
      <c r="L133" s="38">
        <f t="shared" ca="1" si="15"/>
        <v>-6.3915227603288573E-3</v>
      </c>
    </row>
    <row r="134" spans="1:12" ht="13.8" thickBot="1" x14ac:dyDescent="0.3">
      <c r="A134" s="12">
        <f ca="1">IFERROR(__xludf.DUMMYFUNCTION("""COMPUTED_VALUE"""),43640.6666666666)</f>
        <v>43640.666666666599</v>
      </c>
      <c r="B134" s="4">
        <v>27.98</v>
      </c>
      <c r="C134" s="2">
        <f ca="1">IFERROR(__xludf.DUMMYFUNCTION("""COMPUTED_VALUE"""),58.89)</f>
        <v>58.89</v>
      </c>
      <c r="D134" s="2">
        <f ca="1">IFERROR(__xludf.DUMMYFUNCTION("""COMPUTED_VALUE"""),293.64)</f>
        <v>293.64</v>
      </c>
      <c r="F134" s="16">
        <f t="shared" si="10"/>
        <v>-4.991097705129087E-3</v>
      </c>
      <c r="G134" s="16">
        <f t="shared" ca="1" si="11"/>
        <v>-1.1816477802408241E-2</v>
      </c>
      <c r="H134" s="16">
        <f t="shared" ca="1" si="12"/>
        <v>-1.2252400961010211E-3</v>
      </c>
      <c r="J134" s="38">
        <f t="shared" si="13"/>
        <v>-5.0760183400497217E-3</v>
      </c>
      <c r="K134" s="38">
        <f t="shared" ca="1" si="14"/>
        <v>-1.1901398437328877E-2</v>
      </c>
      <c r="L134" s="38">
        <f t="shared" ca="1" si="15"/>
        <v>-1.3101607310216561E-3</v>
      </c>
    </row>
    <row r="135" spans="1:12" ht="13.8" thickBot="1" x14ac:dyDescent="0.3">
      <c r="A135" s="12">
        <f ca="1">IFERROR(__xludf.DUMMYFUNCTION("""COMPUTED_VALUE"""),43641.6666666666)</f>
        <v>43641.666666666599</v>
      </c>
      <c r="B135" s="4">
        <v>27.76</v>
      </c>
      <c r="C135" s="2">
        <f ca="1">IFERROR(__xludf.DUMMYFUNCTION("""COMPUTED_VALUE"""),59.37)</f>
        <v>59.37</v>
      </c>
      <c r="D135" s="2">
        <f ca="1">IFERROR(__xludf.DUMMYFUNCTION("""COMPUTED_VALUE"""),290.76)</f>
        <v>290.76</v>
      </c>
      <c r="F135" s="16">
        <f t="shared" si="10"/>
        <v>-7.8938335987312827E-3</v>
      </c>
      <c r="G135" s="16">
        <f t="shared" ca="1" si="11"/>
        <v>8.1177513261047034E-3</v>
      </c>
      <c r="H135" s="16">
        <f t="shared" ca="1" si="12"/>
        <v>-9.8563426261459655E-3</v>
      </c>
      <c r="J135" s="38">
        <f t="shared" si="13"/>
        <v>-7.9787542336519184E-3</v>
      </c>
      <c r="K135" s="38">
        <f t="shared" ca="1" si="14"/>
        <v>8.0328306911840678E-3</v>
      </c>
      <c r="L135" s="38">
        <f t="shared" ca="1" si="15"/>
        <v>-9.9412632610666012E-3</v>
      </c>
    </row>
    <row r="136" spans="1:12" ht="13.8" thickBot="1" x14ac:dyDescent="0.3">
      <c r="A136" s="12">
        <f ca="1">IFERROR(__xludf.DUMMYFUNCTION("""COMPUTED_VALUE"""),43642.6666666666)</f>
        <v>43642.666666666599</v>
      </c>
      <c r="B136" s="4">
        <v>27.91</v>
      </c>
      <c r="C136" s="2">
        <f ca="1">IFERROR(__xludf.DUMMYFUNCTION("""COMPUTED_VALUE"""),59.65)</f>
        <v>59.65</v>
      </c>
      <c r="D136" s="2">
        <f ca="1">IFERROR(__xludf.DUMMYFUNCTION("""COMPUTED_VALUE"""),290.47)</f>
        <v>290.47000000000003</v>
      </c>
      <c r="F136" s="16">
        <f t="shared" si="10"/>
        <v>5.3889119096270609E-3</v>
      </c>
      <c r="G136" s="16">
        <f t="shared" ca="1" si="11"/>
        <v>4.7051002613410393E-3</v>
      </c>
      <c r="H136" s="16">
        <f t="shared" ca="1" si="12"/>
        <v>-9.9788388095752066E-4</v>
      </c>
      <c r="J136" s="38">
        <f t="shared" si="13"/>
        <v>5.3039912747064261E-3</v>
      </c>
      <c r="K136" s="38">
        <f t="shared" ca="1" si="14"/>
        <v>4.6201796264204046E-3</v>
      </c>
      <c r="L136" s="38">
        <f t="shared" ca="1" si="15"/>
        <v>-1.0828045158781557E-3</v>
      </c>
    </row>
    <row r="137" spans="1:12" ht="13.8" thickBot="1" x14ac:dyDescent="0.3">
      <c r="A137" s="12">
        <f ca="1">IFERROR(__xludf.DUMMYFUNCTION("""COMPUTED_VALUE"""),43643.6666666666)</f>
        <v>43643.666666666599</v>
      </c>
      <c r="B137" s="4">
        <v>28.21</v>
      </c>
      <c r="C137" s="2">
        <f ca="1">IFERROR(__xludf.DUMMYFUNCTION("""COMPUTED_VALUE"""),61.43)</f>
        <v>61.43</v>
      </c>
      <c r="D137" s="2">
        <f ca="1">IFERROR(__xludf.DUMMYFUNCTION("""COMPUTED_VALUE"""),291.5)</f>
        <v>291.5</v>
      </c>
      <c r="F137" s="16">
        <f t="shared" si="10"/>
        <v>1.0691477465674171E-2</v>
      </c>
      <c r="G137" s="16">
        <f t="shared" ca="1" si="11"/>
        <v>2.9404166631910998E-2</v>
      </c>
      <c r="H137" s="16">
        <f t="shared" ca="1" si="12"/>
        <v>3.5397050550698777E-3</v>
      </c>
      <c r="J137" s="38">
        <f t="shared" si="13"/>
        <v>1.0606556830753535E-2</v>
      </c>
      <c r="K137" s="38">
        <f t="shared" ca="1" si="14"/>
        <v>2.9319245996990363E-2</v>
      </c>
      <c r="L137" s="38">
        <f t="shared" ca="1" si="15"/>
        <v>3.4547844201492429E-3</v>
      </c>
    </row>
    <row r="138" spans="1:12" ht="13.8" thickBot="1" x14ac:dyDescent="0.3">
      <c r="A138" s="12">
        <f ca="1">IFERROR(__xludf.DUMMYFUNCTION("""COMPUTED_VALUE"""),43644.6666666666)</f>
        <v>43644.666666666599</v>
      </c>
      <c r="B138" s="4">
        <v>29</v>
      </c>
      <c r="C138" s="2">
        <f ca="1">IFERROR(__xludf.DUMMYFUNCTION("""COMPUTED_VALUE"""),62.42)</f>
        <v>62.42</v>
      </c>
      <c r="D138" s="2">
        <f ca="1">IFERROR(__xludf.DUMMYFUNCTION("""COMPUTED_VALUE"""),293)</f>
        <v>293</v>
      </c>
      <c r="F138" s="16">
        <f t="shared" si="10"/>
        <v>2.7619304972569165E-2</v>
      </c>
      <c r="G138" s="16">
        <f t="shared" ca="1" si="11"/>
        <v>1.5987421666797268E-2</v>
      </c>
      <c r="H138" s="16">
        <f t="shared" ca="1" si="12"/>
        <v>5.1326032265202161E-3</v>
      </c>
      <c r="J138" s="38">
        <f t="shared" si="13"/>
        <v>2.7534384337648529E-2</v>
      </c>
      <c r="K138" s="38">
        <f t="shared" ca="1" si="14"/>
        <v>1.5902501031876633E-2</v>
      </c>
      <c r="L138" s="38">
        <f t="shared" ca="1" si="15"/>
        <v>5.0476825915995813E-3</v>
      </c>
    </row>
    <row r="139" spans="1:12" ht="13.8" thickBot="1" x14ac:dyDescent="0.3">
      <c r="A139" s="12">
        <f ca="1">IFERROR(__xludf.DUMMYFUNCTION("""COMPUTED_VALUE"""),43647.6666666666)</f>
        <v>43647.666666666599</v>
      </c>
      <c r="B139" s="4">
        <v>29.42</v>
      </c>
      <c r="C139" s="2">
        <f ca="1">IFERROR(__xludf.DUMMYFUNCTION("""COMPUTED_VALUE"""),62.39)</f>
        <v>62.39</v>
      </c>
      <c r="D139" s="2">
        <f ca="1">IFERROR(__xludf.DUMMYFUNCTION("""COMPUTED_VALUE"""),295.66)</f>
        <v>295.66000000000003</v>
      </c>
      <c r="F139" s="16">
        <f t="shared" si="10"/>
        <v>1.4378885186817483E-2</v>
      </c>
      <c r="G139" s="16">
        <f t="shared" ca="1" si="11"/>
        <v>-4.8073071993837873E-4</v>
      </c>
      <c r="H139" s="16">
        <f t="shared" ca="1" si="12"/>
        <v>9.037536455876646E-3</v>
      </c>
      <c r="J139" s="38">
        <f t="shared" si="13"/>
        <v>1.4293964551896847E-2</v>
      </c>
      <c r="K139" s="38">
        <f t="shared" ca="1" si="14"/>
        <v>-5.6565135485901362E-4</v>
      </c>
      <c r="L139" s="38">
        <f t="shared" ca="1" si="15"/>
        <v>8.9526158209560103E-3</v>
      </c>
    </row>
    <row r="140" spans="1:12" ht="13.8" thickBot="1" x14ac:dyDescent="0.3">
      <c r="A140" s="12">
        <f ca="1">IFERROR(__xludf.DUMMYFUNCTION("""COMPUTED_VALUE"""),43648.6666666666)</f>
        <v>43648.666666666599</v>
      </c>
      <c r="B140" s="4">
        <v>29.15</v>
      </c>
      <c r="C140" s="2">
        <f ca="1">IFERROR(__xludf.DUMMYFUNCTION("""COMPUTED_VALUE"""),62.85)</f>
        <v>62.85</v>
      </c>
      <c r="D140" s="2">
        <f ca="1">IFERROR(__xludf.DUMMYFUNCTION("""COMPUTED_VALUE"""),296.43)</f>
        <v>296.43</v>
      </c>
      <c r="F140" s="16">
        <f t="shared" si="10"/>
        <v>-9.2198023767902215E-3</v>
      </c>
      <c r="G140" s="16">
        <f t="shared" ca="1" si="11"/>
        <v>7.3459289135613713E-3</v>
      </c>
      <c r="H140" s="16">
        <f t="shared" ca="1" si="12"/>
        <v>2.6009574020372261E-3</v>
      </c>
      <c r="J140" s="38">
        <f t="shared" si="13"/>
        <v>-9.3047230117108571E-3</v>
      </c>
      <c r="K140" s="38">
        <f t="shared" ca="1" si="14"/>
        <v>7.2610082786407366E-3</v>
      </c>
      <c r="L140" s="38">
        <f t="shared" ca="1" si="15"/>
        <v>2.5160367671165913E-3</v>
      </c>
    </row>
    <row r="141" spans="1:12" ht="13.8" thickBot="1" x14ac:dyDescent="0.3">
      <c r="A141" s="12">
        <f ca="1">IFERROR(__xludf.DUMMYFUNCTION("""COMPUTED_VALUE"""),43649.5416666666)</f>
        <v>43649.541666666599</v>
      </c>
      <c r="B141" s="4">
        <v>29.05</v>
      </c>
      <c r="C141" s="2">
        <f ca="1">IFERROR(__xludf.DUMMYFUNCTION("""COMPUTED_VALUE"""),62.73)</f>
        <v>62.73</v>
      </c>
      <c r="D141" s="2">
        <f ca="1">IFERROR(__xludf.DUMMYFUNCTION("""COMPUTED_VALUE"""),298.8)</f>
        <v>298.8</v>
      </c>
      <c r="F141" s="16">
        <f t="shared" si="10"/>
        <v>-3.4364294985810982E-3</v>
      </c>
      <c r="G141" s="16">
        <f t="shared" ca="1" si="11"/>
        <v>-1.9111329276045922E-3</v>
      </c>
      <c r="H141" s="16">
        <f t="shared" ca="1" si="12"/>
        <v>7.9633503836811555E-3</v>
      </c>
      <c r="J141" s="38">
        <f t="shared" si="13"/>
        <v>-3.521350133501733E-3</v>
      </c>
      <c r="K141" s="38">
        <f t="shared" ca="1" si="14"/>
        <v>-1.9960535625252272E-3</v>
      </c>
      <c r="L141" s="38">
        <f t="shared" ca="1" si="15"/>
        <v>7.8784297487605199E-3</v>
      </c>
    </row>
    <row r="142" spans="1:12" ht="13.8" thickBot="1" x14ac:dyDescent="0.3">
      <c r="A142" s="12">
        <f ca="1">IFERROR(__xludf.DUMMYFUNCTION("""COMPUTED_VALUE"""),43651.6666666666)</f>
        <v>43651.666666666599</v>
      </c>
      <c r="B142" s="4">
        <v>29.26</v>
      </c>
      <c r="C142" s="2">
        <f ca="1">IFERROR(__xludf.DUMMYFUNCTION("""COMPUTED_VALUE"""),63.6)</f>
        <v>63.6</v>
      </c>
      <c r="D142" s="2">
        <f ca="1">IFERROR(__xludf.DUMMYFUNCTION("""COMPUTED_VALUE"""),298.46)</f>
        <v>298.45999999999998</v>
      </c>
      <c r="F142" s="16">
        <f t="shared" si="10"/>
        <v>7.2029122940580163E-3</v>
      </c>
      <c r="G142" s="16">
        <f t="shared" ca="1" si="11"/>
        <v>1.3773668237424604E-2</v>
      </c>
      <c r="H142" s="16">
        <f t="shared" ca="1" si="12"/>
        <v>-1.1385327553404111E-3</v>
      </c>
      <c r="J142" s="38">
        <f t="shared" si="13"/>
        <v>7.1179916591373816E-3</v>
      </c>
      <c r="K142" s="38">
        <f t="shared" ca="1" si="14"/>
        <v>1.3688747602503968E-2</v>
      </c>
      <c r="L142" s="38">
        <f t="shared" ca="1" si="15"/>
        <v>-1.2234533902610461E-3</v>
      </c>
    </row>
    <row r="143" spans="1:12" ht="13.8" thickBot="1" x14ac:dyDescent="0.3">
      <c r="A143" s="12">
        <f ca="1">IFERROR(__xludf.DUMMYFUNCTION("""COMPUTED_VALUE"""),43654.6666666666)</f>
        <v>43654.666666666599</v>
      </c>
      <c r="B143" s="4">
        <v>29.2</v>
      </c>
      <c r="C143" s="2">
        <f ca="1">IFERROR(__xludf.DUMMYFUNCTION("""COMPUTED_VALUE"""),63.83)</f>
        <v>63.83</v>
      </c>
      <c r="D143" s="2">
        <f ca="1">IFERROR(__xludf.DUMMYFUNCTION("""COMPUTED_VALUE"""),296.82)</f>
        <v>296.82</v>
      </c>
      <c r="F143" s="16">
        <f t="shared" si="10"/>
        <v>-2.0526863177422927E-3</v>
      </c>
      <c r="G143" s="16">
        <f t="shared" ca="1" si="11"/>
        <v>3.6098289218894027E-3</v>
      </c>
      <c r="H143" s="16">
        <f t="shared" ca="1" si="12"/>
        <v>-5.5100260356496624E-3</v>
      </c>
      <c r="J143" s="38">
        <f t="shared" si="13"/>
        <v>-2.1376069526629275E-3</v>
      </c>
      <c r="K143" s="38">
        <f t="shared" ca="1" si="14"/>
        <v>3.524908286968768E-3</v>
      </c>
      <c r="L143" s="38">
        <f t="shared" ca="1" si="15"/>
        <v>-5.5949466705702972E-3</v>
      </c>
    </row>
    <row r="144" spans="1:12" ht="13.8" thickBot="1" x14ac:dyDescent="0.3">
      <c r="A144" s="12">
        <f ca="1">IFERROR(__xludf.DUMMYFUNCTION("""COMPUTED_VALUE"""),43655.6666666666)</f>
        <v>43655.666666666599</v>
      </c>
      <c r="B144" s="4">
        <v>29.35</v>
      </c>
      <c r="C144" s="2">
        <f ca="1">IFERROR(__xludf.DUMMYFUNCTION("""COMPUTED_VALUE"""),63.88)</f>
        <v>63.88</v>
      </c>
      <c r="D144" s="2">
        <f ca="1">IFERROR(__xludf.DUMMYFUNCTION("""COMPUTED_VALUE"""),297.19)</f>
        <v>297.19</v>
      </c>
      <c r="F144" s="16">
        <f t="shared" si="10"/>
        <v>5.1238369998694664E-3</v>
      </c>
      <c r="G144" s="16">
        <f t="shared" ca="1" si="11"/>
        <v>7.8302407884572466E-4</v>
      </c>
      <c r="H144" s="16">
        <f t="shared" ca="1" si="12"/>
        <v>1.2457704343415206E-3</v>
      </c>
      <c r="J144" s="38">
        <f t="shared" si="13"/>
        <v>5.0389163649488316E-3</v>
      </c>
      <c r="K144" s="38">
        <f t="shared" ca="1" si="14"/>
        <v>6.9810344392508977E-4</v>
      </c>
      <c r="L144" s="38">
        <f t="shared" ca="1" si="15"/>
        <v>1.1608497994208856E-3</v>
      </c>
    </row>
    <row r="145" spans="1:12" ht="13.8" thickBot="1" x14ac:dyDescent="0.3">
      <c r="A145" s="12">
        <f ca="1">IFERROR(__xludf.DUMMYFUNCTION("""COMPUTED_VALUE"""),43656.6666666666)</f>
        <v>43656.666666666599</v>
      </c>
      <c r="B145" s="4">
        <v>29.02</v>
      </c>
      <c r="C145" s="2">
        <f ca="1">IFERROR(__xludf.DUMMYFUNCTION("""COMPUTED_VALUE"""),62.95)</f>
        <v>62.95</v>
      </c>
      <c r="D145" s="2">
        <f ca="1">IFERROR(__xludf.DUMMYFUNCTION("""COMPUTED_VALUE"""),298.61)</f>
        <v>298.61</v>
      </c>
      <c r="F145" s="16">
        <f t="shared" ref="F145:F208" si="16">LN(B145/B144)</f>
        <v>-1.1307298818063766E-2</v>
      </c>
      <c r="G145" s="16">
        <f t="shared" ref="G145:G208" ca="1" si="17">LN(C145/C144)</f>
        <v>-1.4665562856455552E-2</v>
      </c>
      <c r="H145" s="16">
        <f t="shared" ref="H145:H208" ca="1" si="18">LN(D145/D144)</f>
        <v>4.7667092605298807E-3</v>
      </c>
      <c r="J145" s="38">
        <f t="shared" ref="J145:J208" si="19">F145-$B$9</f>
        <v>-1.1392219452984402E-2</v>
      </c>
      <c r="K145" s="38">
        <f t="shared" ref="K145:K208" ca="1" si="20">G145-$B$9</f>
        <v>-1.4750483491376188E-2</v>
      </c>
      <c r="L145" s="38">
        <f t="shared" ref="L145:L208" ca="1" si="21">H145-$B$9</f>
        <v>4.6817886256092459E-3</v>
      </c>
    </row>
    <row r="146" spans="1:12" ht="13.8" thickBot="1" x14ac:dyDescent="0.3">
      <c r="A146" s="12">
        <f ca="1">IFERROR(__xludf.DUMMYFUNCTION("""COMPUTED_VALUE"""),43657.6666666666)</f>
        <v>43657.666666666599</v>
      </c>
      <c r="B146" s="4">
        <v>29.36</v>
      </c>
      <c r="C146" s="2">
        <f ca="1">IFERROR(__xludf.DUMMYFUNCTION("""COMPUTED_VALUE"""),63.43)</f>
        <v>63.43</v>
      </c>
      <c r="D146" s="2">
        <f ca="1">IFERROR(__xludf.DUMMYFUNCTION("""COMPUTED_VALUE"""),299.31)</f>
        <v>299.31</v>
      </c>
      <c r="F146" s="16">
        <f t="shared" si="16"/>
        <v>1.1647956290272987E-2</v>
      </c>
      <c r="G146" s="16">
        <f t="shared" ca="1" si="17"/>
        <v>7.5961751554496403E-3</v>
      </c>
      <c r="H146" s="16">
        <f t="shared" ca="1" si="18"/>
        <v>2.3414514309817889E-3</v>
      </c>
      <c r="J146" s="38">
        <f t="shared" si="19"/>
        <v>1.1563035655352352E-2</v>
      </c>
      <c r="K146" s="38">
        <f t="shared" ca="1" si="20"/>
        <v>7.5112545205290055E-3</v>
      </c>
      <c r="L146" s="38">
        <f t="shared" ca="1" si="21"/>
        <v>2.2565307960611541E-3</v>
      </c>
    </row>
    <row r="147" spans="1:12" ht="13.8" thickBot="1" x14ac:dyDescent="0.3">
      <c r="A147" s="12">
        <f ca="1">IFERROR(__xludf.DUMMYFUNCTION("""COMPUTED_VALUE"""),43658.6666666666)</f>
        <v>43658.666666666599</v>
      </c>
      <c r="B147" s="4">
        <v>29.45</v>
      </c>
      <c r="C147" s="2">
        <f ca="1">IFERROR(__xludf.DUMMYFUNCTION("""COMPUTED_VALUE"""),63.7)</f>
        <v>63.7</v>
      </c>
      <c r="D147" s="2">
        <f ca="1">IFERROR(__xludf.DUMMYFUNCTION("""COMPUTED_VALUE"""),300.65)</f>
        <v>300.64999999999998</v>
      </c>
      <c r="F147" s="16">
        <f t="shared" si="16"/>
        <v>3.0607063512808844E-3</v>
      </c>
      <c r="G147" s="16">
        <f t="shared" ca="1" si="17"/>
        <v>4.2476269323119837E-3</v>
      </c>
      <c r="H147" s="16">
        <f t="shared" ca="1" si="18"/>
        <v>4.4669718920522091E-3</v>
      </c>
      <c r="J147" s="38">
        <f t="shared" si="19"/>
        <v>2.9757857163602497E-3</v>
      </c>
      <c r="K147" s="38">
        <f t="shared" ca="1" si="20"/>
        <v>4.1627062973913489E-3</v>
      </c>
      <c r="L147" s="38">
        <f t="shared" ca="1" si="21"/>
        <v>4.3820512571315744E-3</v>
      </c>
    </row>
    <row r="148" spans="1:12" ht="13.8" thickBot="1" x14ac:dyDescent="0.3">
      <c r="A148" s="12">
        <f ca="1">IFERROR(__xludf.DUMMYFUNCTION("""COMPUTED_VALUE"""),43661.6666666666)</f>
        <v>43661.666666666599</v>
      </c>
      <c r="B148" s="4">
        <v>29.22</v>
      </c>
      <c r="C148" s="2">
        <f ca="1">IFERROR(__xludf.DUMMYFUNCTION("""COMPUTED_VALUE"""),63.69)</f>
        <v>63.69</v>
      </c>
      <c r="D148" s="2">
        <f ca="1">IFERROR(__xludf.DUMMYFUNCTION("""COMPUTED_VALUE"""),300.75)</f>
        <v>300.75</v>
      </c>
      <c r="F148" s="16">
        <f t="shared" si="16"/>
        <v>-7.8405037750422738E-3</v>
      </c>
      <c r="G148" s="16">
        <f t="shared" ca="1" si="17"/>
        <v>-1.5699819484332172E-4</v>
      </c>
      <c r="H148" s="16">
        <f t="shared" ca="1" si="18"/>
        <v>3.3255736921067167E-4</v>
      </c>
      <c r="J148" s="38">
        <f t="shared" si="19"/>
        <v>-7.9254244099629095E-3</v>
      </c>
      <c r="K148" s="38">
        <f t="shared" ca="1" si="20"/>
        <v>-2.4191882976395664E-4</v>
      </c>
      <c r="L148" s="38">
        <f t="shared" ca="1" si="21"/>
        <v>2.4763673429003673E-4</v>
      </c>
    </row>
    <row r="149" spans="1:12" ht="13.8" thickBot="1" x14ac:dyDescent="0.3">
      <c r="A149" s="12">
        <f ca="1">IFERROR(__xludf.DUMMYFUNCTION("""COMPUTED_VALUE"""),43662.6666666666)</f>
        <v>43662.666666666599</v>
      </c>
      <c r="B149" s="4">
        <v>28.99</v>
      </c>
      <c r="C149" s="2">
        <f ca="1">IFERROR(__xludf.DUMMYFUNCTION("""COMPUTED_VALUE"""),63.84)</f>
        <v>63.84</v>
      </c>
      <c r="D149" s="2">
        <f ca="1">IFERROR(__xludf.DUMMYFUNCTION("""COMPUTED_VALUE"""),299.71)</f>
        <v>299.70999999999998</v>
      </c>
      <c r="F149" s="16">
        <f t="shared" si="16"/>
        <v>-7.9024633889893114E-3</v>
      </c>
      <c r="G149" s="16">
        <f t="shared" ca="1" si="17"/>
        <v>2.3523887582790966E-3</v>
      </c>
      <c r="H149" s="16">
        <f t="shared" ca="1" si="18"/>
        <v>-3.4640143887934385E-3</v>
      </c>
      <c r="J149" s="38">
        <f t="shared" si="19"/>
        <v>-7.9873840239099471E-3</v>
      </c>
      <c r="K149" s="38">
        <f t="shared" ca="1" si="20"/>
        <v>2.2674681233584618E-3</v>
      </c>
      <c r="L149" s="38">
        <f t="shared" ca="1" si="21"/>
        <v>-3.5489350237140733E-3</v>
      </c>
    </row>
    <row r="150" spans="1:12" ht="13.8" thickBot="1" x14ac:dyDescent="0.3">
      <c r="A150" s="12">
        <f ca="1">IFERROR(__xludf.DUMMYFUNCTION("""COMPUTED_VALUE"""),43663.6666666666)</f>
        <v>43663.666666666599</v>
      </c>
      <c r="B150" s="4">
        <v>29.19</v>
      </c>
      <c r="C150" s="2">
        <f ca="1">IFERROR(__xludf.DUMMYFUNCTION("""COMPUTED_VALUE"""),63.36)</f>
        <v>63.36</v>
      </c>
      <c r="D150" s="2">
        <f ca="1">IFERROR(__xludf.DUMMYFUNCTION("""COMPUTED_VALUE"""),297.74)</f>
        <v>297.74</v>
      </c>
      <c r="F150" s="16">
        <f t="shared" si="16"/>
        <v>6.8752419324594315E-3</v>
      </c>
      <c r="G150" s="16">
        <f t="shared" ca="1" si="17"/>
        <v>-7.5472056353829663E-3</v>
      </c>
      <c r="H150" s="16">
        <f t="shared" ca="1" si="18"/>
        <v>-6.5947180170836976E-3</v>
      </c>
      <c r="J150" s="38">
        <f t="shared" si="19"/>
        <v>6.7903212975387968E-3</v>
      </c>
      <c r="K150" s="38">
        <f t="shared" ca="1" si="20"/>
        <v>-7.632126270303601E-3</v>
      </c>
      <c r="L150" s="38">
        <f t="shared" ca="1" si="21"/>
        <v>-6.6796386520043324E-3</v>
      </c>
    </row>
    <row r="151" spans="1:12" ht="13.8" thickBot="1" x14ac:dyDescent="0.3">
      <c r="A151" s="12">
        <f ca="1">IFERROR(__xludf.DUMMYFUNCTION("""COMPUTED_VALUE"""),43664.6666666666)</f>
        <v>43664.666666666599</v>
      </c>
      <c r="B151" s="4">
        <v>29.48</v>
      </c>
      <c r="C151" s="2">
        <f ca="1">IFERROR(__xludf.DUMMYFUNCTION("""COMPUTED_VALUE"""),63.55)</f>
        <v>63.55</v>
      </c>
      <c r="D151" s="2">
        <f ca="1">IFERROR(__xludf.DUMMYFUNCTION("""COMPUTED_VALUE"""),298.83)</f>
        <v>298.83</v>
      </c>
      <c r="F151" s="16">
        <f t="shared" si="16"/>
        <v>9.8858824551125019E-3</v>
      </c>
      <c r="G151" s="16">
        <f t="shared" ca="1" si="17"/>
        <v>2.9942501292925046E-3</v>
      </c>
      <c r="H151" s="16">
        <f t="shared" ca="1" si="18"/>
        <v>3.6542273762728041E-3</v>
      </c>
      <c r="J151" s="38">
        <f t="shared" si="19"/>
        <v>9.8009618201918662E-3</v>
      </c>
      <c r="K151" s="38">
        <f t="shared" ca="1" si="20"/>
        <v>2.9093294943718698E-3</v>
      </c>
      <c r="L151" s="38">
        <f t="shared" ca="1" si="21"/>
        <v>3.5693067413521693E-3</v>
      </c>
    </row>
    <row r="152" spans="1:12" ht="13.8" thickBot="1" x14ac:dyDescent="0.3">
      <c r="A152" s="12">
        <f ca="1">IFERROR(__xludf.DUMMYFUNCTION("""COMPUTED_VALUE"""),43665.6666666666)</f>
        <v>43665.666666666599</v>
      </c>
      <c r="B152" s="4">
        <v>29.4</v>
      </c>
      <c r="C152" s="2">
        <f ca="1">IFERROR(__xludf.DUMMYFUNCTION("""COMPUTED_VALUE"""),63.65)</f>
        <v>63.65</v>
      </c>
      <c r="D152" s="2">
        <f ca="1">IFERROR(__xludf.DUMMYFUNCTION("""COMPUTED_VALUE"""),297.17)</f>
        <v>297.17</v>
      </c>
      <c r="F152" s="16">
        <f t="shared" si="16"/>
        <v>-2.7173929765000266E-3</v>
      </c>
      <c r="G152" s="16">
        <f t="shared" ca="1" si="17"/>
        <v>1.5723273679525928E-3</v>
      </c>
      <c r="H152" s="16">
        <f t="shared" ca="1" si="18"/>
        <v>-5.5704842030932407E-3</v>
      </c>
      <c r="J152" s="38">
        <f t="shared" si="19"/>
        <v>-2.8023136114206613E-3</v>
      </c>
      <c r="K152" s="38">
        <f t="shared" ca="1" si="20"/>
        <v>1.4874067330319578E-3</v>
      </c>
      <c r="L152" s="38">
        <f t="shared" ca="1" si="21"/>
        <v>-5.6554048380138755E-3</v>
      </c>
    </row>
    <row r="153" spans="1:12" ht="13.8" thickBot="1" x14ac:dyDescent="0.3">
      <c r="A153" s="12">
        <f ca="1">IFERROR(__xludf.DUMMYFUNCTION("""COMPUTED_VALUE"""),43668.6666666666)</f>
        <v>43668.666666666599</v>
      </c>
      <c r="B153" s="4">
        <v>29.57</v>
      </c>
      <c r="C153" s="2">
        <f ca="1">IFERROR(__xludf.DUMMYFUNCTION("""COMPUTED_VALUE"""),63.13)</f>
        <v>63.13</v>
      </c>
      <c r="D153" s="2">
        <f ca="1">IFERROR(__xludf.DUMMYFUNCTION("""COMPUTED_VALUE"""),297.9)</f>
        <v>297.89999999999998</v>
      </c>
      <c r="F153" s="16">
        <f t="shared" si="16"/>
        <v>5.765659519750028E-3</v>
      </c>
      <c r="G153" s="16">
        <f t="shared" ca="1" si="17"/>
        <v>-8.2032326238812257E-3</v>
      </c>
      <c r="H153" s="16">
        <f t="shared" ca="1" si="18"/>
        <v>2.4534940971457611E-3</v>
      </c>
      <c r="J153" s="38">
        <f t="shared" si="19"/>
        <v>5.6807388848293932E-3</v>
      </c>
      <c r="K153" s="38">
        <f t="shared" ca="1" si="20"/>
        <v>-8.2881532588018614E-3</v>
      </c>
      <c r="L153" s="38">
        <f t="shared" ca="1" si="21"/>
        <v>2.3685734622251263E-3</v>
      </c>
    </row>
    <row r="154" spans="1:12" ht="13.8" thickBot="1" x14ac:dyDescent="0.3">
      <c r="A154" s="12">
        <f ca="1">IFERROR(__xludf.DUMMYFUNCTION("""COMPUTED_VALUE"""),43669.6666666666)</f>
        <v>43669.666666666599</v>
      </c>
      <c r="B154" s="4">
        <v>30.25</v>
      </c>
      <c r="C154" s="2">
        <f ca="1">IFERROR(__xludf.DUMMYFUNCTION("""COMPUTED_VALUE"""),64.53)</f>
        <v>64.53</v>
      </c>
      <c r="D154" s="2">
        <f ca="1">IFERROR(__xludf.DUMMYFUNCTION("""COMPUTED_VALUE"""),300.03)</f>
        <v>300.02999999999997</v>
      </c>
      <c r="F154" s="16">
        <f t="shared" si="16"/>
        <v>2.2735850612464664E-2</v>
      </c>
      <c r="G154" s="16">
        <f t="shared" ca="1" si="17"/>
        <v>2.1934139568213995E-2</v>
      </c>
      <c r="H154" s="16">
        <f t="shared" ca="1" si="18"/>
        <v>7.1246099372977937E-3</v>
      </c>
      <c r="J154" s="38">
        <f t="shared" si="19"/>
        <v>2.2650929977544029E-2</v>
      </c>
      <c r="K154" s="38">
        <f t="shared" ca="1" si="20"/>
        <v>2.1849218933293359E-2</v>
      </c>
      <c r="L154" s="38">
        <f t="shared" ca="1" si="21"/>
        <v>7.0396893023771589E-3</v>
      </c>
    </row>
    <row r="155" spans="1:12" ht="13.8" thickBot="1" x14ac:dyDescent="0.3">
      <c r="A155" s="12">
        <f ca="1">IFERROR(__xludf.DUMMYFUNCTION("""COMPUTED_VALUE"""),43670.6666666666)</f>
        <v>43670.666666666599</v>
      </c>
      <c r="B155" s="4">
        <v>30.67</v>
      </c>
      <c r="C155" s="2">
        <f ca="1">IFERROR(__xludf.DUMMYFUNCTION("""COMPUTED_VALUE"""),65.05)</f>
        <v>65.05</v>
      </c>
      <c r="D155" s="2">
        <f ca="1">IFERROR(__xludf.DUMMYFUNCTION("""COMPUTED_VALUE"""),301.44)</f>
        <v>301.44</v>
      </c>
      <c r="F155" s="16">
        <f t="shared" si="16"/>
        <v>1.3788793649309765E-2</v>
      </c>
      <c r="G155" s="16">
        <f t="shared" ca="1" si="17"/>
        <v>8.02597301076588E-3</v>
      </c>
      <c r="H155" s="16">
        <f t="shared" ca="1" si="18"/>
        <v>4.6885217314639833E-3</v>
      </c>
      <c r="J155" s="38">
        <f t="shared" si="19"/>
        <v>1.3703873014389129E-2</v>
      </c>
      <c r="K155" s="38">
        <f t="shared" ca="1" si="20"/>
        <v>7.9410523758452443E-3</v>
      </c>
      <c r="L155" s="38">
        <f t="shared" ca="1" si="21"/>
        <v>4.6036010965433485E-3</v>
      </c>
    </row>
    <row r="156" spans="1:12" ht="13.8" thickBot="1" x14ac:dyDescent="0.3">
      <c r="A156" s="12">
        <f ca="1">IFERROR(__xludf.DUMMYFUNCTION("""COMPUTED_VALUE"""),43671.6666666666)</f>
        <v>43671.666666666599</v>
      </c>
      <c r="B156" s="4">
        <v>30.34</v>
      </c>
      <c r="C156" s="2">
        <f ca="1">IFERROR(__xludf.DUMMYFUNCTION("""COMPUTED_VALUE"""),64.81)</f>
        <v>64.81</v>
      </c>
      <c r="D156" s="2">
        <f ca="1">IFERROR(__xludf.DUMMYFUNCTION("""COMPUTED_VALUE"""),300)</f>
        <v>300</v>
      </c>
      <c r="F156" s="16">
        <f t="shared" si="16"/>
        <v>-1.0818004205774005E-2</v>
      </c>
      <c r="G156" s="16">
        <f t="shared" ca="1" si="17"/>
        <v>-3.6962925188896221E-3</v>
      </c>
      <c r="H156" s="16">
        <f t="shared" ca="1" si="18"/>
        <v>-4.7885167317971208E-3</v>
      </c>
      <c r="J156" s="38">
        <f t="shared" si="19"/>
        <v>-1.090292484069464E-2</v>
      </c>
      <c r="K156" s="38">
        <f t="shared" ca="1" si="20"/>
        <v>-3.7812131538102569E-3</v>
      </c>
      <c r="L156" s="38">
        <f t="shared" ca="1" si="21"/>
        <v>-4.8734373667177555E-3</v>
      </c>
    </row>
    <row r="157" spans="1:12" ht="13.8" thickBot="1" x14ac:dyDescent="0.3">
      <c r="A157" s="12">
        <f ca="1">IFERROR(__xludf.DUMMYFUNCTION("""COMPUTED_VALUE"""),43672.6666666666)</f>
        <v>43672.666666666599</v>
      </c>
      <c r="B157" s="4">
        <v>30.77</v>
      </c>
      <c r="C157" s="2">
        <f ca="1">IFERROR(__xludf.DUMMYFUNCTION("""COMPUTED_VALUE"""),65.06)</f>
        <v>65.06</v>
      </c>
      <c r="D157" s="2">
        <f ca="1">IFERROR(__xludf.DUMMYFUNCTION("""COMPUTED_VALUE"""),302.01)</f>
        <v>302.01</v>
      </c>
      <c r="F157" s="16">
        <f t="shared" si="16"/>
        <v>1.4073215413564169E-2</v>
      </c>
      <c r="G157" s="16">
        <f t="shared" ca="1" si="17"/>
        <v>3.8500086055808379E-3</v>
      </c>
      <c r="H157" s="16">
        <f t="shared" ca="1" si="18"/>
        <v>6.6776547532404968E-3</v>
      </c>
      <c r="J157" s="38">
        <f t="shared" si="19"/>
        <v>1.3988294778643533E-2</v>
      </c>
      <c r="K157" s="38">
        <f t="shared" ca="1" si="20"/>
        <v>3.7650879706602031E-3</v>
      </c>
      <c r="L157" s="38">
        <f t="shared" ca="1" si="21"/>
        <v>6.592734118319862E-3</v>
      </c>
    </row>
    <row r="158" spans="1:12" ht="13.8" thickBot="1" x14ac:dyDescent="0.3">
      <c r="A158" s="12">
        <f ca="1">IFERROR(__xludf.DUMMYFUNCTION("""COMPUTED_VALUE"""),43675.6666666666)</f>
        <v>43675.666666666599</v>
      </c>
      <c r="B158" s="4">
        <v>30.52</v>
      </c>
      <c r="C158" s="2">
        <f ca="1">IFERROR(__xludf.DUMMYFUNCTION("""COMPUTED_VALUE"""),64.83)</f>
        <v>64.83</v>
      </c>
      <c r="D158" s="2">
        <f ca="1">IFERROR(__xludf.DUMMYFUNCTION("""COMPUTED_VALUE"""),301.46)</f>
        <v>301.45999999999998</v>
      </c>
      <c r="F158" s="16">
        <f t="shared" si="16"/>
        <v>-8.1579829176941492E-3</v>
      </c>
      <c r="G158" s="16">
        <f t="shared" ca="1" si="17"/>
        <v>-3.5414618583011872E-3</v>
      </c>
      <c r="H158" s="16">
        <f t="shared" ca="1" si="18"/>
        <v>-1.8227920270584552E-3</v>
      </c>
      <c r="J158" s="38">
        <f t="shared" si="19"/>
        <v>-8.2429035526147849E-3</v>
      </c>
      <c r="K158" s="38">
        <f t="shared" ca="1" si="20"/>
        <v>-3.6263824932218219E-3</v>
      </c>
      <c r="L158" s="38">
        <f t="shared" ca="1" si="21"/>
        <v>-1.9077126619790902E-3</v>
      </c>
    </row>
    <row r="159" spans="1:12" ht="13.8" thickBot="1" x14ac:dyDescent="0.3">
      <c r="A159" s="12">
        <f ca="1">IFERROR(__xludf.DUMMYFUNCTION("""COMPUTED_VALUE"""),43676.6666666666)</f>
        <v>43676.666666666599</v>
      </c>
      <c r="B159" s="4">
        <v>30.89</v>
      </c>
      <c r="C159" s="2">
        <f ca="1">IFERROR(__xludf.DUMMYFUNCTION("""COMPUTED_VALUE"""),63.88)</f>
        <v>63.88</v>
      </c>
      <c r="D159" s="2">
        <f ca="1">IFERROR(__xludf.DUMMYFUNCTION("""COMPUTED_VALUE"""),300.72)</f>
        <v>300.72000000000003</v>
      </c>
      <c r="F159" s="16">
        <f t="shared" si="16"/>
        <v>1.205030051423419E-2</v>
      </c>
      <c r="G159" s="16">
        <f t="shared" ca="1" si="17"/>
        <v>-1.4762135840092583E-2</v>
      </c>
      <c r="H159" s="16">
        <f t="shared" ca="1" si="18"/>
        <v>-2.4577381264604754E-3</v>
      </c>
      <c r="J159" s="38">
        <f t="shared" si="19"/>
        <v>1.1965379879313554E-2</v>
      </c>
      <c r="K159" s="38">
        <f t="shared" ca="1" si="20"/>
        <v>-1.4847056475013219E-2</v>
      </c>
      <c r="L159" s="38">
        <f t="shared" ca="1" si="21"/>
        <v>-2.5426587613811102E-3</v>
      </c>
    </row>
    <row r="160" spans="1:12" ht="13.8" thickBot="1" x14ac:dyDescent="0.3">
      <c r="A160" s="12">
        <f ca="1">IFERROR(__xludf.DUMMYFUNCTION("""COMPUTED_VALUE"""),43677.6666666666)</f>
        <v>43677.666666666599</v>
      </c>
      <c r="B160" s="4">
        <v>30.68</v>
      </c>
      <c r="C160" s="2">
        <f ca="1">IFERROR(__xludf.DUMMYFUNCTION("""COMPUTED_VALUE"""),64)</f>
        <v>64</v>
      </c>
      <c r="D160" s="2">
        <f ca="1">IFERROR(__xludf.DUMMYFUNCTION("""COMPUTED_VALUE"""),297.43)</f>
        <v>297.43</v>
      </c>
      <c r="F160" s="16">
        <f t="shared" si="16"/>
        <v>-6.8215304314349521E-3</v>
      </c>
      <c r="G160" s="16">
        <f t="shared" ca="1" si="17"/>
        <v>1.8767600128601842E-3</v>
      </c>
      <c r="H160" s="16">
        <f t="shared" ca="1" si="18"/>
        <v>-1.1000696073889073E-2</v>
      </c>
      <c r="J160" s="38">
        <f t="shared" si="19"/>
        <v>-6.9064510663555869E-3</v>
      </c>
      <c r="K160" s="38">
        <f t="shared" ca="1" si="20"/>
        <v>1.7918393779395492E-3</v>
      </c>
      <c r="L160" s="38">
        <f t="shared" ca="1" si="21"/>
        <v>-1.1085616708809708E-2</v>
      </c>
    </row>
    <row r="161" spans="1:12" ht="13.8" thickBot="1" x14ac:dyDescent="0.3">
      <c r="A161" s="12">
        <f ca="1">IFERROR(__xludf.DUMMYFUNCTION("""COMPUTED_VALUE"""),43678.6666666666)</f>
        <v>43678.666666666599</v>
      </c>
      <c r="B161" s="4">
        <v>29.49</v>
      </c>
      <c r="C161" s="2">
        <f ca="1">IFERROR(__xludf.DUMMYFUNCTION("""COMPUTED_VALUE"""),63.71)</f>
        <v>63.71</v>
      </c>
      <c r="D161" s="2">
        <f ca="1">IFERROR(__xludf.DUMMYFUNCTION("""COMPUTED_VALUE"""),294.84)</f>
        <v>294.83999999999997</v>
      </c>
      <c r="F161" s="16">
        <f t="shared" si="16"/>
        <v>-3.9559753671870618E-2</v>
      </c>
      <c r="G161" s="16">
        <f t="shared" ca="1" si="17"/>
        <v>-4.5415472312750208E-3</v>
      </c>
      <c r="H161" s="16">
        <f t="shared" ca="1" si="18"/>
        <v>-8.7460668609455842E-3</v>
      </c>
      <c r="J161" s="38">
        <f t="shared" si="19"/>
        <v>-3.964467430679125E-2</v>
      </c>
      <c r="K161" s="38">
        <f t="shared" ca="1" si="20"/>
        <v>-4.6264678661956556E-3</v>
      </c>
      <c r="L161" s="38">
        <f t="shared" ca="1" si="21"/>
        <v>-8.8309874958662198E-3</v>
      </c>
    </row>
    <row r="162" spans="1:12" ht="13.8" thickBot="1" x14ac:dyDescent="0.3">
      <c r="A162" s="12">
        <f ca="1">IFERROR(__xludf.DUMMYFUNCTION("""COMPUTED_VALUE"""),43679.6666666666)</f>
        <v>43679.666666666599</v>
      </c>
      <c r="B162" s="4">
        <v>29.38</v>
      </c>
      <c r="C162" s="2">
        <f ca="1">IFERROR(__xludf.DUMMYFUNCTION("""COMPUTED_VALUE"""),60.36)</f>
        <v>60.36</v>
      </c>
      <c r="D162" s="2">
        <f ca="1">IFERROR(__xludf.DUMMYFUNCTION("""COMPUTED_VALUE"""),292.62)</f>
        <v>292.62</v>
      </c>
      <c r="F162" s="16">
        <f t="shared" si="16"/>
        <v>-3.737052081453556E-3</v>
      </c>
      <c r="G162" s="16">
        <f t="shared" ca="1" si="17"/>
        <v>-5.4014902228748676E-2</v>
      </c>
      <c r="H162" s="16">
        <f t="shared" ca="1" si="18"/>
        <v>-7.5579973710717232E-3</v>
      </c>
      <c r="J162" s="38">
        <f t="shared" si="19"/>
        <v>-3.8219727163741907E-3</v>
      </c>
      <c r="K162" s="38">
        <f t="shared" ca="1" si="20"/>
        <v>-5.4099822863669308E-2</v>
      </c>
      <c r="L162" s="38">
        <f t="shared" ca="1" si="21"/>
        <v>-7.6429180059923579E-3</v>
      </c>
    </row>
    <row r="163" spans="1:12" ht="13.8" thickBot="1" x14ac:dyDescent="0.3">
      <c r="A163" s="12">
        <f ca="1">IFERROR(__xludf.DUMMYFUNCTION("""COMPUTED_VALUE"""),43682.6666666666)</f>
        <v>43682.666666666599</v>
      </c>
      <c r="B163" s="4">
        <v>28.08</v>
      </c>
      <c r="C163" s="2">
        <f ca="1">IFERROR(__xludf.DUMMYFUNCTION("""COMPUTED_VALUE"""),58.63)</f>
        <v>58.63</v>
      </c>
      <c r="D163" s="2">
        <f ca="1">IFERROR(__xludf.DUMMYFUNCTION("""COMPUTED_VALUE"""),283.82)</f>
        <v>283.82</v>
      </c>
      <c r="F163" s="16">
        <f t="shared" si="16"/>
        <v>-4.5256591588120947E-2</v>
      </c>
      <c r="G163" s="16">
        <f t="shared" ca="1" si="17"/>
        <v>-2.9080122923524382E-2</v>
      </c>
      <c r="H163" s="16">
        <f t="shared" ca="1" si="18"/>
        <v>-3.0534604543624784E-2</v>
      </c>
      <c r="J163" s="38">
        <f t="shared" si="19"/>
        <v>-4.5341512223041579E-2</v>
      </c>
      <c r="K163" s="38">
        <f t="shared" ca="1" si="20"/>
        <v>-2.9165043558445018E-2</v>
      </c>
      <c r="L163" s="38">
        <f t="shared" ca="1" si="21"/>
        <v>-3.061952517854542E-2</v>
      </c>
    </row>
    <row r="164" spans="1:12" ht="13.8" thickBot="1" x14ac:dyDescent="0.3">
      <c r="A164" s="12">
        <f ca="1">IFERROR(__xludf.DUMMYFUNCTION("""COMPUTED_VALUE"""),43683.6666666666)</f>
        <v>43683.666666666599</v>
      </c>
      <c r="B164" s="4">
        <v>28.42</v>
      </c>
      <c r="C164" s="2">
        <f ca="1">IFERROR(__xludf.DUMMYFUNCTION("""COMPUTED_VALUE"""),58.17)</f>
        <v>58.17</v>
      </c>
      <c r="D164" s="2">
        <f ca="1">IFERROR(__xludf.DUMMYFUNCTION("""COMPUTED_VALUE"""),287.8)</f>
        <v>287.8</v>
      </c>
      <c r="F164" s="16">
        <f t="shared" si="16"/>
        <v>1.2035543511344312E-2</v>
      </c>
      <c r="G164" s="16">
        <f t="shared" ca="1" si="17"/>
        <v>-7.8767530534536168E-3</v>
      </c>
      <c r="H164" s="16">
        <f t="shared" ca="1" si="18"/>
        <v>1.3925560046876E-2</v>
      </c>
      <c r="J164" s="38">
        <f t="shared" si="19"/>
        <v>1.1950622876423676E-2</v>
      </c>
      <c r="K164" s="38">
        <f t="shared" ca="1" si="20"/>
        <v>-7.9616736883742524E-3</v>
      </c>
      <c r="L164" s="38">
        <f t="shared" ca="1" si="21"/>
        <v>1.3840639411955364E-2</v>
      </c>
    </row>
    <row r="165" spans="1:12" ht="13.8" thickBot="1" x14ac:dyDescent="0.3">
      <c r="A165" s="12">
        <f ca="1">IFERROR(__xludf.DUMMYFUNCTION("""COMPUTED_VALUE"""),43684.6666666666)</f>
        <v>43684.666666666599</v>
      </c>
      <c r="B165" s="4">
        <v>27.89</v>
      </c>
      <c r="C165" s="2">
        <f ca="1">IFERROR(__xludf.DUMMYFUNCTION("""COMPUTED_VALUE"""),57.23)</f>
        <v>57.23</v>
      </c>
      <c r="D165" s="2">
        <f ca="1">IFERROR(__xludf.DUMMYFUNCTION("""COMPUTED_VALUE"""),287.97)</f>
        <v>287.97000000000003</v>
      </c>
      <c r="F165" s="16">
        <f t="shared" si="16"/>
        <v>-1.8824921029557011E-2</v>
      </c>
      <c r="G165" s="16">
        <f t="shared" ca="1" si="17"/>
        <v>-1.6291521501659339E-2</v>
      </c>
      <c r="H165" s="16">
        <f t="shared" ca="1" si="18"/>
        <v>5.9051359028787921E-4</v>
      </c>
      <c r="J165" s="38">
        <f t="shared" si="19"/>
        <v>-1.8909841664477647E-2</v>
      </c>
      <c r="K165" s="38">
        <f t="shared" ca="1" si="20"/>
        <v>-1.6376442136579974E-2</v>
      </c>
      <c r="L165" s="38">
        <f t="shared" ca="1" si="21"/>
        <v>5.0559295536724432E-4</v>
      </c>
    </row>
    <row r="166" spans="1:12" ht="13.8" thickBot="1" x14ac:dyDescent="0.3">
      <c r="A166" s="12">
        <f ca="1">IFERROR(__xludf.DUMMYFUNCTION("""COMPUTED_VALUE"""),43685.6666666666)</f>
        <v>43685.666666666599</v>
      </c>
      <c r="B166" s="4">
        <v>28.38</v>
      </c>
      <c r="C166" s="2">
        <f ca="1">IFERROR(__xludf.DUMMYFUNCTION("""COMPUTED_VALUE"""),59.17)</f>
        <v>59.17</v>
      </c>
      <c r="D166" s="2">
        <f ca="1">IFERROR(__xludf.DUMMYFUNCTION("""COMPUTED_VALUE"""),293.62)</f>
        <v>293.62</v>
      </c>
      <c r="F166" s="16">
        <f t="shared" si="16"/>
        <v>1.7416470092498963E-2</v>
      </c>
      <c r="G166" s="16">
        <f t="shared" ca="1" si="17"/>
        <v>3.3336420267591926E-2</v>
      </c>
      <c r="H166" s="16">
        <f t="shared" ca="1" si="18"/>
        <v>1.9430106267758873E-2</v>
      </c>
      <c r="J166" s="38">
        <f t="shared" si="19"/>
        <v>1.7331549457578328E-2</v>
      </c>
      <c r="K166" s="38">
        <f t="shared" ca="1" si="20"/>
        <v>3.3251499632671294E-2</v>
      </c>
      <c r="L166" s="38">
        <f t="shared" ca="1" si="21"/>
        <v>1.9345185632838238E-2</v>
      </c>
    </row>
    <row r="167" spans="1:12" ht="13.8" thickBot="1" x14ac:dyDescent="0.3">
      <c r="A167" s="12">
        <f ca="1">IFERROR(__xludf.DUMMYFUNCTION("""COMPUTED_VALUE"""),43686.6666666666)</f>
        <v>43686.666666666599</v>
      </c>
      <c r="B167" s="4">
        <v>28.33</v>
      </c>
      <c r="C167" s="2">
        <f ca="1">IFERROR(__xludf.DUMMYFUNCTION("""COMPUTED_VALUE"""),58.26)</f>
        <v>58.26</v>
      </c>
      <c r="D167" s="2">
        <f ca="1">IFERROR(__xludf.DUMMYFUNCTION("""COMPUTED_VALUE"""),291.62)</f>
        <v>291.62</v>
      </c>
      <c r="F167" s="16">
        <f t="shared" si="16"/>
        <v>-1.7633578894713996E-3</v>
      </c>
      <c r="G167" s="16">
        <f t="shared" ca="1" si="17"/>
        <v>-1.5498905157314167E-2</v>
      </c>
      <c r="H167" s="16">
        <f t="shared" ca="1" si="18"/>
        <v>-6.834829423175046E-3</v>
      </c>
      <c r="J167" s="38">
        <f t="shared" si="19"/>
        <v>-1.8482785243920346E-3</v>
      </c>
      <c r="K167" s="38">
        <f t="shared" ca="1" si="20"/>
        <v>-1.5583825792234803E-2</v>
      </c>
      <c r="L167" s="38">
        <f t="shared" ca="1" si="21"/>
        <v>-6.9197500580956807E-3</v>
      </c>
    </row>
    <row r="168" spans="1:12" ht="13.8" thickBot="1" x14ac:dyDescent="0.3">
      <c r="A168" s="12">
        <f ca="1">IFERROR(__xludf.DUMMYFUNCTION("""COMPUTED_VALUE"""),43689.6666666666)</f>
        <v>43689.666666666599</v>
      </c>
      <c r="B168" s="4">
        <v>27.64</v>
      </c>
      <c r="C168" s="2">
        <f ca="1">IFERROR(__xludf.DUMMYFUNCTION("""COMPUTED_VALUE"""),57.27)</f>
        <v>57.27</v>
      </c>
      <c r="D168" s="2">
        <f ca="1">IFERROR(__xludf.DUMMYFUNCTION("""COMPUTED_VALUE"""),288.07)</f>
        <v>288.07</v>
      </c>
      <c r="F168" s="16">
        <f t="shared" si="16"/>
        <v>-2.4657314942955942E-2</v>
      </c>
      <c r="G168" s="16">
        <f t="shared" ca="1" si="17"/>
        <v>-1.713882512552253E-2</v>
      </c>
      <c r="H168" s="16">
        <f t="shared" ca="1" si="18"/>
        <v>-1.2248078729853994E-2</v>
      </c>
      <c r="J168" s="38">
        <f t="shared" si="19"/>
        <v>-2.4742235577876578E-2</v>
      </c>
      <c r="K168" s="38">
        <f t="shared" ca="1" si="20"/>
        <v>-1.7223745760443165E-2</v>
      </c>
      <c r="L168" s="38">
        <f t="shared" ca="1" si="21"/>
        <v>-1.233299936477463E-2</v>
      </c>
    </row>
    <row r="169" spans="1:12" ht="13.8" thickBot="1" x14ac:dyDescent="0.3">
      <c r="A169" s="12">
        <f ca="1">IFERROR(__xludf.DUMMYFUNCTION("""COMPUTED_VALUE"""),43690.6666666666)</f>
        <v>43690.666666666599</v>
      </c>
      <c r="B169" s="4">
        <v>27.72</v>
      </c>
      <c r="C169" s="2">
        <f ca="1">IFERROR(__xludf.DUMMYFUNCTION("""COMPUTED_VALUE"""),58.54)</f>
        <v>58.54</v>
      </c>
      <c r="D169" s="2">
        <f ca="1">IFERROR(__xludf.DUMMYFUNCTION("""COMPUTED_VALUE"""),292.55)</f>
        <v>292.55</v>
      </c>
      <c r="F169" s="16">
        <f t="shared" si="16"/>
        <v>2.8901754222332024E-3</v>
      </c>
      <c r="G169" s="16">
        <f t="shared" ca="1" si="17"/>
        <v>2.193335485797384E-2</v>
      </c>
      <c r="H169" s="16">
        <f t="shared" ca="1" si="18"/>
        <v>1.5432086075959927E-2</v>
      </c>
      <c r="J169" s="38">
        <f t="shared" si="19"/>
        <v>2.8052547873125677E-3</v>
      </c>
      <c r="K169" s="38">
        <f t="shared" ca="1" si="20"/>
        <v>2.1848434223053204E-2</v>
      </c>
      <c r="L169" s="38">
        <f t="shared" ca="1" si="21"/>
        <v>1.5347165441039291E-2</v>
      </c>
    </row>
    <row r="170" spans="1:12" ht="13.8" thickBot="1" x14ac:dyDescent="0.3">
      <c r="A170" s="12">
        <f ca="1">IFERROR(__xludf.DUMMYFUNCTION("""COMPUTED_VALUE"""),43691.6666666666)</f>
        <v>43691.666666666599</v>
      </c>
      <c r="B170" s="4">
        <v>26.42</v>
      </c>
      <c r="C170" s="2">
        <f ca="1">IFERROR(__xludf.DUMMYFUNCTION("""COMPUTED_VALUE"""),55.38)</f>
        <v>55.38</v>
      </c>
      <c r="D170" s="2">
        <f ca="1">IFERROR(__xludf.DUMMYFUNCTION("""COMPUTED_VALUE"""),283.9)</f>
        <v>283.89999999999998</v>
      </c>
      <c r="F170" s="16">
        <f t="shared" si="16"/>
        <v>-4.8032875227523093E-2</v>
      </c>
      <c r="G170" s="16">
        <f t="shared" ca="1" si="17"/>
        <v>-5.5491763520923894E-2</v>
      </c>
      <c r="H170" s="16">
        <f t="shared" ca="1" si="18"/>
        <v>-3.0013528755319773E-2</v>
      </c>
      <c r="J170" s="38">
        <f t="shared" si="19"/>
        <v>-4.8117795862443725E-2</v>
      </c>
      <c r="K170" s="38">
        <f t="shared" ca="1" si="20"/>
        <v>-5.5576684155844526E-2</v>
      </c>
      <c r="L170" s="38">
        <f t="shared" ca="1" si="21"/>
        <v>-3.0098449390240409E-2</v>
      </c>
    </row>
    <row r="171" spans="1:12" ht="13.8" thickBot="1" x14ac:dyDescent="0.3">
      <c r="A171" s="12">
        <f ca="1">IFERROR(__xludf.DUMMYFUNCTION("""COMPUTED_VALUE"""),43692.6666666666)</f>
        <v>43692.666666666599</v>
      </c>
      <c r="B171" s="4">
        <v>26.25</v>
      </c>
      <c r="C171" s="2">
        <f ca="1">IFERROR(__xludf.DUMMYFUNCTION("""COMPUTED_VALUE"""),55.4)</f>
        <v>55.4</v>
      </c>
      <c r="D171" s="2">
        <f ca="1">IFERROR(__xludf.DUMMYFUNCTION("""COMPUTED_VALUE"""),284.65)</f>
        <v>284.64999999999998</v>
      </c>
      <c r="F171" s="16">
        <f t="shared" si="16"/>
        <v>-6.4553100565465813E-3</v>
      </c>
      <c r="G171" s="16">
        <f t="shared" ca="1" si="17"/>
        <v>3.610760104221525E-4</v>
      </c>
      <c r="H171" s="16">
        <f t="shared" ca="1" si="18"/>
        <v>2.6382919181654222E-3</v>
      </c>
      <c r="J171" s="38">
        <f t="shared" si="19"/>
        <v>-6.5402306914672161E-3</v>
      </c>
      <c r="K171" s="38">
        <f t="shared" ca="1" si="20"/>
        <v>2.7615537550151762E-4</v>
      </c>
      <c r="L171" s="38">
        <f t="shared" ca="1" si="21"/>
        <v>2.5533712832447875E-3</v>
      </c>
    </row>
    <row r="172" spans="1:12" ht="13.8" thickBot="1" x14ac:dyDescent="0.3">
      <c r="A172" s="12">
        <f ca="1">IFERROR(__xludf.DUMMYFUNCTION("""COMPUTED_VALUE"""),43693.6666666666)</f>
        <v>43693.666666666599</v>
      </c>
      <c r="B172" s="4">
        <v>27.03</v>
      </c>
      <c r="C172" s="2">
        <f ca="1">IFERROR(__xludf.DUMMYFUNCTION("""COMPUTED_VALUE"""),56.79)</f>
        <v>56.79</v>
      </c>
      <c r="D172" s="2">
        <f ca="1">IFERROR(__xludf.DUMMYFUNCTION("""COMPUTED_VALUE"""),288.85)</f>
        <v>288.85000000000002</v>
      </c>
      <c r="F172" s="16">
        <f t="shared" si="16"/>
        <v>2.9281371250723574E-2</v>
      </c>
      <c r="G172" s="16">
        <f t="shared" ca="1" si="17"/>
        <v>2.4780660136102962E-2</v>
      </c>
      <c r="H172" s="16">
        <f t="shared" ca="1" si="18"/>
        <v>1.464716683018384E-2</v>
      </c>
      <c r="J172" s="38">
        <f t="shared" si="19"/>
        <v>2.9196450615802939E-2</v>
      </c>
      <c r="K172" s="38">
        <f t="shared" ca="1" si="20"/>
        <v>2.4695739501182326E-2</v>
      </c>
      <c r="L172" s="38">
        <f t="shared" ca="1" si="21"/>
        <v>1.4562246195263204E-2</v>
      </c>
    </row>
    <row r="173" spans="1:12" ht="13.8" thickBot="1" x14ac:dyDescent="0.3">
      <c r="A173" s="12">
        <f ca="1">IFERROR(__xludf.DUMMYFUNCTION("""COMPUTED_VALUE"""),43696.6666666666)</f>
        <v>43696.666666666599</v>
      </c>
      <c r="B173" s="4">
        <v>27.27</v>
      </c>
      <c r="C173" s="2">
        <f ca="1">IFERROR(__xludf.DUMMYFUNCTION("""COMPUTED_VALUE"""),58.19)</f>
        <v>58.19</v>
      </c>
      <c r="D173" s="2">
        <f ca="1">IFERROR(__xludf.DUMMYFUNCTION("""COMPUTED_VALUE"""),292.33)</f>
        <v>292.33</v>
      </c>
      <c r="F173" s="16">
        <f t="shared" si="16"/>
        <v>8.8398365691408007E-3</v>
      </c>
      <c r="G173" s="16">
        <f t="shared" ca="1" si="17"/>
        <v>2.43532647792374E-2</v>
      </c>
      <c r="H173" s="16">
        <f t="shared" ca="1" si="18"/>
        <v>1.1975778903237711E-2</v>
      </c>
      <c r="J173" s="38">
        <f t="shared" si="19"/>
        <v>8.754915934220165E-3</v>
      </c>
      <c r="K173" s="38">
        <f t="shared" ca="1" si="20"/>
        <v>2.4268344144316764E-2</v>
      </c>
      <c r="L173" s="38">
        <f t="shared" ca="1" si="21"/>
        <v>1.1890858268317076E-2</v>
      </c>
    </row>
    <row r="174" spans="1:12" ht="13.8" thickBot="1" x14ac:dyDescent="0.3">
      <c r="A174" s="12">
        <f ca="1">IFERROR(__xludf.DUMMYFUNCTION("""COMPUTED_VALUE"""),43697.6666666666)</f>
        <v>43697.666666666599</v>
      </c>
      <c r="B174" s="4">
        <v>26.72</v>
      </c>
      <c r="C174" s="2">
        <f ca="1">IFERROR(__xludf.DUMMYFUNCTION("""COMPUTED_VALUE"""),57.57)</f>
        <v>57.57</v>
      </c>
      <c r="D174" s="2">
        <f ca="1">IFERROR(__xludf.DUMMYFUNCTION("""COMPUTED_VALUE"""),290.09)</f>
        <v>290.08999999999997</v>
      </c>
      <c r="F174" s="16">
        <f t="shared" si="16"/>
        <v>-2.0374848189052226E-2</v>
      </c>
      <c r="G174" s="16">
        <f t="shared" ca="1" si="17"/>
        <v>-1.0711919980860334E-2</v>
      </c>
      <c r="H174" s="16">
        <f t="shared" ca="1" si="18"/>
        <v>-7.6920814694013051E-3</v>
      </c>
      <c r="J174" s="38">
        <f t="shared" si="19"/>
        <v>-2.0459768823972862E-2</v>
      </c>
      <c r="K174" s="38">
        <f t="shared" ca="1" si="20"/>
        <v>-1.079684061578097E-2</v>
      </c>
      <c r="L174" s="38">
        <f t="shared" ca="1" si="21"/>
        <v>-7.7770021043219398E-3</v>
      </c>
    </row>
    <row r="175" spans="1:12" ht="13.8" thickBot="1" x14ac:dyDescent="0.3">
      <c r="A175" s="12">
        <f ca="1">IFERROR(__xludf.DUMMYFUNCTION("""COMPUTED_VALUE"""),43698.6666666666)</f>
        <v>43698.666666666599</v>
      </c>
      <c r="B175" s="4">
        <v>26.93</v>
      </c>
      <c r="C175" s="2">
        <f ca="1">IFERROR(__xludf.DUMMYFUNCTION("""COMPUTED_VALUE"""),57.28)</f>
        <v>57.28</v>
      </c>
      <c r="D175" s="2">
        <f ca="1">IFERROR(__xludf.DUMMYFUNCTION("""COMPUTED_VALUE"""),292.45)</f>
        <v>292.45</v>
      </c>
      <c r="F175" s="16">
        <f t="shared" si="16"/>
        <v>7.8285581550627016E-3</v>
      </c>
      <c r="G175" s="16">
        <f t="shared" ca="1" si="17"/>
        <v>-5.0500760353280796E-3</v>
      </c>
      <c r="H175" s="16">
        <f t="shared" ca="1" si="18"/>
        <v>8.1024922279236584E-3</v>
      </c>
      <c r="J175" s="38">
        <f t="shared" si="19"/>
        <v>7.7436375201420668E-3</v>
      </c>
      <c r="K175" s="38">
        <f t="shared" ca="1" si="20"/>
        <v>-5.1349966702487143E-3</v>
      </c>
      <c r="L175" s="38">
        <f t="shared" ca="1" si="21"/>
        <v>8.0175715930030228E-3</v>
      </c>
    </row>
    <row r="176" spans="1:12" ht="13.8" thickBot="1" x14ac:dyDescent="0.3">
      <c r="A176" s="12">
        <f ca="1">IFERROR(__xludf.DUMMYFUNCTION("""COMPUTED_VALUE"""),43699.6666666666)</f>
        <v>43699.666666666599</v>
      </c>
      <c r="B176" s="4">
        <v>27.19</v>
      </c>
      <c r="C176" s="2">
        <f ca="1">IFERROR(__xludf.DUMMYFUNCTION("""COMPUTED_VALUE"""),57.55)</f>
        <v>57.55</v>
      </c>
      <c r="D176" s="2">
        <f ca="1">IFERROR(__xludf.DUMMYFUNCTION("""COMPUTED_VALUE"""),292.36)</f>
        <v>292.36</v>
      </c>
      <c r="F176" s="16">
        <f t="shared" si="16"/>
        <v>9.6083518208718334E-3</v>
      </c>
      <c r="G176" s="16">
        <f t="shared" ca="1" si="17"/>
        <v>4.7026125155014619E-3</v>
      </c>
      <c r="H176" s="16">
        <f t="shared" ca="1" si="18"/>
        <v>-3.0779227684374529E-4</v>
      </c>
      <c r="J176" s="38">
        <f t="shared" si="19"/>
        <v>9.5234311859511978E-3</v>
      </c>
      <c r="K176" s="38">
        <f t="shared" ca="1" si="20"/>
        <v>4.6176918805808272E-3</v>
      </c>
      <c r="L176" s="38">
        <f t="shared" ca="1" si="21"/>
        <v>-3.9271291176438017E-4</v>
      </c>
    </row>
    <row r="177" spans="1:12" ht="13.8" thickBot="1" x14ac:dyDescent="0.3">
      <c r="A177" s="12">
        <f ca="1">IFERROR(__xludf.DUMMYFUNCTION("""COMPUTED_VALUE"""),43700.6666666666)</f>
        <v>43700.666666666599</v>
      </c>
      <c r="B177" s="4">
        <v>26.47</v>
      </c>
      <c r="C177" s="2">
        <f ca="1">IFERROR(__xludf.DUMMYFUNCTION("""COMPUTED_VALUE"""),56.68)</f>
        <v>56.68</v>
      </c>
      <c r="D177" s="2">
        <f ca="1">IFERROR(__xludf.DUMMYFUNCTION("""COMPUTED_VALUE"""),284.85)</f>
        <v>284.85000000000002</v>
      </c>
      <c r="F177" s="16">
        <f t="shared" si="16"/>
        <v>-2.6837242405369551E-2</v>
      </c>
      <c r="G177" s="16">
        <f t="shared" ca="1" si="17"/>
        <v>-1.5232720345411965E-2</v>
      </c>
      <c r="H177" s="16">
        <f t="shared" ca="1" si="18"/>
        <v>-2.6023193685786358E-2</v>
      </c>
      <c r="J177" s="38">
        <f t="shared" si="19"/>
        <v>-2.6922163040290187E-2</v>
      </c>
      <c r="K177" s="38">
        <f t="shared" ca="1" si="20"/>
        <v>-1.53176409803326E-2</v>
      </c>
      <c r="L177" s="38">
        <f t="shared" ca="1" si="21"/>
        <v>-2.6108114320706994E-2</v>
      </c>
    </row>
    <row r="178" spans="1:12" ht="13.8" thickBot="1" x14ac:dyDescent="0.3">
      <c r="A178" s="12">
        <f ca="1">IFERROR(__xludf.DUMMYFUNCTION("""COMPUTED_VALUE"""),43703.6666666666)</f>
        <v>43703.666666666599</v>
      </c>
      <c r="B178" s="4">
        <v>26.78</v>
      </c>
      <c r="C178" s="2">
        <f ca="1">IFERROR(__xludf.DUMMYFUNCTION("""COMPUTED_VALUE"""),56.12)</f>
        <v>56.12</v>
      </c>
      <c r="D178" s="2">
        <f ca="1">IFERROR(__xludf.DUMMYFUNCTION("""COMPUTED_VALUE"""),288)</f>
        <v>288</v>
      </c>
      <c r="F178" s="16">
        <f t="shared" si="16"/>
        <v>1.1643324024016638E-2</v>
      </c>
      <c r="G178" s="16">
        <f t="shared" ca="1" si="17"/>
        <v>-9.9291595882194973E-3</v>
      </c>
      <c r="H178" s="16">
        <f t="shared" ca="1" si="18"/>
        <v>1.0997754209541284E-2</v>
      </c>
      <c r="J178" s="38">
        <f t="shared" si="19"/>
        <v>1.1558403389096002E-2</v>
      </c>
      <c r="K178" s="38">
        <f t="shared" ca="1" si="20"/>
        <v>-1.0014080223140133E-2</v>
      </c>
      <c r="L178" s="38">
        <f t="shared" ca="1" si="21"/>
        <v>1.0912833574620648E-2</v>
      </c>
    </row>
    <row r="179" spans="1:12" ht="13.8" thickBot="1" x14ac:dyDescent="0.3">
      <c r="A179" s="12">
        <f ca="1">IFERROR(__xludf.DUMMYFUNCTION("""COMPUTED_VALUE"""),43704.6666666666)</f>
        <v>43704.666666666599</v>
      </c>
      <c r="B179" s="4">
        <v>26.47</v>
      </c>
      <c r="C179" s="2">
        <f ca="1">IFERROR(__xludf.DUMMYFUNCTION("""COMPUTED_VALUE"""),55.72)</f>
        <v>55.72</v>
      </c>
      <c r="D179" s="2">
        <f ca="1">IFERROR(__xludf.DUMMYFUNCTION("""COMPUTED_VALUE"""),286.87)</f>
        <v>286.87</v>
      </c>
      <c r="F179" s="16">
        <f t="shared" si="16"/>
        <v>-1.1643324024016586E-2</v>
      </c>
      <c r="G179" s="16">
        <f t="shared" ca="1" si="17"/>
        <v>-7.1531063226552326E-3</v>
      </c>
      <c r="H179" s="16">
        <f t="shared" ca="1" si="18"/>
        <v>-3.931328666926223E-3</v>
      </c>
      <c r="J179" s="38">
        <f t="shared" si="19"/>
        <v>-1.1728244658937221E-2</v>
      </c>
      <c r="K179" s="38">
        <f t="shared" ca="1" si="20"/>
        <v>-7.2380269575758674E-3</v>
      </c>
      <c r="L179" s="38">
        <f t="shared" ca="1" si="21"/>
        <v>-4.0162493018468578E-3</v>
      </c>
    </row>
    <row r="180" spans="1:12" ht="13.8" thickBot="1" x14ac:dyDescent="0.3">
      <c r="A180" s="12">
        <f ca="1">IFERROR(__xludf.DUMMYFUNCTION("""COMPUTED_VALUE"""),43705.6666666666)</f>
        <v>43705.666666666599</v>
      </c>
      <c r="B180" s="4">
        <v>26.85</v>
      </c>
      <c r="C180" s="2">
        <f ca="1">IFERROR(__xludf.DUMMYFUNCTION("""COMPUTED_VALUE"""),56.37)</f>
        <v>56.37</v>
      </c>
      <c r="D180" s="2">
        <f ca="1">IFERROR(__xludf.DUMMYFUNCTION("""COMPUTED_VALUE"""),288.89)</f>
        <v>288.89</v>
      </c>
      <c r="F180" s="16">
        <f t="shared" si="16"/>
        <v>1.4253804715863783E-2</v>
      </c>
      <c r="G180" s="16">
        <f t="shared" ca="1" si="17"/>
        <v>1.1597953181878671E-2</v>
      </c>
      <c r="H180" s="16">
        <f t="shared" ca="1" si="18"/>
        <v>7.0168413507839793E-3</v>
      </c>
      <c r="J180" s="38">
        <f t="shared" si="19"/>
        <v>1.4168884080943148E-2</v>
      </c>
      <c r="K180" s="38">
        <f t="shared" ca="1" si="20"/>
        <v>1.1513032546958036E-2</v>
      </c>
      <c r="L180" s="38">
        <f t="shared" ca="1" si="21"/>
        <v>6.9319207158633446E-3</v>
      </c>
    </row>
    <row r="181" spans="1:12" ht="13.8" thickBot="1" x14ac:dyDescent="0.3">
      <c r="A181" s="12">
        <f ca="1">IFERROR(__xludf.DUMMYFUNCTION("""COMPUTED_VALUE"""),43706.6666666666)</f>
        <v>43706.666666666599</v>
      </c>
      <c r="B181" s="4">
        <v>27.33</v>
      </c>
      <c r="C181" s="2">
        <f ca="1">IFERROR(__xludf.DUMMYFUNCTION("""COMPUTED_VALUE"""),57.82)</f>
        <v>57.82</v>
      </c>
      <c r="D181" s="2">
        <f ca="1">IFERROR(__xludf.DUMMYFUNCTION("""COMPUTED_VALUE"""),292.58)</f>
        <v>292.58</v>
      </c>
      <c r="F181" s="16">
        <f t="shared" si="16"/>
        <v>1.7719178985102932E-2</v>
      </c>
      <c r="G181" s="16">
        <f t="shared" ca="1" si="17"/>
        <v>2.5397634494716392E-2</v>
      </c>
      <c r="H181" s="16">
        <f t="shared" ca="1" si="18"/>
        <v>1.2692140730136289E-2</v>
      </c>
      <c r="J181" s="38">
        <f t="shared" si="19"/>
        <v>1.7634258350182296E-2</v>
      </c>
      <c r="K181" s="38">
        <f t="shared" ca="1" si="20"/>
        <v>2.5312713859795756E-2</v>
      </c>
      <c r="L181" s="38">
        <f t="shared" ca="1" si="21"/>
        <v>1.2607220095215654E-2</v>
      </c>
    </row>
    <row r="182" spans="1:12" ht="13.8" thickBot="1" x14ac:dyDescent="0.3">
      <c r="A182" s="12">
        <f ca="1">IFERROR(__xludf.DUMMYFUNCTION("""COMPUTED_VALUE"""),43707.6666666666)</f>
        <v>43707.666666666599</v>
      </c>
      <c r="B182" s="4">
        <v>27.51</v>
      </c>
      <c r="C182" s="2">
        <f ca="1">IFERROR(__xludf.DUMMYFUNCTION("""COMPUTED_VALUE"""),58.61)</f>
        <v>58.61</v>
      </c>
      <c r="D182" s="2">
        <f ca="1">IFERROR(__xludf.DUMMYFUNCTION("""COMPUTED_VALUE"""),292.45)</f>
        <v>292.45</v>
      </c>
      <c r="F182" s="16">
        <f t="shared" si="16"/>
        <v>6.5645749965065692E-3</v>
      </c>
      <c r="G182" s="16">
        <f t="shared" ca="1" si="17"/>
        <v>1.3570593900137826E-2</v>
      </c>
      <c r="H182" s="16">
        <f t="shared" ca="1" si="18"/>
        <v>-4.4442166090519208E-4</v>
      </c>
      <c r="J182" s="38">
        <f t="shared" si="19"/>
        <v>6.4796543615859344E-3</v>
      </c>
      <c r="K182" s="38">
        <f t="shared" ca="1" si="20"/>
        <v>1.348567326521719E-2</v>
      </c>
      <c r="L182" s="38">
        <f t="shared" ca="1" si="21"/>
        <v>-5.2934229582582697E-4</v>
      </c>
    </row>
    <row r="183" spans="1:12" ht="13.8" thickBot="1" x14ac:dyDescent="0.3">
      <c r="A183" s="12">
        <f ca="1">IFERROR(__xludf.DUMMYFUNCTION("""COMPUTED_VALUE"""),43711.6666666666)</f>
        <v>43711.666666666599</v>
      </c>
      <c r="B183" s="4">
        <v>27.05</v>
      </c>
      <c r="C183" s="2">
        <f ca="1">IFERROR(__xludf.DUMMYFUNCTION("""COMPUTED_VALUE"""),58.7)</f>
        <v>58.7</v>
      </c>
      <c r="D183" s="2">
        <f ca="1">IFERROR(__xludf.DUMMYFUNCTION("""COMPUTED_VALUE"""),290.74)</f>
        <v>290.74</v>
      </c>
      <c r="F183" s="16">
        <f t="shared" si="16"/>
        <v>-1.6862569643992652E-2</v>
      </c>
      <c r="G183" s="16">
        <f t="shared" ca="1" si="17"/>
        <v>1.5343963457128619E-3</v>
      </c>
      <c r="H183" s="16">
        <f t="shared" ca="1" si="18"/>
        <v>-5.8643148908558698E-3</v>
      </c>
      <c r="J183" s="38">
        <f t="shared" si="19"/>
        <v>-1.6947490278913287E-2</v>
      </c>
      <c r="K183" s="38">
        <f t="shared" ca="1" si="20"/>
        <v>1.4494757107922269E-3</v>
      </c>
      <c r="L183" s="38">
        <f t="shared" ca="1" si="21"/>
        <v>-5.9492355257765046E-3</v>
      </c>
    </row>
    <row r="184" spans="1:12" ht="13.8" thickBot="1" x14ac:dyDescent="0.3">
      <c r="A184" s="12">
        <f ca="1">IFERROR(__xludf.DUMMYFUNCTION("""COMPUTED_VALUE"""),43712.6666666666)</f>
        <v>43712.666666666599</v>
      </c>
      <c r="B184" s="4">
        <v>27.49</v>
      </c>
      <c r="C184" s="2">
        <f ca="1">IFERROR(__xludf.DUMMYFUNCTION("""COMPUTED_VALUE"""),57.48)</f>
        <v>57.48</v>
      </c>
      <c r="D184" s="2">
        <f ca="1">IFERROR(__xludf.DUMMYFUNCTION("""COMPUTED_VALUE"""),294.04)</f>
        <v>294.04000000000002</v>
      </c>
      <c r="F184" s="16">
        <f t="shared" si="16"/>
        <v>1.6135296884663714E-2</v>
      </c>
      <c r="G184" s="16">
        <f t="shared" ca="1" si="17"/>
        <v>-2.1002665623226672E-2</v>
      </c>
      <c r="H184" s="16">
        <f t="shared" ca="1" si="18"/>
        <v>1.1286415507708042E-2</v>
      </c>
      <c r="J184" s="38">
        <f t="shared" si="19"/>
        <v>1.6050376249743079E-2</v>
      </c>
      <c r="K184" s="38">
        <f t="shared" ca="1" si="20"/>
        <v>-2.1087586258147308E-2</v>
      </c>
      <c r="L184" s="38">
        <f t="shared" ca="1" si="21"/>
        <v>1.1201494872787406E-2</v>
      </c>
    </row>
    <row r="185" spans="1:12" ht="13.8" thickBot="1" x14ac:dyDescent="0.3">
      <c r="A185" s="12">
        <f ca="1">IFERROR(__xludf.DUMMYFUNCTION("""COMPUTED_VALUE"""),43713.6666666666)</f>
        <v>43713.666666666599</v>
      </c>
      <c r="B185" s="4">
        <v>28.12</v>
      </c>
      <c r="C185" s="2">
        <f ca="1">IFERROR(__xludf.DUMMYFUNCTION("""COMPUTED_VALUE"""),58.29)</f>
        <v>58.29</v>
      </c>
      <c r="D185" s="2">
        <f ca="1">IFERROR(__xludf.DUMMYFUNCTION("""COMPUTED_VALUE"""),297.82)</f>
        <v>297.82</v>
      </c>
      <c r="F185" s="16">
        <f t="shared" si="16"/>
        <v>2.2658764765309862E-2</v>
      </c>
      <c r="G185" s="16">
        <f t="shared" ca="1" si="17"/>
        <v>1.3993490846634342E-2</v>
      </c>
      <c r="H185" s="16">
        <f t="shared" ca="1" si="18"/>
        <v>1.2773464656172117E-2</v>
      </c>
      <c r="J185" s="38">
        <f t="shared" si="19"/>
        <v>2.2573844130389226E-2</v>
      </c>
      <c r="K185" s="38">
        <f t="shared" ca="1" si="20"/>
        <v>1.3908570211713706E-2</v>
      </c>
      <c r="L185" s="38">
        <f t="shared" ca="1" si="21"/>
        <v>1.2688544021251481E-2</v>
      </c>
    </row>
    <row r="186" spans="1:12" ht="13.8" thickBot="1" x14ac:dyDescent="0.3">
      <c r="A186" s="12">
        <f ca="1">IFERROR(__xludf.DUMMYFUNCTION("""COMPUTED_VALUE"""),43714.6666666666)</f>
        <v>43714.666666666599</v>
      </c>
      <c r="B186" s="4">
        <v>27.73</v>
      </c>
      <c r="C186" s="2">
        <f ca="1">IFERROR(__xludf.DUMMYFUNCTION("""COMPUTED_VALUE"""),60.24)</f>
        <v>60.24</v>
      </c>
      <c r="D186" s="2">
        <f ca="1">IFERROR(__xludf.DUMMYFUNCTION("""COMPUTED_VALUE"""),298.05)</f>
        <v>298.05</v>
      </c>
      <c r="F186" s="16">
        <f t="shared" si="16"/>
        <v>-1.3966207314777502E-2</v>
      </c>
      <c r="G186" s="16">
        <f t="shared" ca="1" si="17"/>
        <v>3.2906031434179701E-2</v>
      </c>
      <c r="H186" s="16">
        <f t="shared" ca="1" si="18"/>
        <v>7.7198050387648732E-4</v>
      </c>
      <c r="J186" s="38">
        <f t="shared" si="19"/>
        <v>-1.4051127949698138E-2</v>
      </c>
      <c r="K186" s="38">
        <f t="shared" ca="1" si="20"/>
        <v>3.2821110799259069E-2</v>
      </c>
      <c r="L186" s="38">
        <f t="shared" ca="1" si="21"/>
        <v>6.8705986895585243E-4</v>
      </c>
    </row>
    <row r="187" spans="1:12" ht="13.8" thickBot="1" x14ac:dyDescent="0.3">
      <c r="A187" s="12">
        <f ca="1">IFERROR(__xludf.DUMMYFUNCTION("""COMPUTED_VALUE"""),43717.6666666666)</f>
        <v>43717.666666666599</v>
      </c>
      <c r="B187" s="4">
        <v>28.63</v>
      </c>
      <c r="C187" s="2">
        <f ca="1">IFERROR(__xludf.DUMMYFUNCTION("""COMPUTED_VALUE"""),59.93)</f>
        <v>59.93</v>
      </c>
      <c r="D187" s="2">
        <f ca="1">IFERROR(__xludf.DUMMYFUNCTION("""COMPUTED_VALUE"""),298.2)</f>
        <v>298.2</v>
      </c>
      <c r="F187" s="16">
        <f t="shared" si="16"/>
        <v>3.1940259482336864E-2</v>
      </c>
      <c r="G187" s="16">
        <f t="shared" ca="1" si="17"/>
        <v>-5.1593690215442469E-3</v>
      </c>
      <c r="H187" s="16">
        <f t="shared" ca="1" si="18"/>
        <v>5.0314466470232917E-4</v>
      </c>
      <c r="J187" s="38">
        <f t="shared" si="19"/>
        <v>3.1855338847416231E-2</v>
      </c>
      <c r="K187" s="38">
        <f t="shared" ca="1" si="20"/>
        <v>-5.2442896564648817E-3</v>
      </c>
      <c r="L187" s="38">
        <f t="shared" ca="1" si="21"/>
        <v>4.1822402978169428E-4</v>
      </c>
    </row>
    <row r="188" spans="1:12" ht="13.8" thickBot="1" x14ac:dyDescent="0.3">
      <c r="A188" s="12">
        <f ca="1">IFERROR(__xludf.DUMMYFUNCTION("""COMPUTED_VALUE"""),43718.6666666666)</f>
        <v>43718.666666666599</v>
      </c>
      <c r="B188" s="4">
        <v>29.35</v>
      </c>
      <c r="C188" s="2">
        <f ca="1">IFERROR(__xludf.DUMMYFUNCTION("""COMPUTED_VALUE"""),61.89)</f>
        <v>61.89</v>
      </c>
      <c r="D188" s="2">
        <f ca="1">IFERROR(__xludf.DUMMYFUNCTION("""COMPUTED_VALUE"""),298.13)</f>
        <v>298.13</v>
      </c>
      <c r="F188" s="16">
        <f t="shared" si="16"/>
        <v>2.4837427164081886E-2</v>
      </c>
      <c r="G188" s="16">
        <f t="shared" ca="1" si="17"/>
        <v>3.2181401281176372E-2</v>
      </c>
      <c r="H188" s="16">
        <f t="shared" ca="1" si="18"/>
        <v>-2.3476934020254418E-4</v>
      </c>
      <c r="J188" s="38">
        <f t="shared" si="19"/>
        <v>2.475250652916125E-2</v>
      </c>
      <c r="K188" s="38">
        <f t="shared" ca="1" si="20"/>
        <v>3.209648064625574E-2</v>
      </c>
      <c r="L188" s="38">
        <f t="shared" ca="1" si="21"/>
        <v>-3.196899751231791E-4</v>
      </c>
    </row>
    <row r="189" spans="1:12" ht="13.8" thickBot="1" x14ac:dyDescent="0.3">
      <c r="A189" s="12">
        <f ca="1">IFERROR(__xludf.DUMMYFUNCTION("""COMPUTED_VALUE"""),43719.6666666666)</f>
        <v>43719.666666666599</v>
      </c>
      <c r="B189" s="4">
        <v>29.46</v>
      </c>
      <c r="C189" s="2">
        <f ca="1">IFERROR(__xludf.DUMMYFUNCTION("""COMPUTED_VALUE"""),62.27)</f>
        <v>62.27</v>
      </c>
      <c r="D189" s="2">
        <f ca="1">IFERROR(__xludf.DUMMYFUNCTION("""COMPUTED_VALUE"""),300.25)</f>
        <v>300.25</v>
      </c>
      <c r="F189" s="16">
        <f t="shared" si="16"/>
        <v>3.7408647603788259E-3</v>
      </c>
      <c r="G189" s="16">
        <f t="shared" ca="1" si="17"/>
        <v>6.1211531330905072E-3</v>
      </c>
      <c r="H189" s="16">
        <f t="shared" ca="1" si="18"/>
        <v>7.0858279696575854E-3</v>
      </c>
      <c r="J189" s="38">
        <f t="shared" si="19"/>
        <v>3.6559441254581911E-3</v>
      </c>
      <c r="K189" s="38">
        <f t="shared" ca="1" si="20"/>
        <v>6.0362324981698724E-3</v>
      </c>
      <c r="L189" s="38">
        <f t="shared" ca="1" si="21"/>
        <v>7.0009073347369506E-3</v>
      </c>
    </row>
    <row r="190" spans="1:12" ht="13.8" thickBot="1" x14ac:dyDescent="0.3">
      <c r="A190" s="12">
        <f ca="1">IFERROR(__xludf.DUMMYFUNCTION("""COMPUTED_VALUE"""),43720.6666666666)</f>
        <v>43720.666666666599</v>
      </c>
      <c r="B190" s="4">
        <v>29.67</v>
      </c>
      <c r="C190" s="2">
        <f ca="1">IFERROR(__xludf.DUMMYFUNCTION("""COMPUTED_VALUE"""),62.66)</f>
        <v>62.66</v>
      </c>
      <c r="D190" s="2">
        <f ca="1">IFERROR(__xludf.DUMMYFUNCTION("""COMPUTED_VALUE"""),301.29)</f>
        <v>301.29000000000002</v>
      </c>
      <c r="F190" s="16">
        <f t="shared" si="16"/>
        <v>7.1030232682461735E-3</v>
      </c>
      <c r="G190" s="16">
        <f t="shared" ca="1" si="17"/>
        <v>6.2435166396850204E-3</v>
      </c>
      <c r="H190" s="16">
        <f t="shared" ca="1" si="18"/>
        <v>3.45779511326445E-3</v>
      </c>
      <c r="J190" s="38">
        <f t="shared" si="19"/>
        <v>7.0181026333255387E-3</v>
      </c>
      <c r="K190" s="38">
        <f t="shared" ca="1" si="20"/>
        <v>6.1585960047643856E-3</v>
      </c>
      <c r="L190" s="38">
        <f t="shared" ca="1" si="21"/>
        <v>3.3728744783438152E-3</v>
      </c>
    </row>
    <row r="191" spans="1:12" ht="13.8" thickBot="1" x14ac:dyDescent="0.3">
      <c r="A191" s="12">
        <f ca="1">IFERROR(__xludf.DUMMYFUNCTION("""COMPUTED_VALUE"""),43721.6666666666)</f>
        <v>43721.666666666599</v>
      </c>
      <c r="B191" s="4">
        <v>30.17</v>
      </c>
      <c r="C191" s="2">
        <f ca="1">IFERROR(__xludf.DUMMYFUNCTION("""COMPUTED_VALUE"""),62.48)</f>
        <v>62.48</v>
      </c>
      <c r="D191" s="2">
        <f ca="1">IFERROR(__xludf.DUMMYFUNCTION("""COMPUTED_VALUE"""),301.09)</f>
        <v>301.08999999999997</v>
      </c>
      <c r="F191" s="16">
        <f t="shared" si="16"/>
        <v>1.6711618868239193E-2</v>
      </c>
      <c r="G191" s="16">
        <f t="shared" ca="1" si="17"/>
        <v>-2.8767799926151371E-3</v>
      </c>
      <c r="H191" s="16">
        <f t="shared" ca="1" si="18"/>
        <v>-6.6403269480740763E-4</v>
      </c>
      <c r="J191" s="38">
        <f t="shared" si="19"/>
        <v>1.6626698233318558E-2</v>
      </c>
      <c r="K191" s="38">
        <f t="shared" ca="1" si="20"/>
        <v>-2.9617006275357719E-3</v>
      </c>
      <c r="L191" s="38">
        <f t="shared" ca="1" si="21"/>
        <v>-7.4895332972804251E-4</v>
      </c>
    </row>
    <row r="192" spans="1:12" ht="13.8" thickBot="1" x14ac:dyDescent="0.3">
      <c r="A192" s="12">
        <f ca="1">IFERROR(__xludf.DUMMYFUNCTION("""COMPUTED_VALUE"""),43724.6666666666)</f>
        <v>43724.666666666599</v>
      </c>
      <c r="B192" s="4">
        <v>30.13</v>
      </c>
      <c r="C192" s="2">
        <f ca="1">IFERROR(__xludf.DUMMYFUNCTION("""COMPUTED_VALUE"""),63.59)</f>
        <v>63.59</v>
      </c>
      <c r="D192" s="2">
        <f ca="1">IFERROR(__xludf.DUMMYFUNCTION("""COMPUTED_VALUE"""),300.16)</f>
        <v>300.16000000000003</v>
      </c>
      <c r="F192" s="16">
        <f t="shared" si="16"/>
        <v>-1.3267000287598976E-3</v>
      </c>
      <c r="G192" s="16">
        <f t="shared" ca="1" si="17"/>
        <v>1.760971974788602E-2</v>
      </c>
      <c r="H192" s="16">
        <f t="shared" ca="1" si="18"/>
        <v>-3.0935575606900506E-3</v>
      </c>
      <c r="J192" s="38">
        <f t="shared" si="19"/>
        <v>-1.4116206636805326E-3</v>
      </c>
      <c r="K192" s="38">
        <f t="shared" ca="1" si="20"/>
        <v>1.7524799112965384E-2</v>
      </c>
      <c r="L192" s="38">
        <f t="shared" ca="1" si="21"/>
        <v>-3.1784781956106854E-3</v>
      </c>
    </row>
    <row r="193" spans="1:12" ht="13.8" thickBot="1" x14ac:dyDescent="0.3">
      <c r="A193" s="12">
        <f ca="1">IFERROR(__xludf.DUMMYFUNCTION("""COMPUTED_VALUE"""),43725.6666666666)</f>
        <v>43725.666666666599</v>
      </c>
      <c r="B193" s="4">
        <v>29.94</v>
      </c>
      <c r="C193" s="2">
        <f ca="1">IFERROR(__xludf.DUMMYFUNCTION("""COMPUTED_VALUE"""),63.15)</f>
        <v>63.15</v>
      </c>
      <c r="D193" s="2">
        <f ca="1">IFERROR(__xludf.DUMMYFUNCTION("""COMPUTED_VALUE"""),300.92)</f>
        <v>300.92</v>
      </c>
      <c r="F193" s="16">
        <f t="shared" si="16"/>
        <v>-6.3259741507275214E-3</v>
      </c>
      <c r="G193" s="16">
        <f t="shared" ca="1" si="17"/>
        <v>-6.9433764828163271E-3</v>
      </c>
      <c r="H193" s="16">
        <f t="shared" ca="1" si="18"/>
        <v>2.5287828741608811E-3</v>
      </c>
      <c r="J193" s="38">
        <f t="shared" si="19"/>
        <v>-6.4108947856481562E-3</v>
      </c>
      <c r="K193" s="38">
        <f t="shared" ca="1" si="20"/>
        <v>-7.0282971177369619E-3</v>
      </c>
      <c r="L193" s="38">
        <f t="shared" ca="1" si="21"/>
        <v>2.4438622392402463E-3</v>
      </c>
    </row>
    <row r="194" spans="1:12" ht="13.8" thickBot="1" x14ac:dyDescent="0.3">
      <c r="A194" s="12">
        <f ca="1">IFERROR(__xludf.DUMMYFUNCTION("""COMPUTED_VALUE"""),43726.6666666666)</f>
        <v>43726.666666666599</v>
      </c>
      <c r="B194" s="4">
        <v>30</v>
      </c>
      <c r="C194" s="2">
        <f ca="1">IFERROR(__xludf.DUMMYFUNCTION("""COMPUTED_VALUE"""),62.69)</f>
        <v>62.69</v>
      </c>
      <c r="D194" s="2">
        <f ca="1">IFERROR(__xludf.DUMMYFUNCTION("""COMPUTED_VALUE"""),301.1)</f>
        <v>301.10000000000002</v>
      </c>
      <c r="F194" s="16">
        <f t="shared" si="16"/>
        <v>2.0020026706729687E-3</v>
      </c>
      <c r="G194" s="16">
        <f t="shared" ca="1" si="17"/>
        <v>-7.3109035106229733E-3</v>
      </c>
      <c r="H194" s="16">
        <f t="shared" ca="1" si="18"/>
        <v>5.9798679566741846E-4</v>
      </c>
      <c r="J194" s="38">
        <f t="shared" si="19"/>
        <v>1.9170820357523337E-3</v>
      </c>
      <c r="K194" s="38">
        <f t="shared" ca="1" si="20"/>
        <v>-7.395824145543608E-3</v>
      </c>
      <c r="L194" s="38">
        <f t="shared" ca="1" si="21"/>
        <v>5.1306616074678357E-4</v>
      </c>
    </row>
    <row r="195" spans="1:12" ht="13.8" thickBot="1" x14ac:dyDescent="0.3">
      <c r="A195" s="12">
        <f ca="1">IFERROR(__xludf.DUMMYFUNCTION("""COMPUTED_VALUE"""),43727.6666666666)</f>
        <v>43727.666666666599</v>
      </c>
      <c r="B195" s="4">
        <v>29.82</v>
      </c>
      <c r="C195" s="2">
        <f ca="1">IFERROR(__xludf.DUMMYFUNCTION("""COMPUTED_VALUE"""),62.64)</f>
        <v>62.64</v>
      </c>
      <c r="D195" s="2">
        <f ca="1">IFERROR(__xludf.DUMMYFUNCTION("""COMPUTED_VALUE"""),301.08)</f>
        <v>301.08</v>
      </c>
      <c r="F195" s="16">
        <f t="shared" si="16"/>
        <v>-6.0180723255630212E-3</v>
      </c>
      <c r="G195" s="16">
        <f t="shared" ca="1" si="17"/>
        <v>-7.9789360332949209E-4</v>
      </c>
      <c r="H195" s="16">
        <f t="shared" ca="1" si="18"/>
        <v>-6.6425321356996367E-5</v>
      </c>
      <c r="J195" s="38">
        <f t="shared" si="19"/>
        <v>-6.1029929604836559E-3</v>
      </c>
      <c r="K195" s="38">
        <f t="shared" ca="1" si="20"/>
        <v>-8.8281423825012698E-4</v>
      </c>
      <c r="L195" s="38">
        <f t="shared" ca="1" si="21"/>
        <v>-1.5134595627763129E-4</v>
      </c>
    </row>
    <row r="196" spans="1:12" ht="13.8" thickBot="1" x14ac:dyDescent="0.3">
      <c r="A196" s="12">
        <f ca="1">IFERROR(__xludf.DUMMYFUNCTION("""COMPUTED_VALUE"""),43728.6666666666)</f>
        <v>43728.666666666599</v>
      </c>
      <c r="B196" s="4">
        <v>29.59</v>
      </c>
      <c r="C196" s="2">
        <f ca="1">IFERROR(__xludf.DUMMYFUNCTION("""COMPUTED_VALUE"""),63.62)</f>
        <v>63.62</v>
      </c>
      <c r="D196" s="2">
        <f ca="1">IFERROR(__xludf.DUMMYFUNCTION("""COMPUTED_VALUE"""),298.28)</f>
        <v>298.27999999999997</v>
      </c>
      <c r="F196" s="16">
        <f t="shared" si="16"/>
        <v>-7.742842924474109E-3</v>
      </c>
      <c r="G196" s="16">
        <f t="shared" ca="1" si="17"/>
        <v>1.5523834638450336E-2</v>
      </c>
      <c r="H196" s="16">
        <f t="shared" ca="1" si="18"/>
        <v>-9.3433674907372408E-3</v>
      </c>
      <c r="J196" s="38">
        <f t="shared" si="19"/>
        <v>-7.8277635593947438E-3</v>
      </c>
      <c r="K196" s="38">
        <f t="shared" ca="1" si="20"/>
        <v>1.5438914003529701E-2</v>
      </c>
      <c r="L196" s="38">
        <f t="shared" ca="1" si="21"/>
        <v>-9.4282881256578764E-3</v>
      </c>
    </row>
    <row r="197" spans="1:12" ht="13.8" thickBot="1" x14ac:dyDescent="0.3">
      <c r="A197" s="12">
        <f ca="1">IFERROR(__xludf.DUMMYFUNCTION("""COMPUTED_VALUE"""),43731.6666666666)</f>
        <v>43731.666666666599</v>
      </c>
      <c r="B197" s="4">
        <v>29.52</v>
      </c>
      <c r="C197" s="2">
        <f ca="1">IFERROR(__xludf.DUMMYFUNCTION("""COMPUTED_VALUE"""),63.9)</f>
        <v>63.9</v>
      </c>
      <c r="D197" s="2">
        <f ca="1">IFERROR(__xludf.DUMMYFUNCTION("""COMPUTED_VALUE"""),298.21)</f>
        <v>298.20999999999998</v>
      </c>
      <c r="F197" s="16">
        <f t="shared" si="16"/>
        <v>-2.3684666798465532E-3</v>
      </c>
      <c r="G197" s="16">
        <f t="shared" ca="1" si="17"/>
        <v>4.3914750624911491E-3</v>
      </c>
      <c r="H197" s="16">
        <f t="shared" ca="1" si="18"/>
        <v>-2.3470636664936259E-4</v>
      </c>
      <c r="J197" s="38">
        <f t="shared" si="19"/>
        <v>-2.453387314767188E-3</v>
      </c>
      <c r="K197" s="38">
        <f t="shared" ca="1" si="20"/>
        <v>4.3065544275705143E-3</v>
      </c>
      <c r="L197" s="38">
        <f t="shared" ca="1" si="21"/>
        <v>-3.196270015699975E-4</v>
      </c>
    </row>
    <row r="198" spans="1:12" ht="13.8" thickBot="1" x14ac:dyDescent="0.3">
      <c r="A198" s="12">
        <f ca="1">IFERROR(__xludf.DUMMYFUNCTION("""COMPUTED_VALUE"""),43732.6666666666)</f>
        <v>43732.666666666599</v>
      </c>
      <c r="B198" s="4">
        <v>28.94</v>
      </c>
      <c r="C198" s="2">
        <f ca="1">IFERROR(__xludf.DUMMYFUNCTION("""COMPUTED_VALUE"""),63.06)</f>
        <v>63.06</v>
      </c>
      <c r="D198" s="2">
        <f ca="1">IFERROR(__xludf.DUMMYFUNCTION("""COMPUTED_VALUE"""),295.87)</f>
        <v>295.87</v>
      </c>
      <c r="F198" s="16">
        <f t="shared" si="16"/>
        <v>-1.9843278528933913E-2</v>
      </c>
      <c r="G198" s="16">
        <f t="shared" ca="1" si="17"/>
        <v>-1.3232707266574306E-2</v>
      </c>
      <c r="H198" s="16">
        <f t="shared" ca="1" si="18"/>
        <v>-7.8777676458927116E-3</v>
      </c>
      <c r="J198" s="38">
        <f t="shared" si="19"/>
        <v>-1.9928199163854549E-2</v>
      </c>
      <c r="K198" s="38">
        <f t="shared" ca="1" si="20"/>
        <v>-1.3317627901494941E-2</v>
      </c>
      <c r="L198" s="38">
        <f t="shared" ca="1" si="21"/>
        <v>-7.9626882808133473E-3</v>
      </c>
    </row>
    <row r="199" spans="1:12" ht="13.8" thickBot="1" x14ac:dyDescent="0.3">
      <c r="A199" s="12">
        <f ca="1">IFERROR(__xludf.DUMMYFUNCTION("""COMPUTED_VALUE"""),43733.6666666666)</f>
        <v>43733.666666666599</v>
      </c>
      <c r="B199" s="4">
        <v>29.25</v>
      </c>
      <c r="C199" s="2">
        <f ca="1">IFERROR(__xludf.DUMMYFUNCTION("""COMPUTED_VALUE"""),62.35)</f>
        <v>62.35</v>
      </c>
      <c r="D199" s="2">
        <f ca="1">IFERROR(__xludf.DUMMYFUNCTION("""COMPUTED_VALUE"""),297.62)</f>
        <v>297.62</v>
      </c>
      <c r="F199" s="16">
        <f t="shared" si="16"/>
        <v>1.0654852474527599E-2</v>
      </c>
      <c r="G199" s="16">
        <f t="shared" ca="1" si="17"/>
        <v>-1.1322981990869263E-2</v>
      </c>
      <c r="H199" s="16">
        <f t="shared" ca="1" si="18"/>
        <v>5.8973363388522279E-3</v>
      </c>
      <c r="J199" s="38">
        <f t="shared" si="19"/>
        <v>1.0569931839606963E-2</v>
      </c>
      <c r="K199" s="38">
        <f t="shared" ca="1" si="20"/>
        <v>-1.1407902625789898E-2</v>
      </c>
      <c r="L199" s="38">
        <f t="shared" ca="1" si="21"/>
        <v>5.8124157039315932E-3</v>
      </c>
    </row>
    <row r="200" spans="1:12" ht="13.8" thickBot="1" x14ac:dyDescent="0.3">
      <c r="A200" s="12">
        <f ca="1">IFERROR(__xludf.DUMMYFUNCTION("""COMPUTED_VALUE"""),43734.6666666666)</f>
        <v>43734.666666666599</v>
      </c>
      <c r="B200" s="4">
        <v>29.13</v>
      </c>
      <c r="C200" s="2">
        <f ca="1">IFERROR(__xludf.DUMMYFUNCTION("""COMPUTED_VALUE"""),63.06)</f>
        <v>63.06</v>
      </c>
      <c r="D200" s="2">
        <f ca="1">IFERROR(__xludf.DUMMYFUNCTION("""COMPUTED_VALUE"""),297)</f>
        <v>297</v>
      </c>
      <c r="F200" s="16">
        <f t="shared" si="16"/>
        <v>-4.111002706522318E-3</v>
      </c>
      <c r="G200" s="16">
        <f t="shared" ca="1" si="17"/>
        <v>1.132298199086937E-2</v>
      </c>
      <c r="H200" s="16">
        <f t="shared" ca="1" si="18"/>
        <v>-2.0853661992046215E-3</v>
      </c>
      <c r="J200" s="38">
        <f t="shared" si="19"/>
        <v>-4.1959233414429527E-3</v>
      </c>
      <c r="K200" s="38">
        <f t="shared" ca="1" si="20"/>
        <v>1.1238061355948735E-2</v>
      </c>
      <c r="L200" s="38">
        <f t="shared" ca="1" si="21"/>
        <v>-2.1702868341252563E-3</v>
      </c>
    </row>
    <row r="201" spans="1:12" ht="13.8" thickBot="1" x14ac:dyDescent="0.3">
      <c r="A201" s="12">
        <f ca="1">IFERROR(__xludf.DUMMYFUNCTION("""COMPUTED_VALUE"""),43735.6666666666)</f>
        <v>43735.666666666599</v>
      </c>
      <c r="B201" s="4">
        <v>29.35</v>
      </c>
      <c r="C201" s="2">
        <f ca="1">IFERROR(__xludf.DUMMYFUNCTION("""COMPUTED_VALUE"""),63.07)</f>
        <v>63.07</v>
      </c>
      <c r="D201" s="2">
        <f ca="1">IFERROR(__xludf.DUMMYFUNCTION("""COMPUTED_VALUE"""),295.4)</f>
        <v>295.39999999999998</v>
      </c>
      <c r="F201" s="16">
        <f t="shared" si="16"/>
        <v>7.523975302762261E-3</v>
      </c>
      <c r="G201" s="16">
        <f t="shared" ca="1" si="17"/>
        <v>1.585665586451113E-4</v>
      </c>
      <c r="H201" s="16">
        <f t="shared" ca="1" si="18"/>
        <v>-5.4017687054203015E-3</v>
      </c>
      <c r="J201" s="38">
        <f t="shared" si="19"/>
        <v>7.4390546678416263E-3</v>
      </c>
      <c r="K201" s="38">
        <f t="shared" ca="1" si="20"/>
        <v>7.3645923724476389E-5</v>
      </c>
      <c r="L201" s="38">
        <f t="shared" ca="1" si="21"/>
        <v>-5.4866893403409363E-3</v>
      </c>
    </row>
    <row r="202" spans="1:12" ht="13.8" thickBot="1" x14ac:dyDescent="0.3">
      <c r="A202" s="12">
        <f ca="1">IFERROR(__xludf.DUMMYFUNCTION("""COMPUTED_VALUE"""),43738.6666666666)</f>
        <v>43738.666666666599</v>
      </c>
      <c r="B202" s="4">
        <v>29.17</v>
      </c>
      <c r="C202" s="2">
        <f ca="1">IFERROR(__xludf.DUMMYFUNCTION("""COMPUTED_VALUE"""),63.97)</f>
        <v>63.97</v>
      </c>
      <c r="D202" s="2">
        <f ca="1">IFERROR(__xludf.DUMMYFUNCTION("""COMPUTED_VALUE"""),296.77)</f>
        <v>296.77</v>
      </c>
      <c r="F202" s="16">
        <f t="shared" si="16"/>
        <v>-6.1517623944753862E-3</v>
      </c>
      <c r="G202" s="16">
        <f t="shared" ca="1" si="17"/>
        <v>1.4169002786486379E-2</v>
      </c>
      <c r="H202" s="16">
        <f t="shared" ca="1" si="18"/>
        <v>4.6270579200879298E-3</v>
      </c>
      <c r="J202" s="38">
        <f t="shared" si="19"/>
        <v>-6.236683029396021E-3</v>
      </c>
      <c r="K202" s="38">
        <f t="shared" ca="1" si="20"/>
        <v>1.4084082151565744E-2</v>
      </c>
      <c r="L202" s="38">
        <f t="shared" ca="1" si="21"/>
        <v>4.5421372851672951E-3</v>
      </c>
    </row>
    <row r="203" spans="1:12" ht="13.8" thickBot="1" x14ac:dyDescent="0.3">
      <c r="A203" s="12">
        <f ca="1">IFERROR(__xludf.DUMMYFUNCTION("""COMPUTED_VALUE"""),43739.6666666666)</f>
        <v>43739.666666666599</v>
      </c>
      <c r="B203" s="4">
        <v>28.44</v>
      </c>
      <c r="C203" s="2">
        <f ca="1">IFERROR(__xludf.DUMMYFUNCTION("""COMPUTED_VALUE"""),63.66)</f>
        <v>63.66</v>
      </c>
      <c r="D203" s="2">
        <f ca="1">IFERROR(__xludf.DUMMYFUNCTION("""COMPUTED_VALUE"""),293.24)</f>
        <v>293.24</v>
      </c>
      <c r="F203" s="16">
        <f t="shared" si="16"/>
        <v>-2.5344178944589929E-2</v>
      </c>
      <c r="G203" s="16">
        <f t="shared" ca="1" si="17"/>
        <v>-4.857801608099485E-3</v>
      </c>
      <c r="H203" s="16">
        <f t="shared" ca="1" si="18"/>
        <v>-1.1966041661981413E-2</v>
      </c>
      <c r="J203" s="38">
        <f t="shared" si="19"/>
        <v>-2.5429099579510565E-2</v>
      </c>
      <c r="K203" s="38">
        <f t="shared" ca="1" si="20"/>
        <v>-4.9427222430201197E-3</v>
      </c>
      <c r="L203" s="38">
        <f t="shared" ca="1" si="21"/>
        <v>-1.2050962296902048E-2</v>
      </c>
    </row>
    <row r="204" spans="1:12" ht="13.8" thickBot="1" x14ac:dyDescent="0.3">
      <c r="A204" s="12">
        <f ca="1">IFERROR(__xludf.DUMMYFUNCTION("""COMPUTED_VALUE"""),43740.6666666666)</f>
        <v>43740.666666666599</v>
      </c>
      <c r="B204" s="4">
        <v>27.84</v>
      </c>
      <c r="C204" s="2">
        <f ca="1">IFERROR(__xludf.DUMMYFUNCTION("""COMPUTED_VALUE"""),63.23)</f>
        <v>63.23</v>
      </c>
      <c r="D204" s="2">
        <f ca="1">IFERROR(__xludf.DUMMYFUNCTION("""COMPUTED_VALUE"""),288.06)</f>
        <v>288.06</v>
      </c>
      <c r="F204" s="16">
        <f t="shared" si="16"/>
        <v>-2.1322769468821307E-2</v>
      </c>
      <c r="G204" s="16">
        <f t="shared" ca="1" si="17"/>
        <v>-6.7775497834249377E-3</v>
      </c>
      <c r="H204" s="16">
        <f t="shared" ca="1" si="18"/>
        <v>-1.7822594584481911E-2</v>
      </c>
      <c r="J204" s="38">
        <f t="shared" si="19"/>
        <v>-2.1407690103741942E-2</v>
      </c>
      <c r="K204" s="38">
        <f t="shared" ca="1" si="20"/>
        <v>-6.8624704183455724E-3</v>
      </c>
      <c r="L204" s="38">
        <f t="shared" ca="1" si="21"/>
        <v>-1.7907515219402547E-2</v>
      </c>
    </row>
    <row r="205" spans="1:12" ht="13.8" thickBot="1" x14ac:dyDescent="0.3">
      <c r="A205" s="12">
        <f ca="1">IFERROR(__xludf.DUMMYFUNCTION("""COMPUTED_VALUE"""),43741.6666666666)</f>
        <v>43741.666666666599</v>
      </c>
      <c r="B205" s="4">
        <v>27.81</v>
      </c>
      <c r="C205" s="2">
        <f ca="1">IFERROR(__xludf.DUMMYFUNCTION("""COMPUTED_VALUE"""),60.62)</f>
        <v>60.62</v>
      </c>
      <c r="D205" s="2">
        <f ca="1">IFERROR(__xludf.DUMMYFUNCTION("""COMPUTED_VALUE"""),290.42)</f>
        <v>290.42</v>
      </c>
      <c r="F205" s="16">
        <f t="shared" si="16"/>
        <v>-1.0781672203454436E-3</v>
      </c>
      <c r="G205" s="16">
        <f t="shared" ca="1" si="17"/>
        <v>-4.2154000440864724E-2</v>
      </c>
      <c r="H205" s="16">
        <f t="shared" ca="1" si="18"/>
        <v>8.1593593316875278E-3</v>
      </c>
      <c r="J205" s="38">
        <f t="shared" si="19"/>
        <v>-1.1630878552660786E-3</v>
      </c>
      <c r="K205" s="38">
        <f t="shared" ca="1" si="20"/>
        <v>-4.2238921075785356E-2</v>
      </c>
      <c r="L205" s="38">
        <f t="shared" ca="1" si="21"/>
        <v>8.0744386967668922E-3</v>
      </c>
    </row>
    <row r="206" spans="1:12" ht="13.8" thickBot="1" x14ac:dyDescent="0.3">
      <c r="A206" s="12">
        <f ca="1">IFERROR(__xludf.DUMMYFUNCTION("""COMPUTED_VALUE"""),43742.6666666666)</f>
        <v>43742.666666666599</v>
      </c>
      <c r="B206" s="4">
        <v>28.37</v>
      </c>
      <c r="C206" s="2">
        <f ca="1">IFERROR(__xludf.DUMMYFUNCTION("""COMPUTED_VALUE"""),60.15)</f>
        <v>60.15</v>
      </c>
      <c r="D206" s="2">
        <f ca="1">IFERROR(__xludf.DUMMYFUNCTION("""COMPUTED_VALUE"""),294.35)</f>
        <v>294.35000000000002</v>
      </c>
      <c r="F206" s="16">
        <f t="shared" si="16"/>
        <v>1.9936580574886512E-2</v>
      </c>
      <c r="G206" s="16">
        <f t="shared" ca="1" si="17"/>
        <v>-7.7834292089692192E-3</v>
      </c>
      <c r="H206" s="16">
        <f t="shared" ca="1" si="18"/>
        <v>1.3441384371679039E-2</v>
      </c>
      <c r="J206" s="38">
        <f t="shared" si="19"/>
        <v>1.9851659939965877E-2</v>
      </c>
      <c r="K206" s="38">
        <f t="shared" ca="1" si="20"/>
        <v>-7.868349843889854E-3</v>
      </c>
      <c r="L206" s="38">
        <f t="shared" ca="1" si="21"/>
        <v>1.3356463736758403E-2</v>
      </c>
    </row>
    <row r="207" spans="1:12" ht="13.8" thickBot="1" x14ac:dyDescent="0.3">
      <c r="A207" s="12">
        <f ca="1">IFERROR(__xludf.DUMMYFUNCTION("""COMPUTED_VALUE"""),43745.6666666666)</f>
        <v>43745.666666666599</v>
      </c>
      <c r="B207" s="4">
        <v>28.31</v>
      </c>
      <c r="C207" s="2">
        <f ca="1">IFERROR(__xludf.DUMMYFUNCTION("""COMPUTED_VALUE"""),61.68)</f>
        <v>61.68</v>
      </c>
      <c r="D207" s="2">
        <f ca="1">IFERROR(__xludf.DUMMYFUNCTION("""COMPUTED_VALUE"""),293.08)</f>
        <v>293.08</v>
      </c>
      <c r="F207" s="16">
        <f t="shared" si="16"/>
        <v>-2.117149696951837E-3</v>
      </c>
      <c r="G207" s="16">
        <f t="shared" ca="1" si="17"/>
        <v>2.5118286834386116E-2</v>
      </c>
      <c r="H207" s="16">
        <f t="shared" ca="1" si="18"/>
        <v>-4.3239261825074272E-3</v>
      </c>
      <c r="J207" s="38">
        <f t="shared" si="19"/>
        <v>-2.2020703318724718E-3</v>
      </c>
      <c r="K207" s="38">
        <f t="shared" ca="1" si="20"/>
        <v>2.503336619946548E-2</v>
      </c>
      <c r="L207" s="38">
        <f t="shared" ca="1" si="21"/>
        <v>-4.408846817428062E-3</v>
      </c>
    </row>
    <row r="208" spans="1:12" ht="13.8" thickBot="1" x14ac:dyDescent="0.3">
      <c r="A208" s="12">
        <f ca="1">IFERROR(__xludf.DUMMYFUNCTION("""COMPUTED_VALUE"""),43746.6666666666)</f>
        <v>43746.666666666599</v>
      </c>
      <c r="B208" s="4">
        <v>27.63</v>
      </c>
      <c r="C208" s="2">
        <f ca="1">IFERROR(__xludf.DUMMYFUNCTION("""COMPUTED_VALUE"""),62.18)</f>
        <v>62.18</v>
      </c>
      <c r="D208" s="2">
        <f ca="1">IFERROR(__xludf.DUMMYFUNCTION("""COMPUTED_VALUE"""),288.53)</f>
        <v>288.52999999999997</v>
      </c>
      <c r="F208" s="16">
        <f t="shared" si="16"/>
        <v>-2.4312960188483078E-2</v>
      </c>
      <c r="G208" s="16">
        <f t="shared" ca="1" si="17"/>
        <v>8.0736753755336742E-3</v>
      </c>
      <c r="H208" s="16">
        <f t="shared" ca="1" si="18"/>
        <v>-1.5646542614610275E-2</v>
      </c>
      <c r="J208" s="38">
        <f t="shared" si="19"/>
        <v>-2.4397880823403714E-2</v>
      </c>
      <c r="K208" s="38">
        <f t="shared" ca="1" si="20"/>
        <v>7.9887547406130386E-3</v>
      </c>
      <c r="L208" s="38">
        <f t="shared" ca="1" si="21"/>
        <v>-1.5731463249530911E-2</v>
      </c>
    </row>
    <row r="209" spans="1:12" ht="13.8" thickBot="1" x14ac:dyDescent="0.3">
      <c r="A209" s="12">
        <f ca="1">IFERROR(__xludf.DUMMYFUNCTION("""COMPUTED_VALUE"""),43747.6666666666)</f>
        <v>43747.666666666599</v>
      </c>
      <c r="B209" s="4">
        <v>27.89</v>
      </c>
      <c r="C209" s="2">
        <f ca="1">IFERROR(__xludf.DUMMYFUNCTION("""COMPUTED_VALUE"""),60.61)</f>
        <v>60.61</v>
      </c>
      <c r="D209" s="2">
        <f ca="1">IFERROR(__xludf.DUMMYFUNCTION("""COMPUTED_VALUE"""),291.27)</f>
        <v>291.27</v>
      </c>
      <c r="F209" s="16">
        <f t="shared" ref="F209:F266" si="22">LN(B209/B208)</f>
        <v>9.3660627040724215E-3</v>
      </c>
      <c r="G209" s="16">
        <f t="shared" ref="G209:G266" ca="1" si="23">LN(C209/C208)</f>
        <v>-2.5573508667414067E-2</v>
      </c>
      <c r="H209" s="16">
        <f t="shared" ref="H209:H265" ca="1" si="24">LN(D209/D208)</f>
        <v>9.4516053730103675E-3</v>
      </c>
      <c r="J209" s="38">
        <f t="shared" ref="J209:J266" si="25">F209-$B$9</f>
        <v>9.2811420691517859E-3</v>
      </c>
      <c r="K209" s="38">
        <f t="shared" ref="K209:K266" ca="1" si="26">G209-$B$9</f>
        <v>-2.5658429302334702E-2</v>
      </c>
      <c r="L209" s="38">
        <f t="shared" ref="L209:L266" ca="1" si="27">H209-$B$9</f>
        <v>9.3666847380897318E-3</v>
      </c>
    </row>
    <row r="210" spans="1:12" ht="13.8" thickBot="1" x14ac:dyDescent="0.3">
      <c r="A210" s="12">
        <f ca="1">IFERROR(__xludf.DUMMYFUNCTION("""COMPUTED_VALUE"""),43748.6666666666)</f>
        <v>43748.666666666599</v>
      </c>
      <c r="B210" s="4">
        <v>28.45</v>
      </c>
      <c r="C210" s="2">
        <f ca="1">IFERROR(__xludf.DUMMYFUNCTION("""COMPUTED_VALUE"""),61.25)</f>
        <v>61.25</v>
      </c>
      <c r="D210" s="2">
        <f ca="1">IFERROR(__xludf.DUMMYFUNCTION("""COMPUTED_VALUE"""),293.24)</f>
        <v>293.24</v>
      </c>
      <c r="F210" s="16">
        <f t="shared" si="22"/>
        <v>1.9879958932942223E-2</v>
      </c>
      <c r="G210" s="16">
        <f t="shared" ca="1" si="23"/>
        <v>1.0503953461642757E-2</v>
      </c>
      <c r="H210" s="16">
        <f t="shared" ca="1" si="24"/>
        <v>6.7407143052227794E-3</v>
      </c>
      <c r="J210" s="38">
        <f t="shared" si="25"/>
        <v>1.9795038298021587E-2</v>
      </c>
      <c r="K210" s="38">
        <f t="shared" ca="1" si="26"/>
        <v>1.0419032826722121E-2</v>
      </c>
      <c r="L210" s="38">
        <f t="shared" ca="1" si="27"/>
        <v>6.6557936703021446E-3</v>
      </c>
    </row>
    <row r="211" spans="1:12" ht="13.8" thickBot="1" x14ac:dyDescent="0.3">
      <c r="A211" s="12">
        <f ca="1">IFERROR(__xludf.DUMMYFUNCTION("""COMPUTED_VALUE"""),43749.6666666666)</f>
        <v>43749.666666666599</v>
      </c>
      <c r="B211" s="4">
        <v>28.91</v>
      </c>
      <c r="C211" s="2">
        <f ca="1">IFERROR(__xludf.DUMMYFUNCTION("""COMPUTED_VALUE"""),62.74)</f>
        <v>62.74</v>
      </c>
      <c r="D211" s="2">
        <f ca="1">IFERROR(__xludf.DUMMYFUNCTION("""COMPUTED_VALUE"""),296.28)</f>
        <v>296.27999999999997</v>
      </c>
      <c r="F211" s="16">
        <f t="shared" si="22"/>
        <v>1.6039395455914693E-2</v>
      </c>
      <c r="G211" s="16">
        <f t="shared" ca="1" si="23"/>
        <v>2.4035353337695707E-2</v>
      </c>
      <c r="H211" s="16">
        <f t="shared" ca="1" si="24"/>
        <v>1.031356678970247E-2</v>
      </c>
      <c r="J211" s="38">
        <f t="shared" si="25"/>
        <v>1.5954474820994057E-2</v>
      </c>
      <c r="K211" s="38">
        <f t="shared" ca="1" si="26"/>
        <v>2.3950432702775071E-2</v>
      </c>
      <c r="L211" s="38">
        <f t="shared" ca="1" si="27"/>
        <v>1.0228646154781834E-2</v>
      </c>
    </row>
    <row r="212" spans="1:12" ht="13.8" thickBot="1" x14ac:dyDescent="0.3">
      <c r="A212" s="12">
        <f ca="1">IFERROR(__xludf.DUMMYFUNCTION("""COMPUTED_VALUE"""),43752.6666666666)</f>
        <v>43752.666666666599</v>
      </c>
      <c r="B212" s="4">
        <v>29.14</v>
      </c>
      <c r="C212" s="2">
        <f ca="1">IFERROR(__xludf.DUMMYFUNCTION("""COMPUTED_VALUE"""),64.12)</f>
        <v>64.12</v>
      </c>
      <c r="D212" s="2">
        <f ca="1">IFERROR(__xludf.DUMMYFUNCTION("""COMPUTED_VALUE"""),295.95)</f>
        <v>295.95</v>
      </c>
      <c r="F212" s="16">
        <f t="shared" si="22"/>
        <v>7.9242447388040375E-3</v>
      </c>
      <c r="G212" s="16">
        <f t="shared" ca="1" si="23"/>
        <v>2.175712497882025E-2</v>
      </c>
      <c r="H212" s="16">
        <f t="shared" ca="1" si="24"/>
        <v>-1.1144320083543019E-3</v>
      </c>
      <c r="J212" s="38">
        <f t="shared" si="25"/>
        <v>7.8393241038834018E-3</v>
      </c>
      <c r="K212" s="38">
        <f t="shared" ca="1" si="26"/>
        <v>2.1672204343899614E-2</v>
      </c>
      <c r="L212" s="38">
        <f t="shared" ca="1" si="27"/>
        <v>-1.1993526432749369E-3</v>
      </c>
    </row>
    <row r="213" spans="1:12" ht="13.8" thickBot="1" x14ac:dyDescent="0.3">
      <c r="A213" s="12">
        <f ca="1">IFERROR(__xludf.DUMMYFUNCTION("""COMPUTED_VALUE"""),43753.6666666666)</f>
        <v>43753.666666666599</v>
      </c>
      <c r="B213" s="4">
        <v>29.73</v>
      </c>
      <c r="C213" s="2">
        <f ca="1">IFERROR(__xludf.DUMMYFUNCTION("""COMPUTED_VALUE"""),63.67)</f>
        <v>63.67</v>
      </c>
      <c r="D213" s="2">
        <f ca="1">IFERROR(__xludf.DUMMYFUNCTION("""COMPUTED_VALUE"""),298.88)</f>
        <v>298.88</v>
      </c>
      <c r="F213" s="16">
        <f t="shared" si="22"/>
        <v>2.0044836242947516E-2</v>
      </c>
      <c r="G213" s="16">
        <f t="shared" ca="1" si="23"/>
        <v>-7.0428337124182547E-3</v>
      </c>
      <c r="H213" s="16">
        <f t="shared" ca="1" si="24"/>
        <v>9.851633903743719E-3</v>
      </c>
      <c r="J213" s="38">
        <f t="shared" si="25"/>
        <v>1.9959915608026881E-2</v>
      </c>
      <c r="K213" s="38">
        <f t="shared" ca="1" si="26"/>
        <v>-7.1277543473388895E-3</v>
      </c>
      <c r="L213" s="38">
        <f t="shared" ca="1" si="27"/>
        <v>9.7667132688230834E-3</v>
      </c>
    </row>
    <row r="214" spans="1:12" ht="13.8" thickBot="1" x14ac:dyDescent="0.3">
      <c r="A214" s="12">
        <f ca="1">IFERROR(__xludf.DUMMYFUNCTION("""COMPUTED_VALUE"""),43754.6666666666)</f>
        <v>43754.666666666599</v>
      </c>
      <c r="B214" s="4">
        <v>30.17</v>
      </c>
      <c r="C214" s="2">
        <f ca="1">IFERROR(__xludf.DUMMYFUNCTION("""COMPUTED_VALUE"""),65)</f>
        <v>65</v>
      </c>
      <c r="D214" s="2">
        <f ca="1">IFERROR(__xludf.DUMMYFUNCTION("""COMPUTED_VALUE"""),298.4)</f>
        <v>298.39999999999998</v>
      </c>
      <c r="F214" s="16">
        <f t="shared" si="22"/>
        <v>1.4691416160963439E-2</v>
      </c>
      <c r="G214" s="16">
        <f t="shared" ca="1" si="23"/>
        <v>2.0673775866703142E-2</v>
      </c>
      <c r="H214" s="16">
        <f t="shared" ca="1" si="24"/>
        <v>-1.6072867108720265E-3</v>
      </c>
      <c r="J214" s="38">
        <f t="shared" si="25"/>
        <v>1.4606495526042804E-2</v>
      </c>
      <c r="K214" s="38">
        <f t="shared" ca="1" si="26"/>
        <v>2.0588855231782506E-2</v>
      </c>
      <c r="L214" s="38">
        <f t="shared" ca="1" si="27"/>
        <v>-1.6922073457926615E-3</v>
      </c>
    </row>
    <row r="215" spans="1:12" ht="13.8" thickBot="1" x14ac:dyDescent="0.3">
      <c r="A215" s="12">
        <f ca="1">IFERROR(__xludf.DUMMYFUNCTION("""COMPUTED_VALUE"""),43755.6666666666)</f>
        <v>43755.666666666599</v>
      </c>
      <c r="B215" s="4">
        <v>30.26</v>
      </c>
      <c r="C215" s="2">
        <f ca="1">IFERROR(__xludf.DUMMYFUNCTION("""COMPUTED_VALUE"""),63.21)</f>
        <v>63.21</v>
      </c>
      <c r="D215" s="2">
        <f ca="1">IFERROR(__xludf.DUMMYFUNCTION("""COMPUTED_VALUE"""),299.28)</f>
        <v>299.27999999999997</v>
      </c>
      <c r="F215" s="16">
        <f t="shared" si="22"/>
        <v>2.9786551892401134E-3</v>
      </c>
      <c r="G215" s="16">
        <f t="shared" ca="1" si="23"/>
        <v>-2.7924753411429727E-2</v>
      </c>
      <c r="H215" s="16">
        <f t="shared" ca="1" si="24"/>
        <v>2.9447217102848522E-3</v>
      </c>
      <c r="J215" s="38">
        <f t="shared" si="25"/>
        <v>2.8937345543194786E-3</v>
      </c>
      <c r="K215" s="38">
        <f t="shared" ca="1" si="26"/>
        <v>-2.8009674046350363E-2</v>
      </c>
      <c r="L215" s="38">
        <f t="shared" ca="1" si="27"/>
        <v>2.8598010753642174E-3</v>
      </c>
    </row>
    <row r="216" spans="1:12" ht="13.8" thickBot="1" x14ac:dyDescent="0.3">
      <c r="A216" s="12">
        <f ca="1">IFERROR(__xludf.DUMMYFUNCTION("""COMPUTED_VALUE"""),43756.6666666666)</f>
        <v>43756.666666666599</v>
      </c>
      <c r="B216" s="4">
        <v>30.35</v>
      </c>
      <c r="C216" s="2">
        <f ca="1">IFERROR(__xludf.DUMMYFUNCTION("""COMPUTED_VALUE"""),62.56)</f>
        <v>62.56</v>
      </c>
      <c r="D216" s="2">
        <f ca="1">IFERROR(__xludf.DUMMYFUNCTION("""COMPUTED_VALUE"""),297.97)</f>
        <v>297.97000000000003</v>
      </c>
      <c r="F216" s="16">
        <f t="shared" si="22"/>
        <v>2.9698091452974354E-3</v>
      </c>
      <c r="G216" s="16">
        <f t="shared" ca="1" si="23"/>
        <v>-1.0336420247151709E-2</v>
      </c>
      <c r="H216" s="16">
        <f t="shared" ca="1" si="24"/>
        <v>-4.3867797431051047E-3</v>
      </c>
      <c r="J216" s="38">
        <f t="shared" si="25"/>
        <v>2.8848885103768007E-3</v>
      </c>
      <c r="K216" s="38">
        <f t="shared" ca="1" si="26"/>
        <v>-1.0421340882072345E-2</v>
      </c>
      <c r="L216" s="38">
        <f t="shared" ca="1" si="27"/>
        <v>-4.4717003780257395E-3</v>
      </c>
    </row>
    <row r="217" spans="1:12" ht="13.8" thickBot="1" x14ac:dyDescent="0.3">
      <c r="A217" s="12">
        <f ca="1">IFERROR(__xludf.DUMMYFUNCTION("""COMPUTED_VALUE"""),43759.6666666666)</f>
        <v>43759.666666666599</v>
      </c>
      <c r="B217" s="4">
        <v>31.02</v>
      </c>
      <c r="C217" s="2">
        <f ca="1">IFERROR(__xludf.DUMMYFUNCTION("""COMPUTED_VALUE"""),62.56)</f>
        <v>62.56</v>
      </c>
      <c r="D217" s="2">
        <f ca="1">IFERROR(__xludf.DUMMYFUNCTION("""COMPUTED_VALUE"""),299.99)</f>
        <v>299.99</v>
      </c>
      <c r="F217" s="16">
        <f t="shared" si="22"/>
        <v>2.1835640242885385E-2</v>
      </c>
      <c r="G217" s="16">
        <f t="shared" ca="1" si="23"/>
        <v>0</v>
      </c>
      <c r="H217" s="16">
        <f t="shared" ca="1" si="24"/>
        <v>6.7563304705143658E-3</v>
      </c>
      <c r="J217" s="38">
        <f t="shared" si="25"/>
        <v>2.175071960796475E-2</v>
      </c>
      <c r="K217" s="38">
        <f t="shared" ca="1" si="26"/>
        <v>-8.4920634920634914E-5</v>
      </c>
      <c r="L217" s="38">
        <f t="shared" ca="1" si="27"/>
        <v>6.671409835593731E-3</v>
      </c>
    </row>
    <row r="218" spans="1:12" ht="13.8" thickBot="1" x14ac:dyDescent="0.3">
      <c r="A218" s="12">
        <f ca="1">IFERROR(__xludf.DUMMYFUNCTION("""COMPUTED_VALUE"""),43760.6666666666)</f>
        <v>43760.666666666599</v>
      </c>
      <c r="B218" s="4">
        <v>31.2</v>
      </c>
      <c r="C218" s="2">
        <f ca="1">IFERROR(__xludf.DUMMYFUNCTION("""COMPUTED_VALUE"""),64.21)</f>
        <v>64.209999999999994</v>
      </c>
      <c r="D218" s="2">
        <f ca="1">IFERROR(__xludf.DUMMYFUNCTION("""COMPUTED_VALUE"""),299.01)</f>
        <v>299.01</v>
      </c>
      <c r="F218" s="16">
        <f t="shared" si="22"/>
        <v>5.7859370670439265E-3</v>
      </c>
      <c r="G218" s="16">
        <f t="shared" ca="1" si="23"/>
        <v>2.6032865568901147E-2</v>
      </c>
      <c r="H218" s="16">
        <f t="shared" ca="1" si="24"/>
        <v>-3.2721231198253905E-3</v>
      </c>
      <c r="J218" s="38">
        <f t="shared" si="25"/>
        <v>5.7010164321232917E-3</v>
      </c>
      <c r="K218" s="38">
        <f t="shared" ca="1" si="26"/>
        <v>2.5947944933980512E-2</v>
      </c>
      <c r="L218" s="38">
        <f t="shared" ca="1" si="27"/>
        <v>-3.3570437547460253E-3</v>
      </c>
    </row>
    <row r="219" spans="1:12" ht="13.8" thickBot="1" x14ac:dyDescent="0.3">
      <c r="A219" s="12">
        <f ca="1">IFERROR(__xludf.DUMMYFUNCTION("""COMPUTED_VALUE"""),43761.6666666666)</f>
        <v>43761.666666666599</v>
      </c>
      <c r="B219" s="4">
        <v>31.42</v>
      </c>
      <c r="C219" s="2">
        <f ca="1">IFERROR(__xludf.DUMMYFUNCTION("""COMPUTED_VALUE"""),64.72)</f>
        <v>64.72</v>
      </c>
      <c r="D219" s="2">
        <f ca="1">IFERROR(__xludf.DUMMYFUNCTION("""COMPUTED_VALUE"""),299.88)</f>
        <v>299.88</v>
      </c>
      <c r="F219" s="16">
        <f t="shared" si="22"/>
        <v>7.0265380120384021E-3</v>
      </c>
      <c r="G219" s="16">
        <f t="shared" ca="1" si="23"/>
        <v>7.9113109442792498E-3</v>
      </c>
      <c r="H219" s="16">
        <f t="shared" ca="1" si="24"/>
        <v>2.9053769873867335E-3</v>
      </c>
      <c r="J219" s="38">
        <f t="shared" si="25"/>
        <v>6.9416173771177673E-3</v>
      </c>
      <c r="K219" s="38">
        <f t="shared" ca="1" si="26"/>
        <v>7.8263903093586142E-3</v>
      </c>
      <c r="L219" s="38">
        <f t="shared" ca="1" si="27"/>
        <v>2.8204563524660987E-3</v>
      </c>
    </row>
    <row r="220" spans="1:12" ht="13.8" thickBot="1" x14ac:dyDescent="0.3">
      <c r="A220" s="12">
        <f ca="1">IFERROR(__xludf.DUMMYFUNCTION("""COMPUTED_VALUE"""),43762.6666666666)</f>
        <v>43762.666666666599</v>
      </c>
      <c r="B220" s="4">
        <v>31.36</v>
      </c>
      <c r="C220" s="2">
        <f ca="1">IFERROR(__xludf.DUMMYFUNCTION("""COMPUTED_VALUE"""),64.84)</f>
        <v>64.84</v>
      </c>
      <c r="D220" s="2">
        <f ca="1">IFERROR(__xludf.DUMMYFUNCTION("""COMPUTED_VALUE"""),300.37)</f>
        <v>300.37</v>
      </c>
      <c r="F220" s="16">
        <f t="shared" si="22"/>
        <v>-1.9114373452680396E-3</v>
      </c>
      <c r="G220" s="16">
        <f t="shared" ca="1" si="23"/>
        <v>1.8524241172390649E-3</v>
      </c>
      <c r="H220" s="16">
        <f t="shared" ca="1" si="24"/>
        <v>1.6326534238853118E-3</v>
      </c>
      <c r="J220" s="38">
        <f t="shared" si="25"/>
        <v>-1.9963579801886744E-3</v>
      </c>
      <c r="K220" s="38">
        <f t="shared" ca="1" si="26"/>
        <v>1.7675034823184299E-3</v>
      </c>
      <c r="L220" s="38">
        <f t="shared" ca="1" si="27"/>
        <v>1.5477327889646768E-3</v>
      </c>
    </row>
    <row r="221" spans="1:12" ht="13.8" thickBot="1" x14ac:dyDescent="0.3">
      <c r="A221" s="12">
        <f ca="1">IFERROR(__xludf.DUMMYFUNCTION("""COMPUTED_VALUE"""),43763.6666666666)</f>
        <v>43763.666666666599</v>
      </c>
      <c r="B221" s="4">
        <v>31.72</v>
      </c>
      <c r="C221" s="2">
        <f ca="1">IFERROR(__xludf.DUMMYFUNCTION("""COMPUTED_VALUE"""),65.19)</f>
        <v>65.19</v>
      </c>
      <c r="D221" s="2">
        <f ca="1">IFERROR(__xludf.DUMMYFUNCTION("""COMPUTED_VALUE"""),301.6)</f>
        <v>301.60000000000002</v>
      </c>
      <c r="F221" s="16">
        <f t="shared" si="22"/>
        <v>1.1414201284440191E-2</v>
      </c>
      <c r="G221" s="16">
        <f t="shared" ca="1" si="23"/>
        <v>5.3833860689724324E-3</v>
      </c>
      <c r="H221" s="16">
        <f t="shared" ca="1" si="24"/>
        <v>4.0865880750544379E-3</v>
      </c>
      <c r="J221" s="38">
        <f t="shared" si="25"/>
        <v>1.1329280649519555E-2</v>
      </c>
      <c r="K221" s="38">
        <f t="shared" ca="1" si="26"/>
        <v>5.2984654340517976E-3</v>
      </c>
      <c r="L221" s="38">
        <f t="shared" ca="1" si="27"/>
        <v>4.0016674401338031E-3</v>
      </c>
    </row>
    <row r="222" spans="1:12" ht="13.8" thickBot="1" x14ac:dyDescent="0.3">
      <c r="A222" s="12">
        <f ca="1">IFERROR(__xludf.DUMMYFUNCTION("""COMPUTED_VALUE"""),43766.6666666666)</f>
        <v>43766.666666666599</v>
      </c>
      <c r="B222" s="4">
        <v>31.84</v>
      </c>
      <c r="C222" s="2">
        <f ca="1">IFERROR(__xludf.DUMMYFUNCTION("""COMPUTED_VALUE"""),65.83)</f>
        <v>65.83</v>
      </c>
      <c r="D222" s="2">
        <f ca="1">IFERROR(__xludf.DUMMYFUNCTION("""COMPUTED_VALUE"""),303.3)</f>
        <v>303.3</v>
      </c>
      <c r="F222" s="16">
        <f t="shared" si="22"/>
        <v>3.7759642095351359E-3</v>
      </c>
      <c r="G222" s="16">
        <f t="shared" ca="1" si="23"/>
        <v>9.769578543337468E-3</v>
      </c>
      <c r="H222" s="16">
        <f t="shared" ca="1" si="24"/>
        <v>5.6207785607343651E-3</v>
      </c>
      <c r="J222" s="38">
        <f t="shared" si="25"/>
        <v>3.6910435746145011E-3</v>
      </c>
      <c r="K222" s="38">
        <f t="shared" ca="1" si="26"/>
        <v>9.6846579084168324E-3</v>
      </c>
      <c r="L222" s="38">
        <f t="shared" ca="1" si="27"/>
        <v>5.5358579258137303E-3</v>
      </c>
    </row>
    <row r="223" spans="1:12" ht="13.8" thickBot="1" x14ac:dyDescent="0.3">
      <c r="A223" s="12">
        <f ca="1">IFERROR(__xludf.DUMMYFUNCTION("""COMPUTED_VALUE"""),43767.6666666666)</f>
        <v>43767.666666666599</v>
      </c>
      <c r="B223" s="4">
        <v>32.07</v>
      </c>
      <c r="C223" s="2">
        <f ca="1">IFERROR(__xludf.DUMMYFUNCTION("""COMPUTED_VALUE"""),66.79)</f>
        <v>66.790000000000006</v>
      </c>
      <c r="D223" s="2">
        <f ca="1">IFERROR(__xludf.DUMMYFUNCTION("""COMPUTED_VALUE"""),303.21)</f>
        <v>303.20999999999998</v>
      </c>
      <c r="F223" s="16">
        <f t="shared" si="22"/>
        <v>7.1976527288813768E-3</v>
      </c>
      <c r="G223" s="16">
        <f t="shared" ca="1" si="23"/>
        <v>1.4477707257759471E-2</v>
      </c>
      <c r="H223" s="16">
        <f t="shared" ca="1" si="24"/>
        <v>-2.9677993985466902E-4</v>
      </c>
      <c r="J223" s="38">
        <f t="shared" si="25"/>
        <v>7.112732093960742E-3</v>
      </c>
      <c r="K223" s="38">
        <f t="shared" ca="1" si="26"/>
        <v>1.4392786622838835E-2</v>
      </c>
      <c r="L223" s="38">
        <f t="shared" ca="1" si="27"/>
        <v>-3.8170057477530397E-4</v>
      </c>
    </row>
    <row r="224" spans="1:12" ht="13.8" thickBot="1" x14ac:dyDescent="0.3">
      <c r="A224" s="12">
        <f ca="1">IFERROR(__xludf.DUMMYFUNCTION("""COMPUTED_VALUE"""),43768.6666666666)</f>
        <v>43768.666666666599</v>
      </c>
      <c r="B224" s="4">
        <v>31.62</v>
      </c>
      <c r="C224" s="2">
        <f ca="1">IFERROR(__xludf.DUMMYFUNCTION("""COMPUTED_VALUE"""),65.84)</f>
        <v>65.84</v>
      </c>
      <c r="D224" s="2">
        <f ca="1">IFERROR(__xludf.DUMMYFUNCTION("""COMPUTED_VALUE"""),304.14)</f>
        <v>304.14</v>
      </c>
      <c r="F224" s="16">
        <f t="shared" si="22"/>
        <v>-1.4131181923737586E-2</v>
      </c>
      <c r="G224" s="16">
        <f t="shared" ca="1" si="23"/>
        <v>-1.4325812368730298E-2</v>
      </c>
      <c r="H224" s="16">
        <f t="shared" ca="1" si="24"/>
        <v>3.0624869576321482E-3</v>
      </c>
      <c r="J224" s="38">
        <f t="shared" si="25"/>
        <v>-1.4216102558658222E-2</v>
      </c>
      <c r="K224" s="38">
        <f t="shared" ca="1" si="26"/>
        <v>-1.4410733003650934E-2</v>
      </c>
      <c r="L224" s="38">
        <f t="shared" ca="1" si="27"/>
        <v>2.9775663227115134E-3</v>
      </c>
    </row>
    <row r="225" spans="1:12" ht="13.8" thickBot="1" x14ac:dyDescent="0.3">
      <c r="A225" s="12">
        <f ca="1">IFERROR(__xludf.DUMMYFUNCTION("""COMPUTED_VALUE"""),43769.6666666666)</f>
        <v>43769.666666666599</v>
      </c>
      <c r="B225" s="4">
        <v>31.27</v>
      </c>
      <c r="C225" s="2">
        <f ca="1">IFERROR(__xludf.DUMMYFUNCTION("""COMPUTED_VALUE"""),65.17)</f>
        <v>65.17</v>
      </c>
      <c r="D225" s="2">
        <f ca="1">IFERROR(__xludf.DUMMYFUNCTION("""COMPUTED_VALUE"""),303.33)</f>
        <v>303.33</v>
      </c>
      <c r="F225" s="16">
        <f t="shared" si="22"/>
        <v>-1.1130660311576078E-2</v>
      </c>
      <c r="G225" s="16">
        <f t="shared" ca="1" si="23"/>
        <v>-1.0228316024525426E-2</v>
      </c>
      <c r="H225" s="16">
        <f t="shared" ca="1" si="24"/>
        <v>-2.6667999408955855E-3</v>
      </c>
      <c r="J225" s="38">
        <f t="shared" si="25"/>
        <v>-1.1215580946496714E-2</v>
      </c>
      <c r="K225" s="38">
        <f t="shared" ca="1" si="26"/>
        <v>-1.0313236659446062E-2</v>
      </c>
      <c r="L225" s="38">
        <f t="shared" ca="1" si="27"/>
        <v>-2.7517205758162203E-3</v>
      </c>
    </row>
    <row r="226" spans="1:12" ht="13.8" thickBot="1" x14ac:dyDescent="0.3">
      <c r="A226" s="12">
        <f ca="1">IFERROR(__xludf.DUMMYFUNCTION("""COMPUTED_VALUE"""),43770.6666666666)</f>
        <v>43770.666666666599</v>
      </c>
      <c r="B226" s="4">
        <v>31.8</v>
      </c>
      <c r="C226" s="2">
        <f ca="1">IFERROR(__xludf.DUMMYFUNCTION("""COMPUTED_VALUE"""),64.32)</f>
        <v>64.319999999999993</v>
      </c>
      <c r="D226" s="2">
        <f ca="1">IFERROR(__xludf.DUMMYFUNCTION("""COMPUTED_VALUE"""),306.14)</f>
        <v>306.14</v>
      </c>
      <c r="F226" s="16">
        <f t="shared" si="22"/>
        <v>1.6807118316381191E-2</v>
      </c>
      <c r="G226" s="16">
        <f t="shared" ca="1" si="23"/>
        <v>-1.3128615473578215E-2</v>
      </c>
      <c r="H226" s="16">
        <f t="shared" ca="1" si="24"/>
        <v>9.2211918921436924E-3</v>
      </c>
      <c r="J226" s="38">
        <f t="shared" si="25"/>
        <v>1.6722197681460556E-2</v>
      </c>
      <c r="K226" s="38">
        <f t="shared" ca="1" si="26"/>
        <v>-1.321353610849885E-2</v>
      </c>
      <c r="L226" s="38">
        <f t="shared" ca="1" si="27"/>
        <v>9.1362712572230567E-3</v>
      </c>
    </row>
    <row r="227" spans="1:12" ht="13.8" thickBot="1" x14ac:dyDescent="0.3">
      <c r="A227" s="12">
        <f ca="1">IFERROR(__xludf.DUMMYFUNCTION("""COMPUTED_VALUE"""),43773.6666666666)</f>
        <v>43773.666666666599</v>
      </c>
      <c r="B227" s="4">
        <v>32.4</v>
      </c>
      <c r="C227" s="2">
        <f ca="1">IFERROR(__xludf.DUMMYFUNCTION("""COMPUTED_VALUE"""),65.5)</f>
        <v>65.5</v>
      </c>
      <c r="D227" s="2">
        <f ca="1">IFERROR(__xludf.DUMMYFUNCTION("""COMPUTED_VALUE"""),307.37)</f>
        <v>307.37</v>
      </c>
      <c r="F227" s="16">
        <f t="shared" si="22"/>
        <v>1.8692133012152546E-2</v>
      </c>
      <c r="G227" s="16">
        <f t="shared" ca="1" si="23"/>
        <v>1.8179517770495406E-2</v>
      </c>
      <c r="H227" s="16">
        <f t="shared" ca="1" si="24"/>
        <v>4.0097199653783494E-3</v>
      </c>
      <c r="J227" s="38">
        <f t="shared" si="25"/>
        <v>1.860721237723191E-2</v>
      </c>
      <c r="K227" s="38">
        <f t="shared" ca="1" si="26"/>
        <v>1.8094597135574771E-2</v>
      </c>
      <c r="L227" s="38">
        <f t="shared" ca="1" si="27"/>
        <v>3.9247993304577147E-3</v>
      </c>
    </row>
    <row r="228" spans="1:12" ht="13.8" thickBot="1" x14ac:dyDescent="0.3">
      <c r="A228" s="12">
        <f ca="1">IFERROR(__xludf.DUMMYFUNCTION("""COMPUTED_VALUE"""),43774.6666666666)</f>
        <v>43774.666666666599</v>
      </c>
      <c r="B228" s="4">
        <v>32.82</v>
      </c>
      <c r="C228" s="2">
        <f ca="1">IFERROR(__xludf.DUMMYFUNCTION("""COMPUTED_VALUE"""),66.97)</f>
        <v>66.97</v>
      </c>
      <c r="D228" s="2">
        <f ca="1">IFERROR(__xludf.DUMMYFUNCTION("""COMPUTED_VALUE"""),307.03)</f>
        <v>307.02999999999997</v>
      </c>
      <c r="F228" s="16">
        <f t="shared" si="22"/>
        <v>1.2879662863661238E-2</v>
      </c>
      <c r="G228" s="16">
        <f t="shared" ca="1" si="23"/>
        <v>2.2194615280752499E-2</v>
      </c>
      <c r="H228" s="16">
        <f t="shared" ca="1" si="24"/>
        <v>-1.1067709463109282E-3</v>
      </c>
      <c r="J228" s="38">
        <f t="shared" si="25"/>
        <v>1.2794742228740602E-2</v>
      </c>
      <c r="K228" s="38">
        <f t="shared" ca="1" si="26"/>
        <v>2.2109694645831863E-2</v>
      </c>
      <c r="L228" s="38">
        <f t="shared" ca="1" si="27"/>
        <v>-1.1916915812315632E-3</v>
      </c>
    </row>
    <row r="229" spans="1:12" ht="13.8" thickBot="1" x14ac:dyDescent="0.3">
      <c r="A229" s="12">
        <f ca="1">IFERROR(__xludf.DUMMYFUNCTION("""COMPUTED_VALUE"""),43775.6666666666)</f>
        <v>43775.666666666599</v>
      </c>
      <c r="B229" s="4">
        <v>32.79</v>
      </c>
      <c r="C229" s="2">
        <f ca="1">IFERROR(__xludf.DUMMYFUNCTION("""COMPUTED_VALUE"""),67.9)</f>
        <v>67.900000000000006</v>
      </c>
      <c r="D229" s="2">
        <f ca="1">IFERROR(__xludf.DUMMYFUNCTION("""COMPUTED_VALUE"""),307.1)</f>
        <v>307.10000000000002</v>
      </c>
      <c r="F229" s="16">
        <f t="shared" si="22"/>
        <v>-9.144948053880417E-4</v>
      </c>
      <c r="G229" s="16">
        <f t="shared" ca="1" si="23"/>
        <v>1.3791276642691707E-2</v>
      </c>
      <c r="H229" s="16">
        <f t="shared" ca="1" si="24"/>
        <v>2.2796476414828839E-4</v>
      </c>
      <c r="J229" s="38">
        <f t="shared" si="25"/>
        <v>-9.994154403086767E-4</v>
      </c>
      <c r="K229" s="38">
        <f t="shared" ca="1" si="26"/>
        <v>1.3706356007771071E-2</v>
      </c>
      <c r="L229" s="38">
        <f t="shared" ca="1" si="27"/>
        <v>1.4304412922765347E-4</v>
      </c>
    </row>
    <row r="230" spans="1:12" ht="13.8" thickBot="1" x14ac:dyDescent="0.3">
      <c r="A230" s="12">
        <f ca="1">IFERROR(__xludf.DUMMYFUNCTION("""COMPUTED_VALUE"""),43776.6666666666)</f>
        <v>43776.666666666599</v>
      </c>
      <c r="B230" s="4">
        <v>33.229999999999997</v>
      </c>
      <c r="C230" s="2">
        <f ca="1">IFERROR(__xludf.DUMMYFUNCTION("""COMPUTED_VALUE"""),67.25)</f>
        <v>67.25</v>
      </c>
      <c r="D230" s="2">
        <f ca="1">IFERROR(__xludf.DUMMYFUNCTION("""COMPUTED_VALUE"""),308.18)</f>
        <v>308.18</v>
      </c>
      <c r="F230" s="16">
        <f t="shared" si="22"/>
        <v>1.3329491509946022E-2</v>
      </c>
      <c r="G230" s="16">
        <f t="shared" ca="1" si="23"/>
        <v>-9.6190160827020338E-3</v>
      </c>
      <c r="H230" s="16">
        <f t="shared" ca="1" si="24"/>
        <v>3.5106004069305257E-3</v>
      </c>
      <c r="J230" s="38">
        <f t="shared" si="25"/>
        <v>1.3244570875025386E-2</v>
      </c>
      <c r="K230" s="38">
        <f t="shared" ca="1" si="26"/>
        <v>-9.7039367176226694E-3</v>
      </c>
      <c r="L230" s="38">
        <f t="shared" ca="1" si="27"/>
        <v>3.425679772009891E-3</v>
      </c>
    </row>
    <row r="231" spans="1:12" ht="13.8" thickBot="1" x14ac:dyDescent="0.3">
      <c r="A231" s="12">
        <f ca="1">IFERROR(__xludf.DUMMYFUNCTION("""COMPUTED_VALUE"""),43777.6666666666)</f>
        <v>43777.666666666599</v>
      </c>
      <c r="B231" s="4">
        <v>33.26</v>
      </c>
      <c r="C231" s="2">
        <f ca="1">IFERROR(__xludf.DUMMYFUNCTION("""COMPUTED_VALUE"""),68.85)</f>
        <v>68.849999999999994</v>
      </c>
      <c r="D231" s="2">
        <f ca="1">IFERROR(__xludf.DUMMYFUNCTION("""COMPUTED_VALUE"""),308.94)</f>
        <v>308.94</v>
      </c>
      <c r="F231" s="16">
        <f t="shared" si="22"/>
        <v>9.0239139827880761E-4</v>
      </c>
      <c r="G231" s="16">
        <f t="shared" ca="1" si="23"/>
        <v>2.3513206692715265E-2</v>
      </c>
      <c r="H231" s="16">
        <f t="shared" ca="1" si="24"/>
        <v>2.4630554323975926E-3</v>
      </c>
      <c r="J231" s="38">
        <f t="shared" si="25"/>
        <v>8.1747076335817273E-4</v>
      </c>
      <c r="K231" s="38">
        <f t="shared" ca="1" si="26"/>
        <v>2.342828605779463E-2</v>
      </c>
      <c r="L231" s="38">
        <f t="shared" ca="1" si="27"/>
        <v>2.3781347974769578E-3</v>
      </c>
    </row>
    <row r="232" spans="1:12" ht="13.8" thickBot="1" x14ac:dyDescent="0.3">
      <c r="A232" s="12">
        <f ca="1">IFERROR(__xludf.DUMMYFUNCTION("""COMPUTED_VALUE"""),43780.6666666666)</f>
        <v>43780.666666666599</v>
      </c>
      <c r="B232" s="4">
        <v>33.18</v>
      </c>
      <c r="C232" s="2">
        <f ca="1">IFERROR(__xludf.DUMMYFUNCTION("""COMPUTED_VALUE"""),68.52)</f>
        <v>68.52</v>
      </c>
      <c r="D232" s="2">
        <f ca="1">IFERROR(__xludf.DUMMYFUNCTION("""COMPUTED_VALUE"""),308.35)</f>
        <v>308.35000000000002</v>
      </c>
      <c r="F232" s="16">
        <f t="shared" si="22"/>
        <v>-2.4081890024831572E-3</v>
      </c>
      <c r="G232" s="16">
        <f t="shared" ca="1" si="23"/>
        <v>-4.8045517187447137E-3</v>
      </c>
      <c r="H232" s="16">
        <f t="shared" ca="1" si="24"/>
        <v>-1.9115818486030943E-3</v>
      </c>
      <c r="J232" s="38">
        <f t="shared" si="25"/>
        <v>-2.4931096374037919E-3</v>
      </c>
      <c r="K232" s="38">
        <f t="shared" ca="1" si="26"/>
        <v>-4.8894723536653485E-3</v>
      </c>
      <c r="L232" s="38">
        <f t="shared" ca="1" si="27"/>
        <v>-1.9965024835237291E-3</v>
      </c>
    </row>
    <row r="233" spans="1:12" ht="13.8" thickBot="1" x14ac:dyDescent="0.3">
      <c r="A233" s="12">
        <f ca="1">IFERROR(__xludf.DUMMYFUNCTION("""COMPUTED_VALUE"""),43781.6666666666)</f>
        <v>43781.666666666599</v>
      </c>
      <c r="B233" s="4">
        <v>33.090000000000003</v>
      </c>
      <c r="C233" s="2">
        <f ca="1">IFERROR(__xludf.DUMMYFUNCTION("""COMPUTED_VALUE"""),68.63)</f>
        <v>68.63</v>
      </c>
      <c r="D233" s="2">
        <f ca="1">IFERROR(__xludf.DUMMYFUNCTION("""COMPUTED_VALUE"""),309)</f>
        <v>309</v>
      </c>
      <c r="F233" s="16">
        <f t="shared" si="22"/>
        <v>-2.7161628287774779E-3</v>
      </c>
      <c r="G233" s="16">
        <f t="shared" ca="1" si="23"/>
        <v>1.6040834646241448E-3</v>
      </c>
      <c r="H233" s="16">
        <f t="shared" ca="1" si="24"/>
        <v>2.1057754602434721E-3</v>
      </c>
      <c r="J233" s="38">
        <f t="shared" si="25"/>
        <v>-2.8010834636981127E-3</v>
      </c>
      <c r="K233" s="38">
        <f t="shared" ca="1" si="26"/>
        <v>1.5191628297035098E-3</v>
      </c>
      <c r="L233" s="38">
        <f t="shared" ca="1" si="27"/>
        <v>2.0208548253228373E-3</v>
      </c>
    </row>
    <row r="234" spans="1:12" ht="13.8" thickBot="1" x14ac:dyDescent="0.3">
      <c r="A234" s="12">
        <f ca="1">IFERROR(__xludf.DUMMYFUNCTION("""COMPUTED_VALUE"""),43782.6666666666)</f>
        <v>43782.666666666599</v>
      </c>
      <c r="B234" s="4">
        <v>32.79</v>
      </c>
      <c r="C234" s="2">
        <f ca="1">IFERROR(__xludf.DUMMYFUNCTION("""COMPUTED_VALUE"""),68.82)</f>
        <v>68.819999999999993</v>
      </c>
      <c r="D234" s="2">
        <f ca="1">IFERROR(__xludf.DUMMYFUNCTION("""COMPUTED_VALUE"""),309.1)</f>
        <v>309.10000000000002</v>
      </c>
      <c r="F234" s="16">
        <f t="shared" si="22"/>
        <v>-9.1075310769639876E-3</v>
      </c>
      <c r="G234" s="16">
        <f t="shared" ca="1" si="23"/>
        <v>2.764643448791087E-3</v>
      </c>
      <c r="H234" s="16">
        <f t="shared" ca="1" si="24"/>
        <v>3.2357224032532561E-4</v>
      </c>
      <c r="J234" s="38">
        <f t="shared" si="25"/>
        <v>-9.1924517118846232E-3</v>
      </c>
      <c r="K234" s="38">
        <f t="shared" ca="1" si="26"/>
        <v>2.6797228138704522E-3</v>
      </c>
      <c r="L234" s="38">
        <f t="shared" ca="1" si="27"/>
        <v>2.386516054046907E-4</v>
      </c>
    </row>
    <row r="235" spans="1:12" ht="13.8" thickBot="1" x14ac:dyDescent="0.3">
      <c r="A235" s="12">
        <f ca="1">IFERROR(__xludf.DUMMYFUNCTION("""COMPUTED_VALUE"""),43783.6666666666)</f>
        <v>43783.666666666599</v>
      </c>
      <c r="B235" s="4">
        <v>32.700000000000003</v>
      </c>
      <c r="C235" s="2">
        <f ca="1">IFERROR(__xludf.DUMMYFUNCTION("""COMPUTED_VALUE"""),67.7)</f>
        <v>67.7</v>
      </c>
      <c r="D235" s="2">
        <f ca="1">IFERROR(__xludf.DUMMYFUNCTION("""COMPUTED_VALUE"""),309.55)</f>
        <v>309.55</v>
      </c>
      <c r="F235" s="16">
        <f t="shared" si="22"/>
        <v>-2.7485129533490484E-3</v>
      </c>
      <c r="G235" s="16">
        <f t="shared" ca="1" si="23"/>
        <v>-1.6408220451104856E-2</v>
      </c>
      <c r="H235" s="16">
        <f t="shared" ca="1" si="24"/>
        <v>1.4547808271704742E-3</v>
      </c>
      <c r="J235" s="38">
        <f t="shared" si="25"/>
        <v>-2.8334335882696832E-3</v>
      </c>
      <c r="K235" s="38">
        <f t="shared" ca="1" si="26"/>
        <v>-1.6493141086025492E-2</v>
      </c>
      <c r="L235" s="38">
        <f t="shared" ca="1" si="27"/>
        <v>1.3698601922498392E-3</v>
      </c>
    </row>
    <row r="236" spans="1:12" ht="13.8" thickBot="1" x14ac:dyDescent="0.3">
      <c r="A236" s="12">
        <f ca="1">IFERROR(__xludf.DUMMYFUNCTION("""COMPUTED_VALUE"""),43784.6666666666)</f>
        <v>43784.666666666599</v>
      </c>
      <c r="B236" s="4">
        <v>32.93</v>
      </c>
      <c r="C236" s="2">
        <f ca="1">IFERROR(__xludf.DUMMYFUNCTION("""COMPUTED_VALUE"""),66.98)</f>
        <v>66.98</v>
      </c>
      <c r="D236" s="2">
        <f ca="1">IFERROR(__xludf.DUMMYFUNCTION("""COMPUTED_VALUE"""),311.79)</f>
        <v>311.79000000000002</v>
      </c>
      <c r="F236" s="16">
        <f t="shared" si="22"/>
        <v>7.0090184850652168E-3</v>
      </c>
      <c r="G236" s="16">
        <f t="shared" ca="1" si="23"/>
        <v>-1.0692112552170724E-2</v>
      </c>
      <c r="H236" s="16">
        <f t="shared" ca="1" si="24"/>
        <v>7.2102543031989878E-3</v>
      </c>
      <c r="J236" s="38">
        <f t="shared" si="25"/>
        <v>6.9240978501445821E-3</v>
      </c>
      <c r="K236" s="38">
        <f t="shared" ca="1" si="26"/>
        <v>-1.077703318709136E-2</v>
      </c>
      <c r="L236" s="38">
        <f t="shared" ca="1" si="27"/>
        <v>7.125333668278353E-3</v>
      </c>
    </row>
    <row r="237" spans="1:12" ht="13.8" thickBot="1" x14ac:dyDescent="0.3">
      <c r="A237" s="12">
        <f ca="1">IFERROR(__xludf.DUMMYFUNCTION("""COMPUTED_VALUE"""),43787.6666666666)</f>
        <v>43787.666666666599</v>
      </c>
      <c r="B237" s="4">
        <v>32.96</v>
      </c>
      <c r="C237" s="2">
        <f ca="1">IFERROR(__xludf.DUMMYFUNCTION("""COMPUTED_VALUE"""),67.19)</f>
        <v>67.19</v>
      </c>
      <c r="D237" s="2">
        <f ca="1">IFERROR(__xludf.DUMMYFUNCTION("""COMPUTED_VALUE"""),312.02)</f>
        <v>312.02</v>
      </c>
      <c r="F237" s="16">
        <f t="shared" si="22"/>
        <v>9.1060865299801344E-4</v>
      </c>
      <c r="G237" s="16">
        <f t="shared" ca="1" si="23"/>
        <v>3.1303595659999918E-3</v>
      </c>
      <c r="H237" s="16">
        <f t="shared" ca="1" si="24"/>
        <v>7.3740405066328107E-4</v>
      </c>
      <c r="J237" s="38">
        <f t="shared" si="25"/>
        <v>8.2568801807737856E-4</v>
      </c>
      <c r="K237" s="38">
        <f t="shared" ca="1" si="26"/>
        <v>3.045438931079357E-3</v>
      </c>
      <c r="L237" s="38">
        <f t="shared" ca="1" si="27"/>
        <v>6.5248341574264618E-4</v>
      </c>
    </row>
    <row r="238" spans="1:12" ht="13.8" thickBot="1" x14ac:dyDescent="0.3">
      <c r="A238" s="12">
        <f ca="1">IFERROR(__xludf.DUMMYFUNCTION("""COMPUTED_VALUE"""),43788.6666666666)</f>
        <v>43788.666666666599</v>
      </c>
      <c r="B238" s="4">
        <v>32.94</v>
      </c>
      <c r="C238" s="2">
        <f ca="1">IFERROR(__xludf.DUMMYFUNCTION("""COMPUTED_VALUE"""),66.81)</f>
        <v>66.81</v>
      </c>
      <c r="D238" s="2">
        <f ca="1">IFERROR(__xludf.DUMMYFUNCTION("""COMPUTED_VALUE"""),311.93)</f>
        <v>311.93</v>
      </c>
      <c r="F238" s="16">
        <f t="shared" si="22"/>
        <v>-6.0698029177676856E-4</v>
      </c>
      <c r="G238" s="16">
        <f t="shared" ca="1" si="23"/>
        <v>-5.6716569946725377E-3</v>
      </c>
      <c r="H238" s="16">
        <f t="shared" ca="1" si="24"/>
        <v>-2.8848465621977111E-4</v>
      </c>
      <c r="J238" s="38">
        <f t="shared" si="25"/>
        <v>-6.9190092669740345E-4</v>
      </c>
      <c r="K238" s="38">
        <f t="shared" ca="1" si="26"/>
        <v>-5.7565776295931724E-3</v>
      </c>
      <c r="L238" s="38">
        <f t="shared" ca="1" si="27"/>
        <v>-3.7340529114040599E-4</v>
      </c>
    </row>
    <row r="239" spans="1:12" ht="13.8" thickBot="1" x14ac:dyDescent="0.3">
      <c r="A239" s="12">
        <f ca="1">IFERROR(__xludf.DUMMYFUNCTION("""COMPUTED_VALUE"""),43789.6666666666)</f>
        <v>43789.666666666599</v>
      </c>
      <c r="B239" s="4">
        <v>32.69</v>
      </c>
      <c r="C239" s="2">
        <f ca="1">IFERROR(__xludf.DUMMYFUNCTION("""COMPUTED_VALUE"""),67.32)</f>
        <v>67.319999999999993</v>
      </c>
      <c r="D239" s="2">
        <f ca="1">IFERROR(__xludf.DUMMYFUNCTION("""COMPUTED_VALUE"""),310.77)</f>
        <v>310.77</v>
      </c>
      <c r="F239" s="16">
        <f t="shared" si="22"/>
        <v>-7.6185040133749746E-3</v>
      </c>
      <c r="G239" s="16">
        <f t="shared" ca="1" si="23"/>
        <v>7.6045993852192125E-3</v>
      </c>
      <c r="H239" s="16">
        <f t="shared" ca="1" si="24"/>
        <v>-3.7257149247632484E-3</v>
      </c>
      <c r="J239" s="38">
        <f t="shared" si="25"/>
        <v>-7.7034246482956094E-3</v>
      </c>
      <c r="K239" s="38">
        <f t="shared" ca="1" si="26"/>
        <v>7.5196787502985777E-3</v>
      </c>
      <c r="L239" s="38">
        <f t="shared" ca="1" si="27"/>
        <v>-3.8106355596838832E-3</v>
      </c>
    </row>
    <row r="240" spans="1:12" ht="13.8" thickBot="1" x14ac:dyDescent="0.3">
      <c r="A240" s="12">
        <f ca="1">IFERROR(__xludf.DUMMYFUNCTION("""COMPUTED_VALUE"""),43790.6666666666)</f>
        <v>43790.666666666599</v>
      </c>
      <c r="B240" s="4">
        <v>32.840000000000003</v>
      </c>
      <c r="C240" s="2">
        <f ca="1">IFERROR(__xludf.DUMMYFUNCTION("""COMPUTED_VALUE"""),67.13)</f>
        <v>67.13</v>
      </c>
      <c r="D240" s="2">
        <f ca="1">IFERROR(__xludf.DUMMYFUNCTION("""COMPUTED_VALUE"""),310.27)</f>
        <v>310.27</v>
      </c>
      <c r="F240" s="16">
        <f t="shared" si="22"/>
        <v>4.578063848108385E-3</v>
      </c>
      <c r="G240" s="16">
        <f t="shared" ca="1" si="23"/>
        <v>-2.8263313719450499E-3</v>
      </c>
      <c r="H240" s="16">
        <f t="shared" ca="1" si="24"/>
        <v>-1.610202589306115E-3</v>
      </c>
      <c r="J240" s="38">
        <f t="shared" si="25"/>
        <v>4.4931432131877502E-3</v>
      </c>
      <c r="K240" s="38">
        <f t="shared" ca="1" si="26"/>
        <v>-2.9112520068656847E-3</v>
      </c>
      <c r="L240" s="38">
        <f t="shared" ca="1" si="27"/>
        <v>-1.69512322422675E-3</v>
      </c>
    </row>
    <row r="241" spans="1:12" ht="13.8" thickBot="1" x14ac:dyDescent="0.3">
      <c r="A241" s="12">
        <f ca="1">IFERROR(__xludf.DUMMYFUNCTION("""COMPUTED_VALUE"""),43791.6666666666)</f>
        <v>43791.666666666599</v>
      </c>
      <c r="B241" s="4">
        <v>33.18</v>
      </c>
      <c r="C241" s="2">
        <f ca="1">IFERROR(__xludf.DUMMYFUNCTION("""COMPUTED_VALUE"""),66.81)</f>
        <v>66.81</v>
      </c>
      <c r="D241" s="2">
        <f ca="1">IFERROR(__xludf.DUMMYFUNCTION("""COMPUTED_VALUE"""),310.96)</f>
        <v>310.95999999999998</v>
      </c>
      <c r="F241" s="16">
        <f t="shared" si="22"/>
        <v>1.0300000178070775E-2</v>
      </c>
      <c r="G241" s="16">
        <f t="shared" ca="1" si="23"/>
        <v>-4.77826801327414E-3</v>
      </c>
      <c r="H241" s="16">
        <f t="shared" ca="1" si="24"/>
        <v>2.2214003951535979E-3</v>
      </c>
      <c r="J241" s="38">
        <f t="shared" si="25"/>
        <v>1.021507954315014E-2</v>
      </c>
      <c r="K241" s="38">
        <f t="shared" ca="1" si="26"/>
        <v>-4.8631886481947748E-3</v>
      </c>
      <c r="L241" s="38">
        <f t="shared" ca="1" si="27"/>
        <v>2.1364797602329631E-3</v>
      </c>
    </row>
    <row r="242" spans="1:12" ht="13.8" thickBot="1" x14ac:dyDescent="0.3">
      <c r="A242" s="12">
        <f ca="1">IFERROR(__xludf.DUMMYFUNCTION("""COMPUTED_VALUE"""),43794.6666666666)</f>
        <v>43794.666666666599</v>
      </c>
      <c r="B242" s="4">
        <v>33.47</v>
      </c>
      <c r="C242" s="2">
        <f ca="1">IFERROR(__xludf.DUMMYFUNCTION("""COMPUTED_VALUE"""),67.6)</f>
        <v>67.599999999999994</v>
      </c>
      <c r="D242" s="2">
        <f ca="1">IFERROR(__xludf.DUMMYFUNCTION("""COMPUTED_VALUE"""),313.37)</f>
        <v>313.37</v>
      </c>
      <c r="F242" s="16">
        <f t="shared" si="22"/>
        <v>8.7022304609367506E-3</v>
      </c>
      <c r="G242" s="16">
        <f t="shared" ca="1" si="23"/>
        <v>1.1755213111532438E-2</v>
      </c>
      <c r="H242" s="16">
        <f t="shared" ca="1" si="24"/>
        <v>7.7203144821124687E-3</v>
      </c>
      <c r="J242" s="38">
        <f t="shared" si="25"/>
        <v>8.617309826016115E-3</v>
      </c>
      <c r="K242" s="38">
        <f t="shared" ca="1" si="26"/>
        <v>1.1670292476611803E-2</v>
      </c>
      <c r="L242" s="38">
        <f t="shared" ca="1" si="27"/>
        <v>7.6353938471918339E-3</v>
      </c>
    </row>
    <row r="243" spans="1:12" ht="13.8" thickBot="1" x14ac:dyDescent="0.3">
      <c r="A243" s="12">
        <f ca="1">IFERROR(__xludf.DUMMYFUNCTION("""COMPUTED_VALUE"""),43795.6666666666)</f>
        <v>43795.666666666599</v>
      </c>
      <c r="B243" s="4">
        <v>33.35</v>
      </c>
      <c r="C243" s="2">
        <f ca="1">IFERROR(__xludf.DUMMYFUNCTION("""COMPUTED_VALUE"""),68.56)</f>
        <v>68.56</v>
      </c>
      <c r="D243" s="2">
        <f ca="1">IFERROR(__xludf.DUMMYFUNCTION("""COMPUTED_VALUE"""),314.08)</f>
        <v>314.08</v>
      </c>
      <c r="F243" s="16">
        <f t="shared" si="22"/>
        <v>-3.5917428616024701E-3</v>
      </c>
      <c r="G243" s="16">
        <f t="shared" ca="1" si="23"/>
        <v>1.4101291240606146E-2</v>
      </c>
      <c r="H243" s="16">
        <f t="shared" ca="1" si="24"/>
        <v>2.2631295020707097E-3</v>
      </c>
      <c r="J243" s="38">
        <f t="shared" si="25"/>
        <v>-3.6766634965231049E-3</v>
      </c>
      <c r="K243" s="38">
        <f t="shared" ca="1" si="26"/>
        <v>1.4016370605685511E-2</v>
      </c>
      <c r="L243" s="38">
        <f t="shared" ca="1" si="27"/>
        <v>2.1782088671500749E-3</v>
      </c>
    </row>
    <row r="244" spans="1:12" ht="13.8" thickBot="1" x14ac:dyDescent="0.3">
      <c r="A244" s="12">
        <f ca="1">IFERROR(__xludf.DUMMYFUNCTION("""COMPUTED_VALUE"""),43796.6666666666)</f>
        <v>43796.666666666599</v>
      </c>
      <c r="B244" s="4">
        <v>33.42</v>
      </c>
      <c r="C244" s="2">
        <f ca="1">IFERROR(__xludf.DUMMYFUNCTION("""COMPUTED_VALUE"""),68.1)</f>
        <v>68.099999999999994</v>
      </c>
      <c r="D244" s="2">
        <f ca="1">IFERROR(__xludf.DUMMYFUNCTION("""COMPUTED_VALUE"""),315.48)</f>
        <v>315.48</v>
      </c>
      <c r="F244" s="16">
        <f t="shared" si="22"/>
        <v>2.0967508056150405E-3</v>
      </c>
      <c r="G244" s="16">
        <f t="shared" ca="1" si="23"/>
        <v>-6.7320611340578283E-3</v>
      </c>
      <c r="H244" s="16">
        <f t="shared" ca="1" si="24"/>
        <v>4.4475580016392962E-3</v>
      </c>
      <c r="J244" s="38">
        <f t="shared" si="25"/>
        <v>2.0118301706944057E-3</v>
      </c>
      <c r="K244" s="38">
        <f t="shared" ca="1" si="26"/>
        <v>-6.8169817689784631E-3</v>
      </c>
      <c r="L244" s="38">
        <f t="shared" ca="1" si="27"/>
        <v>4.3626373667186615E-3</v>
      </c>
    </row>
    <row r="245" spans="1:12" ht="13.8" thickBot="1" x14ac:dyDescent="0.3">
      <c r="A245" s="12">
        <f ca="1">IFERROR(__xludf.DUMMYFUNCTION("""COMPUTED_VALUE"""),43798.5416666666)</f>
        <v>43798.541666666599</v>
      </c>
      <c r="B245" s="4">
        <v>33.32</v>
      </c>
      <c r="C245" s="2">
        <f ca="1">IFERROR(__xludf.DUMMYFUNCTION("""COMPUTED_VALUE"""),68.79)</f>
        <v>68.790000000000006</v>
      </c>
      <c r="D245" s="2">
        <f ca="1">IFERROR(__xludf.DUMMYFUNCTION("""COMPUTED_VALUE"""),314.31)</f>
        <v>314.31</v>
      </c>
      <c r="F245" s="16">
        <f t="shared" si="22"/>
        <v>-2.9967058686057244E-3</v>
      </c>
      <c r="G245" s="16">
        <f t="shared" ca="1" si="23"/>
        <v>1.0081172382456181E-2</v>
      </c>
      <c r="H245" s="16">
        <f t="shared" ca="1" si="24"/>
        <v>-3.7155284968069797E-3</v>
      </c>
      <c r="J245" s="38">
        <f t="shared" si="25"/>
        <v>-3.0816265035263591E-3</v>
      </c>
      <c r="K245" s="38">
        <f t="shared" ca="1" si="26"/>
        <v>9.996251747535545E-3</v>
      </c>
      <c r="L245" s="38">
        <f t="shared" ca="1" si="27"/>
        <v>-3.8004491317276145E-3</v>
      </c>
    </row>
    <row r="246" spans="1:12" ht="13.8" thickBot="1" x14ac:dyDescent="0.3">
      <c r="A246" s="12">
        <f ca="1">IFERROR(__xludf.DUMMYFUNCTION("""COMPUTED_VALUE"""),43801.6666666666)</f>
        <v>43801.666666666599</v>
      </c>
      <c r="B246" s="4">
        <v>33.43</v>
      </c>
      <c r="C246" s="2">
        <f ca="1">IFERROR(__xludf.DUMMYFUNCTION("""COMPUTED_VALUE"""),68.79)</f>
        <v>68.790000000000006</v>
      </c>
      <c r="D246" s="2">
        <f ca="1">IFERROR(__xludf.DUMMYFUNCTION("""COMPUTED_VALUE"""),311.64)</f>
        <v>311.64</v>
      </c>
      <c r="F246" s="16">
        <f t="shared" si="22"/>
        <v>3.2958831333653204E-3</v>
      </c>
      <c r="G246" s="16">
        <f t="shared" ca="1" si="23"/>
        <v>0</v>
      </c>
      <c r="H246" s="16">
        <f t="shared" ca="1" si="24"/>
        <v>-8.5310845703258711E-3</v>
      </c>
      <c r="J246" s="38">
        <f t="shared" si="25"/>
        <v>3.2109624984446856E-3</v>
      </c>
      <c r="K246" s="38">
        <f t="shared" ca="1" si="26"/>
        <v>-8.4920634920634914E-5</v>
      </c>
      <c r="L246" s="38">
        <f t="shared" ca="1" si="27"/>
        <v>-8.6160052052465068E-3</v>
      </c>
    </row>
    <row r="247" spans="1:12" ht="13.8" thickBot="1" x14ac:dyDescent="0.3">
      <c r="A247" s="12">
        <f ca="1">IFERROR(__xludf.DUMMYFUNCTION("""COMPUTED_VALUE"""),43802.6666666666)</f>
        <v>43802.666666666599</v>
      </c>
      <c r="B247" s="4">
        <v>32.840000000000003</v>
      </c>
      <c r="C247" s="2">
        <f ca="1">IFERROR(__xludf.DUMMYFUNCTION("""COMPUTED_VALUE"""),68.64)</f>
        <v>68.64</v>
      </c>
      <c r="D247" s="2">
        <f ca="1">IFERROR(__xludf.DUMMYFUNCTION("""COMPUTED_VALUE"""),309.55)</f>
        <v>309.55</v>
      </c>
      <c r="F247" s="16">
        <f t="shared" si="22"/>
        <v>-1.7806415847779651E-2</v>
      </c>
      <c r="G247" s="16">
        <f t="shared" ca="1" si="23"/>
        <v>-2.1829303582159903E-3</v>
      </c>
      <c r="H247" s="16">
        <f t="shared" ca="1" si="24"/>
        <v>-6.7290454974161694E-3</v>
      </c>
      <c r="J247" s="38">
        <f t="shared" si="25"/>
        <v>-1.7891336482700287E-2</v>
      </c>
      <c r="K247" s="38">
        <f t="shared" ca="1" si="26"/>
        <v>-2.2678509931366251E-3</v>
      </c>
      <c r="L247" s="38">
        <f t="shared" ca="1" si="27"/>
        <v>-6.8139661323368041E-3</v>
      </c>
    </row>
    <row r="248" spans="1:12" ht="13.8" thickBot="1" x14ac:dyDescent="0.3">
      <c r="A248" s="12">
        <f ca="1">IFERROR(__xludf.DUMMYFUNCTION("""COMPUTED_VALUE"""),43803.6666666666)</f>
        <v>43803.666666666599</v>
      </c>
      <c r="B248" s="4">
        <v>33.15</v>
      </c>
      <c r="C248" s="2">
        <f ca="1">IFERROR(__xludf.DUMMYFUNCTION("""COMPUTED_VALUE"""),67.52)</f>
        <v>67.52</v>
      </c>
      <c r="D248" s="2">
        <f ca="1">IFERROR(__xludf.DUMMYFUNCTION("""COMPUTED_VALUE"""),311.46)</f>
        <v>311.45999999999998</v>
      </c>
      <c r="F248" s="16">
        <f t="shared" si="22"/>
        <v>9.3954320476438338E-3</v>
      </c>
      <c r="G248" s="16">
        <f t="shared" ca="1" si="23"/>
        <v>-1.645160489200528E-2</v>
      </c>
      <c r="H248" s="16">
        <f t="shared" ca="1" si="24"/>
        <v>6.1512891019514038E-3</v>
      </c>
      <c r="J248" s="38">
        <f t="shared" si="25"/>
        <v>9.3105114127231981E-3</v>
      </c>
      <c r="K248" s="38">
        <f t="shared" ca="1" si="26"/>
        <v>-1.6536525526925916E-2</v>
      </c>
      <c r="L248" s="38">
        <f t="shared" ca="1" si="27"/>
        <v>6.066368467030769E-3</v>
      </c>
    </row>
    <row r="249" spans="1:12" ht="13.8" thickBot="1" x14ac:dyDescent="0.3">
      <c r="A249" s="12">
        <f ca="1">IFERROR(__xludf.DUMMYFUNCTION("""COMPUTED_VALUE"""),43804.6666666666)</f>
        <v>43804.666666666599</v>
      </c>
      <c r="B249" s="4">
        <v>33.090000000000003</v>
      </c>
      <c r="C249" s="2">
        <f ca="1">IFERROR(__xludf.DUMMYFUNCTION("""COMPUTED_VALUE"""),65.55)</f>
        <v>65.55</v>
      </c>
      <c r="D249" s="2">
        <f ca="1">IFERROR(__xludf.DUMMYFUNCTION("""COMPUTED_VALUE"""),312.02)</f>
        <v>312.02</v>
      </c>
      <c r="F249" s="16">
        <f t="shared" si="22"/>
        <v>-1.8115946983506027E-3</v>
      </c>
      <c r="G249" s="16">
        <f t="shared" ca="1" si="23"/>
        <v>-2.9610640077992755E-2</v>
      </c>
      <c r="H249" s="16">
        <f t="shared" ca="1" si="24"/>
        <v>1.796369251910598E-3</v>
      </c>
      <c r="J249" s="38">
        <f t="shared" si="25"/>
        <v>-1.8965153332712377E-3</v>
      </c>
      <c r="K249" s="38">
        <f t="shared" ca="1" si="26"/>
        <v>-2.9695560712913391E-2</v>
      </c>
      <c r="L249" s="38">
        <f t="shared" ca="1" si="27"/>
        <v>1.711448616989963E-3</v>
      </c>
    </row>
    <row r="250" spans="1:12" ht="13.8" thickBot="1" x14ac:dyDescent="0.3">
      <c r="A250" s="12">
        <f ca="1">IFERROR(__xludf.DUMMYFUNCTION("""COMPUTED_VALUE"""),43805.6666666666)</f>
        <v>43805.666666666599</v>
      </c>
      <c r="B250" s="4">
        <v>33.67</v>
      </c>
      <c r="C250" s="2">
        <f ca="1">IFERROR(__xludf.DUMMYFUNCTION("""COMPUTED_VALUE"""),67.03)</f>
        <v>67.03</v>
      </c>
      <c r="D250" s="2">
        <f ca="1">IFERROR(__xludf.DUMMYFUNCTION("""COMPUTED_VALUE"""),314.87)</f>
        <v>314.87</v>
      </c>
      <c r="F250" s="16">
        <f t="shared" si="22"/>
        <v>1.7376111239462221E-2</v>
      </c>
      <c r="G250" s="16">
        <f t="shared" ca="1" si="23"/>
        <v>2.2327070160157531E-2</v>
      </c>
      <c r="H250" s="16">
        <f t="shared" ca="1" si="24"/>
        <v>9.0925669104038216E-3</v>
      </c>
      <c r="J250" s="38">
        <f t="shared" si="25"/>
        <v>1.7291190604541585E-2</v>
      </c>
      <c r="K250" s="38">
        <f t="shared" ca="1" si="26"/>
        <v>2.2242149525236895E-2</v>
      </c>
      <c r="L250" s="38">
        <f t="shared" ca="1" si="27"/>
        <v>9.007646275483186E-3</v>
      </c>
    </row>
    <row r="251" spans="1:12" ht="13.8" thickBot="1" x14ac:dyDescent="0.3">
      <c r="A251" s="12">
        <f ca="1">IFERROR(__xludf.DUMMYFUNCTION("""COMPUTED_VALUE"""),43808.6666666666)</f>
        <v>43808.666666666599</v>
      </c>
      <c r="B251" s="4">
        <v>33.51</v>
      </c>
      <c r="C251" s="2">
        <f ca="1">IFERROR(__xludf.DUMMYFUNCTION("""COMPUTED_VALUE"""),67.05)</f>
        <v>67.05</v>
      </c>
      <c r="D251" s="2">
        <f ca="1">IFERROR(__xludf.DUMMYFUNCTION("""COMPUTED_VALUE"""),313.88)</f>
        <v>313.88</v>
      </c>
      <c r="F251" s="16">
        <f t="shared" si="22"/>
        <v>-4.7633314237642129E-3</v>
      </c>
      <c r="G251" s="16">
        <f t="shared" ca="1" si="23"/>
        <v>2.9832935782113661E-4</v>
      </c>
      <c r="H251" s="16">
        <f t="shared" ca="1" si="24"/>
        <v>-3.1491079702347996E-3</v>
      </c>
      <c r="J251" s="38">
        <f t="shared" si="25"/>
        <v>-4.8482520586848477E-3</v>
      </c>
      <c r="K251" s="38">
        <f t="shared" ca="1" si="26"/>
        <v>2.1340872290050169E-4</v>
      </c>
      <c r="L251" s="38">
        <f t="shared" ca="1" si="27"/>
        <v>-3.2340286051554343E-3</v>
      </c>
    </row>
    <row r="252" spans="1:12" ht="13.8" thickBot="1" x14ac:dyDescent="0.3">
      <c r="A252" s="12">
        <f ca="1">IFERROR(__xludf.DUMMYFUNCTION("""COMPUTED_VALUE"""),43809.6666666666)</f>
        <v>43809.666666666599</v>
      </c>
      <c r="B252" s="4">
        <v>33.53</v>
      </c>
      <c r="C252" s="2">
        <f ca="1">IFERROR(__xludf.DUMMYFUNCTION("""COMPUTED_VALUE"""),68.76)</f>
        <v>68.760000000000005</v>
      </c>
      <c r="D252" s="2">
        <f ca="1">IFERROR(__xludf.DUMMYFUNCTION("""COMPUTED_VALUE"""),313.53)</f>
        <v>313.52999999999997</v>
      </c>
      <c r="F252" s="16">
        <f t="shared" si="22"/>
        <v>5.9665872891817768E-4</v>
      </c>
      <c r="G252" s="16">
        <f t="shared" ca="1" si="23"/>
        <v>2.5183570786961179E-2</v>
      </c>
      <c r="H252" s="16">
        <f t="shared" ca="1" si="24"/>
        <v>-1.1156979847504729E-3</v>
      </c>
      <c r="J252" s="38">
        <f t="shared" si="25"/>
        <v>5.1173809399754279E-4</v>
      </c>
      <c r="K252" s="38">
        <f t="shared" ca="1" si="26"/>
        <v>2.5098650152040543E-2</v>
      </c>
      <c r="L252" s="38">
        <f t="shared" ca="1" si="27"/>
        <v>-1.2006186196711079E-3</v>
      </c>
    </row>
    <row r="253" spans="1:12" ht="13.8" thickBot="1" x14ac:dyDescent="0.3">
      <c r="A253" s="12">
        <f ca="1">IFERROR(__xludf.DUMMYFUNCTION("""COMPUTED_VALUE"""),43810.6666666666)</f>
        <v>43810.666666666599</v>
      </c>
      <c r="B253" s="4">
        <v>33.64</v>
      </c>
      <c r="C253" s="2">
        <f ca="1">IFERROR(__xludf.DUMMYFUNCTION("""COMPUTED_VALUE"""),68.32)</f>
        <v>68.319999999999993</v>
      </c>
      <c r="D253" s="2">
        <f ca="1">IFERROR(__xludf.DUMMYFUNCTION("""COMPUTED_VALUE"""),314.42)</f>
        <v>314.42</v>
      </c>
      <c r="F253" s="16">
        <f t="shared" si="22"/>
        <v>3.2752746266101387E-3</v>
      </c>
      <c r="G253" s="16">
        <f t="shared" ca="1" si="23"/>
        <v>-6.4196310343342449E-3</v>
      </c>
      <c r="H253" s="16">
        <f t="shared" ca="1" si="24"/>
        <v>2.8346224888458811E-3</v>
      </c>
      <c r="J253" s="38">
        <f t="shared" si="25"/>
        <v>3.1903539916895039E-3</v>
      </c>
      <c r="K253" s="38">
        <f t="shared" ca="1" si="26"/>
        <v>-6.5045516692548797E-3</v>
      </c>
      <c r="L253" s="38">
        <f t="shared" ca="1" si="27"/>
        <v>2.7497018539252463E-3</v>
      </c>
    </row>
    <row r="254" spans="1:12" ht="13.8" thickBot="1" x14ac:dyDescent="0.3">
      <c r="A254" s="12">
        <f ca="1">IFERROR(__xludf.DUMMYFUNCTION("""COMPUTED_VALUE"""),43811.6666666666)</f>
        <v>43811.666666666599</v>
      </c>
      <c r="B254" s="4">
        <v>34.68</v>
      </c>
      <c r="C254" s="2">
        <f ca="1">IFERROR(__xludf.DUMMYFUNCTION("""COMPUTED_VALUE"""),68.26)</f>
        <v>68.260000000000005</v>
      </c>
      <c r="D254" s="2">
        <f ca="1">IFERROR(__xludf.DUMMYFUNCTION("""COMPUTED_VALUE"""),317.13)</f>
        <v>317.13</v>
      </c>
      <c r="F254" s="16">
        <f t="shared" si="22"/>
        <v>3.0447316807593747E-2</v>
      </c>
      <c r="G254" s="16">
        <f t="shared" ca="1" si="23"/>
        <v>-8.78606001753303E-4</v>
      </c>
      <c r="H254" s="16">
        <f t="shared" ca="1" si="24"/>
        <v>8.5821126853134321E-3</v>
      </c>
      <c r="J254" s="38">
        <f t="shared" si="25"/>
        <v>3.0362396172673112E-2</v>
      </c>
      <c r="K254" s="38">
        <f t="shared" ca="1" si="26"/>
        <v>-9.6352663667393789E-4</v>
      </c>
      <c r="L254" s="38">
        <f t="shared" ca="1" si="27"/>
        <v>8.4971920503927965E-3</v>
      </c>
    </row>
    <row r="255" spans="1:12" ht="13.8" thickBot="1" x14ac:dyDescent="0.3">
      <c r="A255" s="12">
        <f ca="1">IFERROR(__xludf.DUMMYFUNCTION("""COMPUTED_VALUE"""),43812.6666666666)</f>
        <v>43812.666666666599</v>
      </c>
      <c r="B255" s="4">
        <v>34.44</v>
      </c>
      <c r="C255" s="2">
        <f ca="1">IFERROR(__xludf.DUMMYFUNCTION("""COMPUTED_VALUE"""),68.15)</f>
        <v>68.150000000000006</v>
      </c>
      <c r="D255" s="2">
        <f ca="1">IFERROR(__xludf.DUMMYFUNCTION("""COMPUTED_VALUE"""),317.32)</f>
        <v>317.32</v>
      </c>
      <c r="F255" s="16">
        <f t="shared" si="22"/>
        <v>-6.944472352811158E-3</v>
      </c>
      <c r="G255" s="16">
        <f t="shared" ca="1" si="23"/>
        <v>-1.6127853360193142E-3</v>
      </c>
      <c r="H255" s="16">
        <f t="shared" ca="1" si="24"/>
        <v>5.98943985120766E-4</v>
      </c>
      <c r="J255" s="38">
        <f t="shared" si="25"/>
        <v>-7.0293929877317928E-3</v>
      </c>
      <c r="K255" s="38">
        <f t="shared" ca="1" si="26"/>
        <v>-1.6977059709399492E-3</v>
      </c>
      <c r="L255" s="38">
        <f t="shared" ca="1" si="27"/>
        <v>5.1402335020013111E-4</v>
      </c>
    </row>
    <row r="256" spans="1:12" ht="13.8" thickBot="1" x14ac:dyDescent="0.3">
      <c r="A256" s="12">
        <f ca="1">IFERROR(__xludf.DUMMYFUNCTION("""COMPUTED_VALUE"""),43815.6666666666)</f>
        <v>43815.666666666599</v>
      </c>
      <c r="B256" s="4">
        <v>34.700000000000003</v>
      </c>
      <c r="C256" s="2">
        <f ca="1">IFERROR(__xludf.DUMMYFUNCTION("""COMPUTED_VALUE"""),69.35)</f>
        <v>69.349999999999994</v>
      </c>
      <c r="D256" s="2">
        <f ca="1">IFERROR(__xludf.DUMMYFUNCTION("""COMPUTED_VALUE"""),319.5)</f>
        <v>319.5</v>
      </c>
      <c r="F256" s="16">
        <f t="shared" si="22"/>
        <v>7.5210073932835061E-3</v>
      </c>
      <c r="G256" s="16">
        <f t="shared" ca="1" si="23"/>
        <v>1.7454988618298879E-2</v>
      </c>
      <c r="H256" s="16">
        <f t="shared" ca="1" si="24"/>
        <v>6.8465453837873004E-3</v>
      </c>
      <c r="J256" s="38">
        <f t="shared" si="25"/>
        <v>7.4360867583628714E-3</v>
      </c>
      <c r="K256" s="38">
        <f t="shared" ca="1" si="26"/>
        <v>1.7370067983378243E-2</v>
      </c>
      <c r="L256" s="38">
        <f t="shared" ca="1" si="27"/>
        <v>6.7616247488666657E-3</v>
      </c>
    </row>
    <row r="257" spans="1:12" ht="13.8" thickBot="1" x14ac:dyDescent="0.3">
      <c r="A257" s="12">
        <f ca="1">IFERROR(__xludf.DUMMYFUNCTION("""COMPUTED_VALUE"""),43816.6666666666)</f>
        <v>43816.666666666599</v>
      </c>
      <c r="B257" s="4">
        <v>35.04</v>
      </c>
      <c r="C257" s="2">
        <f ca="1">IFERROR(__xludf.DUMMYFUNCTION("""COMPUTED_VALUE"""),68.51)</f>
        <v>68.510000000000005</v>
      </c>
      <c r="D257" s="2">
        <f ca="1">IFERROR(__xludf.DUMMYFUNCTION("""COMPUTED_VALUE"""),319.57)</f>
        <v>319.57</v>
      </c>
      <c r="F257" s="16">
        <f t="shared" si="22"/>
        <v>9.750579115377132E-3</v>
      </c>
      <c r="G257" s="16">
        <f t="shared" ca="1" si="23"/>
        <v>-1.218642674603272E-2</v>
      </c>
      <c r="H257" s="16">
        <f t="shared" ca="1" si="24"/>
        <v>2.1906833454850974E-4</v>
      </c>
      <c r="J257" s="38">
        <f t="shared" si="25"/>
        <v>9.6656584804564964E-3</v>
      </c>
      <c r="K257" s="38">
        <f t="shared" ca="1" si="26"/>
        <v>-1.2271347380953356E-2</v>
      </c>
      <c r="L257" s="38">
        <f t="shared" ca="1" si="27"/>
        <v>1.3414769962787483E-4</v>
      </c>
    </row>
    <row r="258" spans="1:12" ht="13.8" thickBot="1" x14ac:dyDescent="0.3">
      <c r="A258" s="12">
        <f ca="1">IFERROR(__xludf.DUMMYFUNCTION("""COMPUTED_VALUE"""),43817.6666666666)</f>
        <v>43817.666666666599</v>
      </c>
      <c r="B258" s="4">
        <v>35.11</v>
      </c>
      <c r="C258" s="2">
        <f ca="1">IFERROR(__xludf.DUMMYFUNCTION("""COMPUTED_VALUE"""),69.24)</f>
        <v>69.239999999999995</v>
      </c>
      <c r="D258" s="2">
        <f ca="1">IFERROR(__xludf.DUMMYFUNCTION("""COMPUTED_VALUE"""),319.59)</f>
        <v>319.58999999999997</v>
      </c>
      <c r="F258" s="16">
        <f t="shared" si="22"/>
        <v>1.9957241121502018E-3</v>
      </c>
      <c r="G258" s="16">
        <f t="shared" ca="1" si="23"/>
        <v>1.0599010293200567E-2</v>
      </c>
      <c r="H258" s="16">
        <f t="shared" ca="1" si="24"/>
        <v>6.258213907777411E-5</v>
      </c>
      <c r="J258" s="38">
        <f t="shared" si="25"/>
        <v>1.9108034772295668E-3</v>
      </c>
      <c r="K258" s="38">
        <f t="shared" ca="1" si="26"/>
        <v>1.0514089658279931E-2</v>
      </c>
      <c r="L258" s="38">
        <f t="shared" ca="1" si="27"/>
        <v>-2.2338495842860804E-5</v>
      </c>
    </row>
    <row r="259" spans="1:12" ht="13.8" thickBot="1" x14ac:dyDescent="0.3">
      <c r="A259" s="12">
        <f ca="1">IFERROR(__xludf.DUMMYFUNCTION("""COMPUTED_VALUE"""),43818.6666666666)</f>
        <v>43818.666666666599</v>
      </c>
      <c r="B259" s="4">
        <v>34.950000000000003</v>
      </c>
      <c r="C259" s="2">
        <f ca="1">IFERROR(__xludf.DUMMYFUNCTION("""COMPUTED_VALUE"""),69.55)</f>
        <v>69.55</v>
      </c>
      <c r="D259" s="2">
        <f ca="1">IFERROR(__xludf.DUMMYFUNCTION("""COMPUTED_VALUE"""),320.9)</f>
        <v>320.89999999999998</v>
      </c>
      <c r="F259" s="16">
        <f t="shared" si="22"/>
        <v>-4.5675215005214695E-3</v>
      </c>
      <c r="G259" s="16">
        <f t="shared" ca="1" si="23"/>
        <v>4.4671880614433378E-3</v>
      </c>
      <c r="H259" s="16">
        <f t="shared" ca="1" si="24"/>
        <v>4.0906238245952782E-3</v>
      </c>
      <c r="J259" s="38">
        <f t="shared" si="25"/>
        <v>-4.6524421354421043E-3</v>
      </c>
      <c r="K259" s="38">
        <f t="shared" ca="1" si="26"/>
        <v>4.382267426522703E-3</v>
      </c>
      <c r="L259" s="38">
        <f t="shared" ca="1" si="27"/>
        <v>4.0057031896746434E-3</v>
      </c>
    </row>
    <row r="260" spans="1:12" ht="13.8" thickBot="1" x14ac:dyDescent="0.3">
      <c r="A260" s="12">
        <f ca="1">IFERROR(__xludf.DUMMYFUNCTION("""COMPUTED_VALUE"""),43819.6666666666)</f>
        <v>43819.666666666599</v>
      </c>
      <c r="B260" s="4">
        <v>34.96</v>
      </c>
      <c r="C260" s="2">
        <f ca="1">IFERROR(__xludf.DUMMYFUNCTION("""COMPUTED_VALUE"""),70.14)</f>
        <v>70.14</v>
      </c>
      <c r="D260" s="2">
        <f ca="1">IFERROR(__xludf.DUMMYFUNCTION("""COMPUTED_VALUE"""),320.73)</f>
        <v>320.73</v>
      </c>
      <c r="F260" s="16">
        <f t="shared" si="22"/>
        <v>2.8608210751539438E-4</v>
      </c>
      <c r="G260" s="16">
        <f t="shared" ca="1" si="23"/>
        <v>8.4473263425802643E-3</v>
      </c>
      <c r="H260" s="16">
        <f t="shared" ca="1" si="24"/>
        <v>-5.2990042229281436E-4</v>
      </c>
      <c r="J260" s="38">
        <f t="shared" si="25"/>
        <v>2.0116147259475946E-4</v>
      </c>
      <c r="K260" s="38">
        <f t="shared" ca="1" si="26"/>
        <v>8.3624057076596287E-3</v>
      </c>
      <c r="L260" s="38">
        <f t="shared" ca="1" si="27"/>
        <v>-6.1482105721344924E-4</v>
      </c>
    </row>
    <row r="261" spans="1:12" ht="13.8" thickBot="1" x14ac:dyDescent="0.3">
      <c r="A261" s="12">
        <f ca="1">IFERROR(__xludf.DUMMYFUNCTION("""COMPUTED_VALUE"""),43822.6666666666)</f>
        <v>43822.666666666599</v>
      </c>
      <c r="B261" s="4">
        <v>35.17</v>
      </c>
      <c r="C261" s="2">
        <f ca="1">IFERROR(__xludf.DUMMYFUNCTION("""COMPUTED_VALUE"""),70.53)</f>
        <v>70.53</v>
      </c>
      <c r="D261" s="2">
        <f ca="1">IFERROR(__xludf.DUMMYFUNCTION("""COMPUTED_VALUE"""),321.22)</f>
        <v>321.22000000000003</v>
      </c>
      <c r="F261" s="16">
        <f t="shared" si="22"/>
        <v>5.9888956985563154E-3</v>
      </c>
      <c r="G261" s="16">
        <f t="shared" ca="1" si="23"/>
        <v>5.5449065080557932E-3</v>
      </c>
      <c r="H261" s="16">
        <f t="shared" ca="1" si="24"/>
        <v>1.5265989412329344E-3</v>
      </c>
      <c r="J261" s="38">
        <f t="shared" si="25"/>
        <v>5.9039750636356806E-3</v>
      </c>
      <c r="K261" s="38">
        <f t="shared" ca="1" si="26"/>
        <v>5.4599858731351585E-3</v>
      </c>
      <c r="L261" s="38">
        <f t="shared" ca="1" si="27"/>
        <v>1.4416783063122994E-3</v>
      </c>
    </row>
    <row r="262" spans="1:12" ht="13.8" thickBot="1" x14ac:dyDescent="0.3">
      <c r="A262" s="12">
        <f ca="1">IFERROR(__xludf.DUMMYFUNCTION("""COMPUTED_VALUE"""),43823.5416666666)</f>
        <v>43823.541666666599</v>
      </c>
      <c r="B262" s="4">
        <v>35.22</v>
      </c>
      <c r="C262" s="2">
        <f ca="1">IFERROR(__xludf.DUMMYFUNCTION("""COMPUTED_VALUE"""),71.32)</f>
        <v>71.319999999999993</v>
      </c>
      <c r="D262" s="2">
        <f ca="1">IFERROR(__xludf.DUMMYFUNCTION("""COMPUTED_VALUE"""),321.23)</f>
        <v>321.23</v>
      </c>
      <c r="F262" s="16">
        <f t="shared" si="22"/>
        <v>1.4206565821690063E-3</v>
      </c>
      <c r="G262" s="16">
        <f t="shared" ca="1" si="23"/>
        <v>1.1138641774851674E-2</v>
      </c>
      <c r="H262" s="16">
        <f t="shared" ca="1" si="24"/>
        <v>3.1130827304256394E-5</v>
      </c>
      <c r="J262" s="38">
        <f t="shared" si="25"/>
        <v>1.3357359472483713E-3</v>
      </c>
      <c r="K262" s="38">
        <f t="shared" ca="1" si="26"/>
        <v>1.1053721139931038E-2</v>
      </c>
      <c r="L262" s="38">
        <f t="shared" ca="1" si="27"/>
        <v>-5.378980761637852E-5</v>
      </c>
    </row>
    <row r="263" spans="1:12" ht="13.8" thickBot="1" x14ac:dyDescent="0.3">
      <c r="A263" s="12">
        <f ca="1">IFERROR(__xludf.DUMMYFUNCTION("""COMPUTED_VALUE"""),43825.6666666666)</f>
        <v>43825.666666666599</v>
      </c>
      <c r="B263" s="4">
        <v>35.520000000000003</v>
      </c>
      <c r="C263" s="2">
        <f ca="1">IFERROR(__xludf.DUMMYFUNCTION("""COMPUTED_VALUE"""),71)</f>
        <v>71</v>
      </c>
      <c r="D263" s="2">
        <f ca="1">IFERROR(__xludf.DUMMYFUNCTION("""COMPUTED_VALUE"""),322.94)</f>
        <v>322.94</v>
      </c>
      <c r="F263" s="16">
        <f t="shared" si="22"/>
        <v>8.4818150559093503E-3</v>
      </c>
      <c r="G263" s="16">
        <f t="shared" ca="1" si="23"/>
        <v>-4.4969159536241967E-3</v>
      </c>
      <c r="H263" s="16">
        <f t="shared" ca="1" si="24"/>
        <v>5.3091699914194178E-3</v>
      </c>
      <c r="J263" s="38">
        <f t="shared" si="25"/>
        <v>8.3968944209887146E-3</v>
      </c>
      <c r="K263" s="38">
        <f t="shared" ca="1" si="26"/>
        <v>-4.5818365885448315E-3</v>
      </c>
      <c r="L263" s="38">
        <f t="shared" ca="1" si="27"/>
        <v>5.224249356498783E-3</v>
      </c>
    </row>
    <row r="264" spans="1:12" ht="13.8" thickBot="1" x14ac:dyDescent="0.3">
      <c r="A264" s="12">
        <f ca="1">IFERROR(__xludf.DUMMYFUNCTION("""COMPUTED_VALUE"""),43826.6666666666)</f>
        <v>43826.666666666599</v>
      </c>
      <c r="B264" s="4">
        <v>35.35</v>
      </c>
      <c r="C264" s="2">
        <f ca="1">IFERROR(__xludf.DUMMYFUNCTION("""COMPUTED_VALUE"""),71.57)</f>
        <v>71.569999999999993</v>
      </c>
      <c r="D264" s="2">
        <f ca="1">IFERROR(__xludf.DUMMYFUNCTION("""COMPUTED_VALUE"""),322.86)</f>
        <v>322.86</v>
      </c>
      <c r="F264" s="16">
        <f t="shared" si="22"/>
        <v>-4.7975257813876286E-3</v>
      </c>
      <c r="G264" s="16">
        <f t="shared" ca="1" si="23"/>
        <v>7.9961147091906319E-3</v>
      </c>
      <c r="H264" s="16">
        <f t="shared" ca="1" si="24"/>
        <v>-2.4775472409168319E-4</v>
      </c>
      <c r="J264" s="38">
        <f t="shared" si="25"/>
        <v>-4.8824464163082634E-3</v>
      </c>
      <c r="K264" s="38">
        <f t="shared" ca="1" si="26"/>
        <v>7.9111940742699963E-3</v>
      </c>
      <c r="L264" s="38">
        <f t="shared" ca="1" si="27"/>
        <v>-3.3267535901231808E-4</v>
      </c>
    </row>
    <row r="265" spans="1:12" s="36" customFormat="1" ht="13.8" thickBot="1" x14ac:dyDescent="0.3">
      <c r="A265" s="33">
        <f ca="1">IFERROR(__xludf.DUMMYFUNCTION("""COMPUTED_VALUE"""),43829.6666666666)</f>
        <v>43829.666666666599</v>
      </c>
      <c r="B265" s="34">
        <v>35.15</v>
      </c>
      <c r="C265" s="35">
        <f ca="1">IFERROR(__xludf.DUMMYFUNCTION("""COMPUTED_VALUE"""),71.2)</f>
        <v>71.2</v>
      </c>
      <c r="D265" s="35">
        <f ca="1">IFERROR(__xludf.DUMMYFUNCTION("""COMPUTED_VALUE"""),321.08)</f>
        <v>321.08</v>
      </c>
      <c r="F265" s="37">
        <f t="shared" si="22"/>
        <v>-5.6737740859079365E-3</v>
      </c>
      <c r="G265" s="37">
        <f t="shared" ca="1" si="23"/>
        <v>-5.183173332575868E-3</v>
      </c>
      <c r="H265" s="37">
        <f t="shared" ca="1" si="24"/>
        <v>-5.5284794660072538E-3</v>
      </c>
      <c r="J265" s="38">
        <f t="shared" si="25"/>
        <v>-5.7586947208285713E-3</v>
      </c>
      <c r="K265" s="38">
        <f t="shared" ca="1" si="26"/>
        <v>-5.2680939674965028E-3</v>
      </c>
      <c r="L265" s="38">
        <f t="shared" ca="1" si="27"/>
        <v>-5.6134001009278886E-3</v>
      </c>
    </row>
    <row r="266" spans="1:12" s="36" customFormat="1" ht="13.8" thickBot="1" x14ac:dyDescent="0.3">
      <c r="A266" s="33">
        <v>43830.666666666664</v>
      </c>
      <c r="B266" s="34">
        <v>35.22</v>
      </c>
      <c r="C266" s="35">
        <f ca="1">IFERROR(__xludf.DUMMYFUNCTION("""COMPUTED_VALUE"""),72.13)</f>
        <v>72.13</v>
      </c>
      <c r="D266" s="35">
        <f ca="1">IFERROR(__xludf.DUMMYFUNCTION("""COMPUTED_VALUE"""),321.86)</f>
        <v>321.86</v>
      </c>
      <c r="F266" s="37">
        <f t="shared" si="22"/>
        <v>1.9894848113862782E-3</v>
      </c>
      <c r="G266" s="37">
        <f t="shared" ca="1" si="23"/>
        <v>1.2977228097651105E-2</v>
      </c>
      <c r="H266" s="37">
        <f t="shared" ref="H266" ca="1" si="28">LN(D266/D265)</f>
        <v>2.4263551269726896E-3</v>
      </c>
      <c r="J266" s="38">
        <f t="shared" si="25"/>
        <v>1.9045641764656432E-3</v>
      </c>
      <c r="K266" s="38">
        <f t="shared" ca="1" si="26"/>
        <v>1.2892307462730469E-2</v>
      </c>
      <c r="L266" s="38">
        <f t="shared" ca="1" si="27"/>
        <v>2.3414344920520548E-3</v>
      </c>
    </row>
    <row r="267" spans="1:12" ht="13.8" thickBot="1" x14ac:dyDescent="0.3">
      <c r="A267" s="12"/>
    </row>
    <row r="268" spans="1:12" ht="13.8" thickBot="1" x14ac:dyDescent="0.3">
      <c r="A268" s="12"/>
    </row>
    <row r="269" spans="1:12" ht="13.8" thickBot="1" x14ac:dyDescent="0.3">
      <c r="A269" s="12"/>
    </row>
    <row r="270" spans="1:12" ht="13.8" thickBot="1" x14ac:dyDescent="0.3">
      <c r="A270" s="12"/>
    </row>
    <row r="271" spans="1:12" ht="13.8" thickBot="1" x14ac:dyDescent="0.3">
      <c r="A271" s="12"/>
    </row>
    <row r="272" spans="1:12" ht="13.8" thickBot="1" x14ac:dyDescent="0.3">
      <c r="A272" s="12"/>
    </row>
    <row r="273" spans="1:1" ht="13.8" thickBot="1" x14ac:dyDescent="0.3">
      <c r="A273" s="12"/>
    </row>
    <row r="274" spans="1:1" ht="13.8" thickBot="1" x14ac:dyDescent="0.3">
      <c r="A274" s="12"/>
    </row>
    <row r="275" spans="1:1" ht="13.8" thickBot="1" x14ac:dyDescent="0.3">
      <c r="A275" s="12"/>
    </row>
    <row r="276" spans="1:1" ht="13.8" thickBot="1" x14ac:dyDescent="0.3">
      <c r="A276" s="12"/>
    </row>
    <row r="277" spans="1:1" ht="13.8" thickBot="1" x14ac:dyDescent="0.3">
      <c r="A277" s="12"/>
    </row>
    <row r="278" spans="1:1" ht="13.8" thickBot="1" x14ac:dyDescent="0.3">
      <c r="A278" s="12"/>
    </row>
    <row r="279" spans="1:1" ht="13.8" thickBot="1" x14ac:dyDescent="0.3">
      <c r="A279" s="12"/>
    </row>
    <row r="280" spans="1:1" ht="13.8" thickBot="1" x14ac:dyDescent="0.3">
      <c r="A280" s="12"/>
    </row>
    <row r="281" spans="1:1" ht="13.8" thickBot="1" x14ac:dyDescent="0.3">
      <c r="A281" s="12"/>
    </row>
    <row r="282" spans="1:1" ht="13.8" thickBot="1" x14ac:dyDescent="0.3">
      <c r="A282" s="12"/>
    </row>
    <row r="283" spans="1:1" ht="13.8" thickBot="1" x14ac:dyDescent="0.3">
      <c r="A283" s="12"/>
    </row>
    <row r="284" spans="1:1" ht="13.8" thickBot="1" x14ac:dyDescent="0.3">
      <c r="A284" s="12"/>
    </row>
    <row r="285" spans="1:1" ht="13.8" thickBot="1" x14ac:dyDescent="0.3">
      <c r="A285" s="12"/>
    </row>
    <row r="286" spans="1:1" ht="13.8" thickBot="1" x14ac:dyDescent="0.3">
      <c r="A286" s="12"/>
    </row>
    <row r="287" spans="1:1" ht="13.8" thickBot="1" x14ac:dyDescent="0.3">
      <c r="A287" s="12"/>
    </row>
    <row r="288" spans="1:1" ht="13.8" thickBot="1" x14ac:dyDescent="0.3">
      <c r="A288" s="12"/>
    </row>
    <row r="289" spans="1:1" ht="13.8" thickBot="1" x14ac:dyDescent="0.3">
      <c r="A289" s="12"/>
    </row>
    <row r="290" spans="1:1" ht="13.8" thickBot="1" x14ac:dyDescent="0.3">
      <c r="A290" s="12"/>
    </row>
    <row r="291" spans="1:1" ht="13.8" thickBot="1" x14ac:dyDescent="0.3">
      <c r="A291" s="12"/>
    </row>
    <row r="292" spans="1:1" ht="13.8" thickBot="1" x14ac:dyDescent="0.3">
      <c r="A292" s="12"/>
    </row>
    <row r="293" spans="1:1" ht="13.8" thickBot="1" x14ac:dyDescent="0.3">
      <c r="A293" s="12"/>
    </row>
    <row r="294" spans="1:1" ht="13.8" thickBot="1" x14ac:dyDescent="0.3">
      <c r="A294" s="12"/>
    </row>
    <row r="295" spans="1:1" ht="13.8" thickBot="1" x14ac:dyDescent="0.3">
      <c r="A295" s="12"/>
    </row>
    <row r="296" spans="1:1" ht="13.8" thickBot="1" x14ac:dyDescent="0.3">
      <c r="A296" s="12"/>
    </row>
    <row r="297" spans="1:1" ht="13.8" thickBot="1" x14ac:dyDescent="0.3">
      <c r="A297" s="12"/>
    </row>
    <row r="298" spans="1:1" ht="13.8" thickBot="1" x14ac:dyDescent="0.3">
      <c r="A298" s="12"/>
    </row>
    <row r="299" spans="1:1" ht="13.8" thickBot="1" x14ac:dyDescent="0.3">
      <c r="A299" s="12"/>
    </row>
    <row r="300" spans="1:1" ht="13.8" thickBot="1" x14ac:dyDescent="0.3">
      <c r="A300" s="12"/>
    </row>
    <row r="301" spans="1:1" ht="13.8" thickBot="1" x14ac:dyDescent="0.3">
      <c r="A301" s="12"/>
    </row>
    <row r="302" spans="1:1" ht="13.8" thickBot="1" x14ac:dyDescent="0.3">
      <c r="A302" s="12"/>
    </row>
    <row r="303" spans="1:1" ht="13.8" thickBot="1" x14ac:dyDescent="0.3">
      <c r="A303" s="12"/>
    </row>
    <row r="304" spans="1:1" ht="13.8" thickBot="1" x14ac:dyDescent="0.3">
      <c r="A304" s="12"/>
    </row>
    <row r="305" spans="1:1" ht="13.8" thickBot="1" x14ac:dyDescent="0.3">
      <c r="A305" s="12"/>
    </row>
    <row r="306" spans="1:1" ht="13.8" thickBot="1" x14ac:dyDescent="0.3">
      <c r="A306" s="12"/>
    </row>
    <row r="307" spans="1:1" ht="13.8" thickBot="1" x14ac:dyDescent="0.3">
      <c r="A307" s="12"/>
    </row>
    <row r="308" spans="1:1" ht="13.8" thickBot="1" x14ac:dyDescent="0.3">
      <c r="A308" s="12"/>
    </row>
    <row r="309" spans="1:1" ht="13.8" thickBot="1" x14ac:dyDescent="0.3">
      <c r="A309" s="12"/>
    </row>
    <row r="310" spans="1:1" ht="13.8" thickBot="1" x14ac:dyDescent="0.3">
      <c r="A310" s="12"/>
    </row>
    <row r="311" spans="1:1" ht="13.8" thickBot="1" x14ac:dyDescent="0.3">
      <c r="A311" s="12"/>
    </row>
    <row r="312" spans="1:1" ht="13.8" thickBot="1" x14ac:dyDescent="0.3">
      <c r="A312" s="12"/>
    </row>
    <row r="313" spans="1:1" ht="13.8" thickBot="1" x14ac:dyDescent="0.3">
      <c r="A313" s="12"/>
    </row>
    <row r="314" spans="1:1" ht="13.8" thickBot="1" x14ac:dyDescent="0.3">
      <c r="A314" s="12"/>
    </row>
    <row r="315" spans="1:1" ht="13.8" thickBot="1" x14ac:dyDescent="0.3">
      <c r="A315" s="12"/>
    </row>
    <row r="316" spans="1:1" ht="13.8" thickBot="1" x14ac:dyDescent="0.3">
      <c r="A316" s="12"/>
    </row>
    <row r="317" spans="1:1" ht="13.8" thickBot="1" x14ac:dyDescent="0.3">
      <c r="A317" s="12"/>
    </row>
    <row r="318" spans="1:1" ht="13.8" thickBot="1" x14ac:dyDescent="0.3">
      <c r="A318" s="12"/>
    </row>
    <row r="319" spans="1:1" ht="13.8" thickBot="1" x14ac:dyDescent="0.3">
      <c r="A319" s="12"/>
    </row>
    <row r="320" spans="1:1" ht="13.8" thickBot="1" x14ac:dyDescent="0.3">
      <c r="A320" s="12"/>
    </row>
    <row r="321" spans="1:1" ht="13.8" thickBot="1" x14ac:dyDescent="0.3">
      <c r="A321" s="12"/>
    </row>
    <row r="322" spans="1:1" ht="13.8" thickBot="1" x14ac:dyDescent="0.3">
      <c r="A322" s="12"/>
    </row>
    <row r="323" spans="1:1" ht="13.8" thickBot="1" x14ac:dyDescent="0.3">
      <c r="A323" s="12"/>
    </row>
    <row r="324" spans="1:1" ht="13.8" thickBot="1" x14ac:dyDescent="0.3">
      <c r="A324" s="12"/>
    </row>
    <row r="325" spans="1:1" ht="13.8" thickBot="1" x14ac:dyDescent="0.3">
      <c r="A325" s="12"/>
    </row>
    <row r="326" spans="1:1" ht="13.8" thickBot="1" x14ac:dyDescent="0.3">
      <c r="A326" s="12"/>
    </row>
    <row r="327" spans="1:1" ht="13.8" thickBot="1" x14ac:dyDescent="0.3">
      <c r="A327" s="12"/>
    </row>
    <row r="328" spans="1:1" ht="13.8" thickBot="1" x14ac:dyDescent="0.3">
      <c r="A328" s="12"/>
    </row>
    <row r="329" spans="1:1" ht="13.8" thickBot="1" x14ac:dyDescent="0.3">
      <c r="A329" s="12"/>
    </row>
    <row r="330" spans="1:1" ht="13.8" thickBot="1" x14ac:dyDescent="0.3">
      <c r="A330" s="12"/>
    </row>
    <row r="331" spans="1:1" ht="13.8" thickBot="1" x14ac:dyDescent="0.3">
      <c r="A331" s="12"/>
    </row>
    <row r="332" spans="1:1" ht="13.8" thickBot="1" x14ac:dyDescent="0.3">
      <c r="A332" s="12"/>
    </row>
    <row r="333" spans="1:1" ht="13.8" thickBot="1" x14ac:dyDescent="0.3">
      <c r="A333" s="12"/>
    </row>
    <row r="334" spans="1:1" ht="13.8" thickBot="1" x14ac:dyDescent="0.3">
      <c r="A334" s="12"/>
    </row>
    <row r="335" spans="1:1" ht="13.8" thickBot="1" x14ac:dyDescent="0.3">
      <c r="A335" s="12"/>
    </row>
    <row r="336" spans="1:1" ht="13.8" thickBot="1" x14ac:dyDescent="0.3">
      <c r="A336" s="12"/>
    </row>
    <row r="337" spans="1:1" ht="13.8" thickBot="1" x14ac:dyDescent="0.3">
      <c r="A337" s="12"/>
    </row>
    <row r="338" spans="1:1" ht="13.8" thickBot="1" x14ac:dyDescent="0.3">
      <c r="A338" s="12"/>
    </row>
    <row r="339" spans="1:1" ht="13.8" thickBot="1" x14ac:dyDescent="0.3">
      <c r="A339" s="12"/>
    </row>
    <row r="340" spans="1:1" ht="13.8" thickBot="1" x14ac:dyDescent="0.3">
      <c r="A340" s="12"/>
    </row>
    <row r="341" spans="1:1" ht="13.8" thickBot="1" x14ac:dyDescent="0.3">
      <c r="A341" s="12"/>
    </row>
    <row r="342" spans="1:1" ht="13.8" thickBot="1" x14ac:dyDescent="0.3">
      <c r="A342" s="12"/>
    </row>
    <row r="343" spans="1:1" ht="13.8" thickBot="1" x14ac:dyDescent="0.3">
      <c r="A343" s="12"/>
    </row>
    <row r="344" spans="1:1" ht="13.8" thickBot="1" x14ac:dyDescent="0.3">
      <c r="A344" s="12"/>
    </row>
    <row r="345" spans="1:1" ht="13.8" thickBot="1" x14ac:dyDescent="0.3">
      <c r="A345" s="12"/>
    </row>
    <row r="346" spans="1:1" ht="13.8" thickBot="1" x14ac:dyDescent="0.3">
      <c r="A346" s="12"/>
    </row>
    <row r="347" spans="1:1" ht="13.8" thickBot="1" x14ac:dyDescent="0.3">
      <c r="A347" s="12"/>
    </row>
    <row r="348" spans="1:1" ht="13.8" thickBot="1" x14ac:dyDescent="0.3">
      <c r="A348" s="12"/>
    </row>
    <row r="349" spans="1:1" ht="13.8" thickBot="1" x14ac:dyDescent="0.3">
      <c r="A349" s="12"/>
    </row>
    <row r="350" spans="1:1" ht="13.8" thickBot="1" x14ac:dyDescent="0.3">
      <c r="A350" s="12"/>
    </row>
    <row r="351" spans="1:1" ht="13.8" thickBot="1" x14ac:dyDescent="0.3">
      <c r="A351" s="12"/>
    </row>
    <row r="352" spans="1:1" ht="13.8" thickBot="1" x14ac:dyDescent="0.3">
      <c r="A352" s="12"/>
    </row>
    <row r="353" spans="1:1" ht="13.8" thickBot="1" x14ac:dyDescent="0.3">
      <c r="A353" s="12"/>
    </row>
    <row r="354" spans="1:1" ht="13.8" thickBot="1" x14ac:dyDescent="0.3">
      <c r="A354" s="12"/>
    </row>
    <row r="355" spans="1:1" ht="13.8" thickBot="1" x14ac:dyDescent="0.3">
      <c r="A355" s="12"/>
    </row>
    <row r="356" spans="1:1" ht="13.8" thickBot="1" x14ac:dyDescent="0.3">
      <c r="A356" s="12"/>
    </row>
    <row r="357" spans="1:1" ht="13.8" thickBot="1" x14ac:dyDescent="0.3">
      <c r="A357" s="12"/>
    </row>
    <row r="358" spans="1:1" ht="13.8" thickBot="1" x14ac:dyDescent="0.3">
      <c r="A358" s="12"/>
    </row>
    <row r="359" spans="1:1" ht="13.8" thickBot="1" x14ac:dyDescent="0.3">
      <c r="A359" s="12"/>
    </row>
    <row r="360" spans="1:1" ht="13.8" thickBot="1" x14ac:dyDescent="0.3">
      <c r="A360" s="12"/>
    </row>
    <row r="361" spans="1:1" ht="13.8" thickBot="1" x14ac:dyDescent="0.3">
      <c r="A361" s="12"/>
    </row>
    <row r="362" spans="1:1" ht="13.8" thickBot="1" x14ac:dyDescent="0.3">
      <c r="A362" s="12"/>
    </row>
    <row r="363" spans="1:1" ht="13.8" thickBot="1" x14ac:dyDescent="0.3">
      <c r="A363" s="12"/>
    </row>
    <row r="364" spans="1:1" ht="13.8" thickBot="1" x14ac:dyDescent="0.3">
      <c r="A364" s="12"/>
    </row>
    <row r="365" spans="1:1" ht="13.8" thickBot="1" x14ac:dyDescent="0.3">
      <c r="A365" s="12"/>
    </row>
    <row r="366" spans="1:1" ht="13.8" thickBot="1" x14ac:dyDescent="0.3">
      <c r="A366" s="12"/>
    </row>
    <row r="367" spans="1:1" ht="13.8" thickBot="1" x14ac:dyDescent="0.3">
      <c r="A367" s="12"/>
    </row>
    <row r="368" spans="1:1" ht="13.8" thickBot="1" x14ac:dyDescent="0.3">
      <c r="A368" s="12"/>
    </row>
    <row r="369" spans="1:1" ht="13.8" thickBot="1" x14ac:dyDescent="0.3">
      <c r="A369" s="12"/>
    </row>
    <row r="370" spans="1:1" ht="13.8" thickBot="1" x14ac:dyDescent="0.3">
      <c r="A370" s="12"/>
    </row>
    <row r="371" spans="1:1" ht="13.8" thickBot="1" x14ac:dyDescent="0.3">
      <c r="A371" s="12"/>
    </row>
    <row r="372" spans="1:1" ht="13.8" thickBot="1" x14ac:dyDescent="0.3">
      <c r="A372" s="12"/>
    </row>
    <row r="373" spans="1:1" ht="13.8" thickBot="1" x14ac:dyDescent="0.3">
      <c r="A373" s="12"/>
    </row>
    <row r="374" spans="1:1" ht="13.8" thickBot="1" x14ac:dyDescent="0.3">
      <c r="A374" s="12"/>
    </row>
    <row r="375" spans="1:1" ht="13.8" thickBot="1" x14ac:dyDescent="0.3">
      <c r="A375" s="12"/>
    </row>
    <row r="376" spans="1:1" ht="13.8" thickBot="1" x14ac:dyDescent="0.3">
      <c r="A376" s="12"/>
    </row>
    <row r="377" spans="1:1" ht="13.8" thickBot="1" x14ac:dyDescent="0.3">
      <c r="A377" s="12"/>
    </row>
    <row r="378" spans="1:1" ht="13.8" thickBot="1" x14ac:dyDescent="0.3">
      <c r="A378" s="12"/>
    </row>
    <row r="379" spans="1:1" ht="13.8" thickBot="1" x14ac:dyDescent="0.3">
      <c r="A379" s="12"/>
    </row>
    <row r="380" spans="1:1" ht="13.8" thickBot="1" x14ac:dyDescent="0.3">
      <c r="A380" s="12"/>
    </row>
    <row r="381" spans="1:1" ht="13.8" thickBot="1" x14ac:dyDescent="0.3">
      <c r="A381" s="12"/>
    </row>
    <row r="382" spans="1:1" ht="13.8" thickBot="1" x14ac:dyDescent="0.3">
      <c r="A382" s="12"/>
    </row>
    <row r="383" spans="1:1" ht="13.8" thickBot="1" x14ac:dyDescent="0.3">
      <c r="A383" s="12"/>
    </row>
    <row r="384" spans="1:1" ht="13.8" thickBot="1" x14ac:dyDescent="0.3">
      <c r="A384" s="12"/>
    </row>
    <row r="385" spans="1:1" ht="13.8" thickBot="1" x14ac:dyDescent="0.3">
      <c r="A385" s="12"/>
    </row>
    <row r="386" spans="1:1" ht="13.8" thickBot="1" x14ac:dyDescent="0.3">
      <c r="A386" s="12"/>
    </row>
    <row r="387" spans="1:1" ht="13.8" thickBot="1" x14ac:dyDescent="0.3">
      <c r="A387" s="12"/>
    </row>
    <row r="388" spans="1:1" ht="13.8" thickBot="1" x14ac:dyDescent="0.3">
      <c r="A388" s="12"/>
    </row>
    <row r="389" spans="1:1" ht="13.8" thickBot="1" x14ac:dyDescent="0.3">
      <c r="A389" s="12"/>
    </row>
    <row r="390" spans="1:1" ht="13.8" thickBot="1" x14ac:dyDescent="0.3">
      <c r="A390" s="12"/>
    </row>
    <row r="391" spans="1:1" ht="13.8" thickBot="1" x14ac:dyDescent="0.3">
      <c r="A391" s="12"/>
    </row>
    <row r="392" spans="1:1" ht="13.8" thickBot="1" x14ac:dyDescent="0.3">
      <c r="A392" s="12"/>
    </row>
    <row r="393" spans="1:1" ht="13.8" thickBot="1" x14ac:dyDescent="0.3">
      <c r="A393" s="12"/>
    </row>
    <row r="394" spans="1:1" ht="13.8" thickBot="1" x14ac:dyDescent="0.3">
      <c r="A394" s="12"/>
    </row>
    <row r="395" spans="1:1" ht="13.8" thickBot="1" x14ac:dyDescent="0.3">
      <c r="A395" s="12"/>
    </row>
    <row r="396" spans="1:1" ht="13.8" thickBot="1" x14ac:dyDescent="0.3">
      <c r="A396" s="12"/>
    </row>
    <row r="397" spans="1:1" ht="13.8" thickBot="1" x14ac:dyDescent="0.3">
      <c r="A397" s="12"/>
    </row>
    <row r="398" spans="1:1" ht="13.8" thickBot="1" x14ac:dyDescent="0.3">
      <c r="A398" s="12"/>
    </row>
    <row r="399" spans="1:1" ht="13.8" thickBot="1" x14ac:dyDescent="0.3">
      <c r="A399" s="12"/>
    </row>
    <row r="400" spans="1:1" ht="13.8" thickBot="1" x14ac:dyDescent="0.3">
      <c r="A400" s="12"/>
    </row>
    <row r="401" spans="1:1" ht="13.8" thickBot="1" x14ac:dyDescent="0.3">
      <c r="A401" s="12"/>
    </row>
    <row r="402" spans="1:1" ht="13.8" thickBot="1" x14ac:dyDescent="0.3">
      <c r="A402" s="12"/>
    </row>
    <row r="403" spans="1:1" ht="13.8" thickBot="1" x14ac:dyDescent="0.3">
      <c r="A403" s="12"/>
    </row>
    <row r="404" spans="1:1" ht="13.8" thickBot="1" x14ac:dyDescent="0.3">
      <c r="A404" s="12"/>
    </row>
    <row r="405" spans="1:1" ht="13.8" thickBot="1" x14ac:dyDescent="0.3">
      <c r="A405" s="12"/>
    </row>
    <row r="406" spans="1:1" ht="13.8" thickBot="1" x14ac:dyDescent="0.3">
      <c r="A406" s="12"/>
    </row>
    <row r="407" spans="1:1" ht="13.8" thickBot="1" x14ac:dyDescent="0.3">
      <c r="A407" s="12"/>
    </row>
    <row r="408" spans="1:1" ht="13.8" thickBot="1" x14ac:dyDescent="0.3">
      <c r="A408" s="12"/>
    </row>
    <row r="409" spans="1:1" ht="13.8" thickBot="1" x14ac:dyDescent="0.3">
      <c r="A409" s="12"/>
    </row>
    <row r="410" spans="1:1" ht="13.8" thickBot="1" x14ac:dyDescent="0.3">
      <c r="A410" s="12"/>
    </row>
    <row r="411" spans="1:1" ht="13.8" thickBot="1" x14ac:dyDescent="0.3">
      <c r="A411" s="12"/>
    </row>
    <row r="412" spans="1:1" ht="13.8" thickBot="1" x14ac:dyDescent="0.3">
      <c r="A412" s="12"/>
    </row>
    <row r="413" spans="1:1" ht="13.8" thickBot="1" x14ac:dyDescent="0.3">
      <c r="A413" s="12"/>
    </row>
    <row r="414" spans="1:1" ht="13.8" thickBot="1" x14ac:dyDescent="0.3">
      <c r="A414" s="12"/>
    </row>
    <row r="415" spans="1:1" ht="13.8" thickBot="1" x14ac:dyDescent="0.3">
      <c r="A415" s="12"/>
    </row>
    <row r="416" spans="1:1" ht="13.8" thickBot="1" x14ac:dyDescent="0.3">
      <c r="A416" s="12"/>
    </row>
    <row r="417" spans="1:1" ht="13.8" thickBot="1" x14ac:dyDescent="0.3">
      <c r="A417" s="12"/>
    </row>
    <row r="418" spans="1:1" ht="13.8" thickBot="1" x14ac:dyDescent="0.3">
      <c r="A418" s="12"/>
    </row>
    <row r="419" spans="1:1" ht="13.8" thickBot="1" x14ac:dyDescent="0.3">
      <c r="A419" s="12"/>
    </row>
    <row r="420" spans="1:1" ht="13.8" thickBot="1" x14ac:dyDescent="0.3">
      <c r="A420" s="12"/>
    </row>
    <row r="421" spans="1:1" ht="13.8" thickBot="1" x14ac:dyDescent="0.3">
      <c r="A421" s="12"/>
    </row>
    <row r="422" spans="1:1" ht="13.8" thickBot="1" x14ac:dyDescent="0.3">
      <c r="A422" s="12"/>
    </row>
    <row r="423" spans="1:1" ht="13.8" thickBot="1" x14ac:dyDescent="0.3">
      <c r="A423" s="12"/>
    </row>
    <row r="424" spans="1:1" ht="13.8" thickBot="1" x14ac:dyDescent="0.3">
      <c r="A424" s="12"/>
    </row>
    <row r="425" spans="1:1" ht="13.8" thickBot="1" x14ac:dyDescent="0.3">
      <c r="A425" s="12"/>
    </row>
    <row r="426" spans="1:1" ht="13.8" thickBot="1" x14ac:dyDescent="0.3">
      <c r="A426" s="12"/>
    </row>
    <row r="427" spans="1:1" ht="13.8" thickBot="1" x14ac:dyDescent="0.3">
      <c r="A427" s="12"/>
    </row>
    <row r="428" spans="1:1" ht="13.8" thickBot="1" x14ac:dyDescent="0.3">
      <c r="A428" s="12"/>
    </row>
    <row r="429" spans="1:1" ht="13.8" thickBot="1" x14ac:dyDescent="0.3">
      <c r="A429" s="12"/>
    </row>
    <row r="430" spans="1:1" ht="13.8" thickBot="1" x14ac:dyDescent="0.3">
      <c r="A430" s="12"/>
    </row>
    <row r="431" spans="1:1" ht="13.8" thickBot="1" x14ac:dyDescent="0.3">
      <c r="A431" s="12"/>
    </row>
    <row r="432" spans="1:1" ht="13.8" thickBot="1" x14ac:dyDescent="0.3">
      <c r="A432" s="12"/>
    </row>
    <row r="433" spans="1:1" ht="13.8" thickBot="1" x14ac:dyDescent="0.3">
      <c r="A433" s="12"/>
    </row>
    <row r="434" spans="1:1" ht="13.8" thickBot="1" x14ac:dyDescent="0.3">
      <c r="A434" s="12"/>
    </row>
    <row r="435" spans="1:1" ht="13.8" thickBot="1" x14ac:dyDescent="0.3">
      <c r="A435" s="12"/>
    </row>
    <row r="436" spans="1:1" ht="13.8" thickBot="1" x14ac:dyDescent="0.3">
      <c r="A436" s="12"/>
    </row>
    <row r="437" spans="1:1" ht="13.8" thickBot="1" x14ac:dyDescent="0.3">
      <c r="A437" s="12"/>
    </row>
    <row r="438" spans="1:1" ht="13.8" thickBot="1" x14ac:dyDescent="0.3">
      <c r="A438" s="12"/>
    </row>
    <row r="439" spans="1:1" ht="13.8" thickBot="1" x14ac:dyDescent="0.3">
      <c r="A439" s="12"/>
    </row>
    <row r="440" spans="1:1" ht="13.8" thickBot="1" x14ac:dyDescent="0.3">
      <c r="A440" s="12"/>
    </row>
    <row r="441" spans="1:1" ht="13.8" thickBot="1" x14ac:dyDescent="0.3">
      <c r="A441" s="12"/>
    </row>
    <row r="442" spans="1:1" ht="13.8" thickBot="1" x14ac:dyDescent="0.3">
      <c r="A442" s="12"/>
    </row>
    <row r="443" spans="1:1" ht="13.8" thickBot="1" x14ac:dyDescent="0.3">
      <c r="A443" s="12"/>
    </row>
    <row r="444" spans="1:1" ht="13.8" thickBot="1" x14ac:dyDescent="0.3">
      <c r="A444" s="12"/>
    </row>
    <row r="445" spans="1:1" ht="13.8" thickBot="1" x14ac:dyDescent="0.3">
      <c r="A445" s="12"/>
    </row>
    <row r="446" spans="1:1" ht="13.8" thickBot="1" x14ac:dyDescent="0.3">
      <c r="A446" s="12"/>
    </row>
    <row r="447" spans="1:1" ht="13.8" thickBot="1" x14ac:dyDescent="0.3">
      <c r="A447" s="12"/>
    </row>
    <row r="448" spans="1:1" ht="13.8" thickBot="1" x14ac:dyDescent="0.3">
      <c r="A448" s="12"/>
    </row>
    <row r="449" spans="1:1" ht="13.8" thickBot="1" x14ac:dyDescent="0.3">
      <c r="A449" s="12"/>
    </row>
    <row r="450" spans="1:1" ht="13.8" thickBot="1" x14ac:dyDescent="0.3">
      <c r="A450" s="12"/>
    </row>
    <row r="451" spans="1:1" ht="13.8" thickBot="1" x14ac:dyDescent="0.3">
      <c r="A451" s="12"/>
    </row>
    <row r="452" spans="1:1" ht="13.8" thickBot="1" x14ac:dyDescent="0.3">
      <c r="A452" s="12"/>
    </row>
    <row r="453" spans="1:1" ht="13.8" thickBot="1" x14ac:dyDescent="0.3">
      <c r="A453" s="12"/>
    </row>
    <row r="454" spans="1:1" ht="13.8" thickBot="1" x14ac:dyDescent="0.3">
      <c r="A454" s="12"/>
    </row>
    <row r="455" spans="1:1" ht="13.8" thickBot="1" x14ac:dyDescent="0.3">
      <c r="A455" s="12"/>
    </row>
    <row r="456" spans="1:1" ht="13.8" thickBot="1" x14ac:dyDescent="0.3">
      <c r="A456" s="12"/>
    </row>
    <row r="457" spans="1:1" ht="13.8" thickBot="1" x14ac:dyDescent="0.3">
      <c r="A457" s="12"/>
    </row>
    <row r="458" spans="1:1" ht="13.8" thickBot="1" x14ac:dyDescent="0.3">
      <c r="A458" s="12"/>
    </row>
    <row r="459" spans="1:1" ht="13.8" thickBot="1" x14ac:dyDescent="0.3">
      <c r="A459" s="12"/>
    </row>
    <row r="460" spans="1:1" ht="13.8" thickBot="1" x14ac:dyDescent="0.3">
      <c r="A460" s="12"/>
    </row>
    <row r="461" spans="1:1" ht="13.8" thickBot="1" x14ac:dyDescent="0.3">
      <c r="A461" s="12"/>
    </row>
    <row r="462" spans="1:1" ht="13.8" thickBot="1" x14ac:dyDescent="0.3">
      <c r="A462" s="12"/>
    </row>
    <row r="463" spans="1:1" ht="13.8" thickBot="1" x14ac:dyDescent="0.3">
      <c r="A463" s="12"/>
    </row>
    <row r="464" spans="1:1" ht="13.8" thickBot="1" x14ac:dyDescent="0.3">
      <c r="A464" s="12"/>
    </row>
    <row r="465" spans="1:1" ht="13.8" thickBot="1" x14ac:dyDescent="0.3">
      <c r="A465" s="12"/>
    </row>
    <row r="466" spans="1:1" ht="13.8" thickBot="1" x14ac:dyDescent="0.3">
      <c r="A466" s="12"/>
    </row>
    <row r="467" spans="1:1" ht="13.8" thickBot="1" x14ac:dyDescent="0.3">
      <c r="A467" s="12"/>
    </row>
    <row r="468" spans="1:1" ht="13.8" thickBot="1" x14ac:dyDescent="0.3">
      <c r="A468" s="12"/>
    </row>
    <row r="469" spans="1:1" ht="13.8" thickBot="1" x14ac:dyDescent="0.3">
      <c r="A469" s="12"/>
    </row>
    <row r="470" spans="1:1" ht="13.8" thickBot="1" x14ac:dyDescent="0.3">
      <c r="A470" s="12"/>
    </row>
    <row r="471" spans="1:1" ht="13.8" thickBot="1" x14ac:dyDescent="0.3">
      <c r="A471" s="12"/>
    </row>
    <row r="472" spans="1:1" ht="13.8" thickBot="1" x14ac:dyDescent="0.3">
      <c r="A472" s="12"/>
    </row>
    <row r="473" spans="1:1" ht="13.8" thickBot="1" x14ac:dyDescent="0.3">
      <c r="A473" s="12"/>
    </row>
    <row r="474" spans="1:1" ht="13.8" thickBot="1" x14ac:dyDescent="0.3">
      <c r="A474" s="12"/>
    </row>
    <row r="475" spans="1:1" ht="13.8" thickBot="1" x14ac:dyDescent="0.3">
      <c r="A475" s="12"/>
    </row>
    <row r="476" spans="1:1" ht="13.8" thickBot="1" x14ac:dyDescent="0.3">
      <c r="A476" s="12"/>
    </row>
    <row r="477" spans="1:1" ht="13.8" thickBot="1" x14ac:dyDescent="0.3">
      <c r="A477" s="12"/>
    </row>
    <row r="478" spans="1:1" ht="13.8" thickBot="1" x14ac:dyDescent="0.3">
      <c r="A478" s="12"/>
    </row>
    <row r="479" spans="1:1" ht="13.8" thickBot="1" x14ac:dyDescent="0.3">
      <c r="A479" s="12"/>
    </row>
    <row r="480" spans="1:1" ht="13.8" thickBot="1" x14ac:dyDescent="0.3">
      <c r="A480" s="12"/>
    </row>
    <row r="481" spans="1:1" ht="13.8" thickBot="1" x14ac:dyDescent="0.3">
      <c r="A481" s="12"/>
    </row>
    <row r="482" spans="1:1" ht="13.8" thickBot="1" x14ac:dyDescent="0.3">
      <c r="A482" s="12"/>
    </row>
    <row r="483" spans="1:1" ht="13.8" thickBot="1" x14ac:dyDescent="0.3">
      <c r="A483" s="12"/>
    </row>
    <row r="484" spans="1:1" ht="13.8" thickBot="1" x14ac:dyDescent="0.3">
      <c r="A484" s="12"/>
    </row>
    <row r="485" spans="1:1" ht="13.8" thickBot="1" x14ac:dyDescent="0.3">
      <c r="A485" s="12"/>
    </row>
    <row r="486" spans="1:1" ht="13.8" thickBot="1" x14ac:dyDescent="0.3">
      <c r="A486" s="12"/>
    </row>
    <row r="487" spans="1:1" ht="13.8" thickBot="1" x14ac:dyDescent="0.3">
      <c r="A487" s="12"/>
    </row>
    <row r="488" spans="1:1" ht="13.8" thickBot="1" x14ac:dyDescent="0.3">
      <c r="A488" s="12"/>
    </row>
    <row r="489" spans="1:1" ht="13.8" thickBot="1" x14ac:dyDescent="0.3">
      <c r="A489" s="12"/>
    </row>
    <row r="490" spans="1:1" ht="13.8" thickBot="1" x14ac:dyDescent="0.3">
      <c r="A490" s="12"/>
    </row>
    <row r="491" spans="1:1" ht="13.8" thickBot="1" x14ac:dyDescent="0.3">
      <c r="A491" s="12"/>
    </row>
    <row r="492" spans="1:1" ht="13.8" thickBot="1" x14ac:dyDescent="0.3">
      <c r="A492" s="12"/>
    </row>
    <row r="493" spans="1:1" ht="13.8" thickBot="1" x14ac:dyDescent="0.3">
      <c r="A493" s="12"/>
    </row>
    <row r="494" spans="1:1" ht="13.8" thickBot="1" x14ac:dyDescent="0.3">
      <c r="A494" s="12"/>
    </row>
    <row r="495" spans="1:1" ht="13.8" thickBot="1" x14ac:dyDescent="0.3">
      <c r="A495" s="12"/>
    </row>
    <row r="496" spans="1:1" ht="13.8" thickBot="1" x14ac:dyDescent="0.3">
      <c r="A496" s="12"/>
    </row>
    <row r="497" spans="1:1" ht="13.8" thickBot="1" x14ac:dyDescent="0.3">
      <c r="A497" s="12"/>
    </row>
    <row r="498" spans="1:1" ht="13.8" thickBot="1" x14ac:dyDescent="0.3">
      <c r="A498" s="12"/>
    </row>
    <row r="499" spans="1:1" ht="13.8" thickBot="1" x14ac:dyDescent="0.3">
      <c r="A499" s="12"/>
    </row>
    <row r="500" spans="1:1" ht="13.8" thickBot="1" x14ac:dyDescent="0.3">
      <c r="A500" s="12"/>
    </row>
    <row r="501" spans="1:1" ht="13.8" thickBot="1" x14ac:dyDescent="0.3">
      <c r="A501" s="12"/>
    </row>
    <row r="502" spans="1:1" ht="13.8" thickBot="1" x14ac:dyDescent="0.3">
      <c r="A502" s="12"/>
    </row>
    <row r="503" spans="1:1" ht="13.8" thickBot="1" x14ac:dyDescent="0.3">
      <c r="A503" s="12"/>
    </row>
    <row r="504" spans="1:1" ht="13.8" thickBot="1" x14ac:dyDescent="0.3">
      <c r="A504" s="12"/>
    </row>
    <row r="505" spans="1:1" ht="13.8" thickBot="1" x14ac:dyDescent="0.3">
      <c r="A505" s="12"/>
    </row>
    <row r="506" spans="1:1" ht="13.8" thickBot="1" x14ac:dyDescent="0.3">
      <c r="A506" s="12"/>
    </row>
    <row r="507" spans="1:1" ht="13.8" thickBot="1" x14ac:dyDescent="0.3">
      <c r="A507" s="12"/>
    </row>
    <row r="508" spans="1:1" ht="13.8" thickBot="1" x14ac:dyDescent="0.3">
      <c r="A508" s="12"/>
    </row>
    <row r="509" spans="1:1" ht="13.8" thickBot="1" x14ac:dyDescent="0.3">
      <c r="A509" s="12"/>
    </row>
    <row r="510" spans="1:1" ht="13.8" thickBot="1" x14ac:dyDescent="0.3">
      <c r="A510" s="12"/>
    </row>
    <row r="511" spans="1:1" ht="13.8" thickBot="1" x14ac:dyDescent="0.3">
      <c r="A511" s="12"/>
    </row>
    <row r="512" spans="1:1" ht="13.8" thickBot="1" x14ac:dyDescent="0.3">
      <c r="A512" s="12"/>
    </row>
    <row r="513" spans="1:1" ht="13.8" thickBot="1" x14ac:dyDescent="0.3">
      <c r="A513" s="12"/>
    </row>
    <row r="514" spans="1:1" ht="13.8" thickBot="1" x14ac:dyDescent="0.3">
      <c r="A514" s="12"/>
    </row>
    <row r="515" spans="1:1" ht="13.8" thickBot="1" x14ac:dyDescent="0.3">
      <c r="A515" s="12"/>
    </row>
    <row r="516" spans="1:1" ht="13.8" thickBot="1" x14ac:dyDescent="0.3">
      <c r="A516" s="12"/>
    </row>
    <row r="517" spans="1:1" ht="13.8" thickBot="1" x14ac:dyDescent="0.3">
      <c r="A517" s="12"/>
    </row>
    <row r="518" spans="1:1" ht="13.8" thickBot="1" x14ac:dyDescent="0.3">
      <c r="A518" s="12"/>
    </row>
    <row r="519" spans="1:1" ht="13.8" thickBot="1" x14ac:dyDescent="0.3">
      <c r="A519" s="12"/>
    </row>
    <row r="520" spans="1:1" ht="13.8" thickBot="1" x14ac:dyDescent="0.3">
      <c r="A520" s="12"/>
    </row>
    <row r="521" spans="1:1" ht="13.8" thickBot="1" x14ac:dyDescent="0.3">
      <c r="A521" s="12"/>
    </row>
    <row r="522" spans="1:1" ht="13.8" thickBot="1" x14ac:dyDescent="0.3">
      <c r="A522" s="12"/>
    </row>
    <row r="523" spans="1:1" ht="13.8" thickBot="1" x14ac:dyDescent="0.3">
      <c r="A523" s="12"/>
    </row>
    <row r="524" spans="1:1" ht="13.8" thickBot="1" x14ac:dyDescent="0.3">
      <c r="A524" s="12"/>
    </row>
    <row r="525" spans="1:1" ht="13.8" thickBot="1" x14ac:dyDescent="0.3">
      <c r="A525" s="12"/>
    </row>
    <row r="526" spans="1:1" ht="13.8" thickBot="1" x14ac:dyDescent="0.3">
      <c r="A526" s="12"/>
    </row>
    <row r="527" spans="1:1" ht="13.8" thickBot="1" x14ac:dyDescent="0.3">
      <c r="A527" s="12"/>
    </row>
    <row r="528" spans="1:1" ht="13.8" thickBot="1" x14ac:dyDescent="0.3">
      <c r="A528" s="12"/>
    </row>
    <row r="529" spans="1:1" ht="13.8" thickBot="1" x14ac:dyDescent="0.3">
      <c r="A529" s="12"/>
    </row>
    <row r="530" spans="1:1" ht="13.8" thickBot="1" x14ac:dyDescent="0.3">
      <c r="A530" s="12"/>
    </row>
    <row r="531" spans="1:1" ht="13.8" thickBot="1" x14ac:dyDescent="0.3">
      <c r="A531" s="12"/>
    </row>
    <row r="532" spans="1:1" ht="13.8" thickBot="1" x14ac:dyDescent="0.3">
      <c r="A532" s="12"/>
    </row>
    <row r="533" spans="1:1" ht="13.8" thickBot="1" x14ac:dyDescent="0.3">
      <c r="A533" s="12"/>
    </row>
    <row r="534" spans="1:1" ht="13.8" thickBot="1" x14ac:dyDescent="0.3">
      <c r="A534" s="12"/>
    </row>
    <row r="535" spans="1:1" ht="13.8" thickBot="1" x14ac:dyDescent="0.3">
      <c r="A535" s="12"/>
    </row>
    <row r="536" spans="1:1" ht="13.8" thickBot="1" x14ac:dyDescent="0.3">
      <c r="A536" s="12"/>
    </row>
    <row r="537" spans="1:1" ht="13.8" thickBot="1" x14ac:dyDescent="0.3">
      <c r="A537" s="12"/>
    </row>
    <row r="538" spans="1:1" ht="13.8" thickBot="1" x14ac:dyDescent="0.3">
      <c r="A538" s="12"/>
    </row>
    <row r="539" spans="1:1" ht="13.8" thickBot="1" x14ac:dyDescent="0.3">
      <c r="A539" s="12"/>
    </row>
    <row r="540" spans="1:1" ht="13.8" thickBot="1" x14ac:dyDescent="0.3">
      <c r="A540" s="12"/>
    </row>
    <row r="541" spans="1:1" ht="13.8" thickBot="1" x14ac:dyDescent="0.3">
      <c r="A541" s="12"/>
    </row>
    <row r="542" spans="1:1" ht="13.8" thickBot="1" x14ac:dyDescent="0.3">
      <c r="A542" s="12"/>
    </row>
    <row r="543" spans="1:1" ht="13.8" thickBot="1" x14ac:dyDescent="0.3">
      <c r="A543" s="12"/>
    </row>
    <row r="544" spans="1:1" ht="13.8" thickBot="1" x14ac:dyDescent="0.3">
      <c r="A544" s="12"/>
    </row>
    <row r="545" spans="1:1" ht="13.8" thickBot="1" x14ac:dyDescent="0.3">
      <c r="A545" s="12"/>
    </row>
    <row r="546" spans="1:1" ht="13.8" thickBot="1" x14ac:dyDescent="0.3">
      <c r="A546" s="12"/>
    </row>
    <row r="547" spans="1:1" ht="13.8" thickBot="1" x14ac:dyDescent="0.3">
      <c r="A547" s="12"/>
    </row>
    <row r="548" spans="1:1" ht="13.8" thickBot="1" x14ac:dyDescent="0.3">
      <c r="A548" s="12"/>
    </row>
    <row r="549" spans="1:1" ht="13.8" thickBot="1" x14ac:dyDescent="0.3">
      <c r="A549" s="12"/>
    </row>
    <row r="550" spans="1:1" ht="13.8" thickBot="1" x14ac:dyDescent="0.3">
      <c r="A550" s="12"/>
    </row>
    <row r="551" spans="1:1" ht="13.8" thickBot="1" x14ac:dyDescent="0.3">
      <c r="A551" s="12"/>
    </row>
    <row r="552" spans="1:1" ht="13.8" thickBot="1" x14ac:dyDescent="0.3">
      <c r="A552" s="12"/>
    </row>
    <row r="553" spans="1:1" ht="13.8" thickBot="1" x14ac:dyDescent="0.3">
      <c r="A553" s="12"/>
    </row>
    <row r="554" spans="1:1" ht="13.8" thickBot="1" x14ac:dyDescent="0.3">
      <c r="A554" s="12"/>
    </row>
    <row r="555" spans="1:1" ht="13.8" thickBot="1" x14ac:dyDescent="0.3">
      <c r="A555" s="12"/>
    </row>
    <row r="556" spans="1:1" ht="13.8" thickBot="1" x14ac:dyDescent="0.3">
      <c r="A556" s="12"/>
    </row>
    <row r="557" spans="1:1" ht="13.8" thickBot="1" x14ac:dyDescent="0.3">
      <c r="A557" s="12"/>
    </row>
    <row r="558" spans="1:1" ht="13.8" thickBot="1" x14ac:dyDescent="0.3">
      <c r="A558" s="12"/>
    </row>
    <row r="559" spans="1:1" ht="13.8" thickBot="1" x14ac:dyDescent="0.3">
      <c r="A559" s="12"/>
    </row>
    <row r="560" spans="1:1" ht="13.8" thickBot="1" x14ac:dyDescent="0.3">
      <c r="A560" s="12"/>
    </row>
    <row r="561" spans="1:1" ht="13.8" thickBot="1" x14ac:dyDescent="0.3">
      <c r="A561" s="12"/>
    </row>
    <row r="562" spans="1:1" ht="13.8" thickBot="1" x14ac:dyDescent="0.3">
      <c r="A562" s="12"/>
    </row>
    <row r="563" spans="1:1" ht="13.8" thickBot="1" x14ac:dyDescent="0.3">
      <c r="A563" s="12"/>
    </row>
    <row r="564" spans="1:1" ht="13.8" thickBot="1" x14ac:dyDescent="0.3">
      <c r="A564" s="12"/>
    </row>
    <row r="565" spans="1:1" ht="13.8" thickBot="1" x14ac:dyDescent="0.3">
      <c r="A565" s="12"/>
    </row>
    <row r="566" spans="1:1" ht="13.8" thickBot="1" x14ac:dyDescent="0.3">
      <c r="A566" s="12"/>
    </row>
    <row r="567" spans="1:1" ht="13.8" thickBot="1" x14ac:dyDescent="0.3">
      <c r="A567" s="12"/>
    </row>
    <row r="568" spans="1:1" ht="13.8" thickBot="1" x14ac:dyDescent="0.3">
      <c r="A568" s="12"/>
    </row>
    <row r="569" spans="1:1" ht="13.8" thickBot="1" x14ac:dyDescent="0.3">
      <c r="A569" s="12"/>
    </row>
    <row r="570" spans="1:1" ht="13.8" thickBot="1" x14ac:dyDescent="0.3">
      <c r="A570" s="12"/>
    </row>
    <row r="571" spans="1:1" ht="13.8" thickBot="1" x14ac:dyDescent="0.3">
      <c r="A571" s="12"/>
    </row>
    <row r="572" spans="1:1" ht="13.8" thickBot="1" x14ac:dyDescent="0.3">
      <c r="A572" s="12"/>
    </row>
    <row r="573" spans="1:1" ht="13.8" thickBot="1" x14ac:dyDescent="0.3">
      <c r="A573" s="12"/>
    </row>
    <row r="574" spans="1:1" ht="13.8" thickBot="1" x14ac:dyDescent="0.3">
      <c r="A574" s="12"/>
    </row>
    <row r="575" spans="1:1" ht="13.8" thickBot="1" x14ac:dyDescent="0.3">
      <c r="A575" s="12"/>
    </row>
    <row r="576" spans="1:1" ht="13.8" thickBot="1" x14ac:dyDescent="0.3">
      <c r="A576" s="12"/>
    </row>
    <row r="577" spans="1:1" ht="13.8" thickBot="1" x14ac:dyDescent="0.3">
      <c r="A577" s="12"/>
    </row>
    <row r="578" spans="1:1" ht="13.8" thickBot="1" x14ac:dyDescent="0.3">
      <c r="A578" s="12"/>
    </row>
    <row r="579" spans="1:1" ht="13.8" thickBot="1" x14ac:dyDescent="0.3">
      <c r="A579" s="12"/>
    </row>
    <row r="580" spans="1:1" ht="13.8" thickBot="1" x14ac:dyDescent="0.3">
      <c r="A580" s="12"/>
    </row>
    <row r="581" spans="1:1" ht="13.8" thickBot="1" x14ac:dyDescent="0.3">
      <c r="A581" s="12"/>
    </row>
    <row r="582" spans="1:1" ht="13.8" thickBot="1" x14ac:dyDescent="0.3">
      <c r="A582" s="12"/>
    </row>
    <row r="583" spans="1:1" ht="13.8" thickBot="1" x14ac:dyDescent="0.3">
      <c r="A583" s="12"/>
    </row>
    <row r="584" spans="1:1" ht="13.8" thickBot="1" x14ac:dyDescent="0.3">
      <c r="A584" s="12"/>
    </row>
    <row r="585" spans="1:1" ht="13.8" thickBot="1" x14ac:dyDescent="0.3">
      <c r="A585" s="12"/>
    </row>
    <row r="586" spans="1:1" ht="13.8" thickBot="1" x14ac:dyDescent="0.3">
      <c r="A586" s="12"/>
    </row>
    <row r="587" spans="1:1" ht="13.8" thickBot="1" x14ac:dyDescent="0.3">
      <c r="A587" s="12"/>
    </row>
    <row r="588" spans="1:1" ht="13.8" thickBot="1" x14ac:dyDescent="0.3">
      <c r="A588" s="12"/>
    </row>
    <row r="589" spans="1:1" ht="13.8" thickBot="1" x14ac:dyDescent="0.3">
      <c r="A589" s="12"/>
    </row>
    <row r="590" spans="1:1" ht="13.8" thickBot="1" x14ac:dyDescent="0.3">
      <c r="A590" s="12"/>
    </row>
    <row r="591" spans="1:1" ht="13.8" thickBot="1" x14ac:dyDescent="0.3">
      <c r="A591" s="12"/>
    </row>
    <row r="592" spans="1:1" ht="13.8" thickBot="1" x14ac:dyDescent="0.3">
      <c r="A592" s="12"/>
    </row>
    <row r="593" spans="1:1" ht="13.8" thickBot="1" x14ac:dyDescent="0.3">
      <c r="A593" s="12"/>
    </row>
    <row r="594" spans="1:1" ht="13.8" thickBot="1" x14ac:dyDescent="0.3">
      <c r="A594" s="12"/>
    </row>
    <row r="595" spans="1:1" ht="13.8" thickBot="1" x14ac:dyDescent="0.3">
      <c r="A595" s="12"/>
    </row>
    <row r="596" spans="1:1" ht="13.8" thickBot="1" x14ac:dyDescent="0.3">
      <c r="A596" s="12"/>
    </row>
    <row r="597" spans="1:1" ht="13.8" thickBot="1" x14ac:dyDescent="0.3">
      <c r="A597" s="12"/>
    </row>
    <row r="598" spans="1:1" ht="13.8" thickBot="1" x14ac:dyDescent="0.3">
      <c r="A598" s="12"/>
    </row>
    <row r="599" spans="1:1" ht="13.8" thickBot="1" x14ac:dyDescent="0.3">
      <c r="A599" s="12"/>
    </row>
    <row r="600" spans="1:1" ht="13.8" thickBot="1" x14ac:dyDescent="0.3">
      <c r="A600" s="12"/>
    </row>
    <row r="601" spans="1:1" ht="13.8" thickBot="1" x14ac:dyDescent="0.3">
      <c r="A601" s="12"/>
    </row>
    <row r="602" spans="1:1" ht="13.8" thickBot="1" x14ac:dyDescent="0.3">
      <c r="A602" s="12"/>
    </row>
    <row r="603" spans="1:1" ht="13.8" thickBot="1" x14ac:dyDescent="0.3">
      <c r="A603" s="12"/>
    </row>
    <row r="604" spans="1:1" ht="13.8" thickBot="1" x14ac:dyDescent="0.3">
      <c r="A604" s="12"/>
    </row>
    <row r="605" spans="1:1" ht="13.8" thickBot="1" x14ac:dyDescent="0.3">
      <c r="A605" s="12"/>
    </row>
    <row r="606" spans="1:1" ht="13.8" thickBot="1" x14ac:dyDescent="0.3">
      <c r="A606" s="12"/>
    </row>
    <row r="607" spans="1:1" ht="13.8" thickBot="1" x14ac:dyDescent="0.3">
      <c r="A607" s="12"/>
    </row>
    <row r="608" spans="1:1" ht="13.8" thickBot="1" x14ac:dyDescent="0.3">
      <c r="A608" s="12"/>
    </row>
    <row r="609" spans="1:1" ht="13.8" thickBot="1" x14ac:dyDescent="0.3">
      <c r="A609" s="12"/>
    </row>
    <row r="610" spans="1:1" ht="13.8" thickBot="1" x14ac:dyDescent="0.3">
      <c r="A610" s="12"/>
    </row>
    <row r="611" spans="1:1" ht="13.8" thickBot="1" x14ac:dyDescent="0.3">
      <c r="A611" s="12"/>
    </row>
    <row r="612" spans="1:1" ht="13.8" thickBot="1" x14ac:dyDescent="0.3">
      <c r="A612" s="12"/>
    </row>
    <row r="613" spans="1:1" ht="13.8" thickBot="1" x14ac:dyDescent="0.3">
      <c r="A613" s="12"/>
    </row>
    <row r="614" spans="1:1" ht="13.8" thickBot="1" x14ac:dyDescent="0.3">
      <c r="A614" s="12"/>
    </row>
    <row r="615" spans="1:1" ht="13.8" thickBot="1" x14ac:dyDescent="0.3">
      <c r="A615" s="12"/>
    </row>
    <row r="616" spans="1:1" ht="13.8" thickBot="1" x14ac:dyDescent="0.3">
      <c r="A616" s="12"/>
    </row>
    <row r="617" spans="1:1" ht="13.8" thickBot="1" x14ac:dyDescent="0.3">
      <c r="A617" s="12"/>
    </row>
    <row r="618" spans="1:1" ht="13.8" thickBot="1" x14ac:dyDescent="0.3">
      <c r="A618" s="12"/>
    </row>
    <row r="619" spans="1:1" ht="13.8" thickBot="1" x14ac:dyDescent="0.3">
      <c r="A619" s="12"/>
    </row>
    <row r="620" spans="1:1" ht="13.8" thickBot="1" x14ac:dyDescent="0.3">
      <c r="A620" s="12"/>
    </row>
    <row r="621" spans="1:1" ht="13.8" thickBot="1" x14ac:dyDescent="0.3">
      <c r="A621" s="12"/>
    </row>
    <row r="622" spans="1:1" ht="13.8" thickBot="1" x14ac:dyDescent="0.3">
      <c r="A622" s="12"/>
    </row>
    <row r="623" spans="1:1" ht="13.8" thickBot="1" x14ac:dyDescent="0.3">
      <c r="A623" s="12"/>
    </row>
    <row r="624" spans="1:1" ht="13.8" thickBot="1" x14ac:dyDescent="0.3">
      <c r="A624" s="12"/>
    </row>
    <row r="625" spans="1:1" ht="13.8" thickBot="1" x14ac:dyDescent="0.3">
      <c r="A625" s="12"/>
    </row>
    <row r="626" spans="1:1" ht="13.8" thickBot="1" x14ac:dyDescent="0.3">
      <c r="A626" s="12"/>
    </row>
    <row r="627" spans="1:1" ht="13.8" thickBot="1" x14ac:dyDescent="0.3">
      <c r="A627" s="12"/>
    </row>
    <row r="628" spans="1:1" ht="13.8" thickBot="1" x14ac:dyDescent="0.3">
      <c r="A628" s="12"/>
    </row>
    <row r="629" spans="1:1" ht="13.8" thickBot="1" x14ac:dyDescent="0.3">
      <c r="A629" s="12"/>
    </row>
    <row r="630" spans="1:1" ht="13.8" thickBot="1" x14ac:dyDescent="0.3">
      <c r="A630" s="12"/>
    </row>
    <row r="631" spans="1:1" ht="13.8" thickBot="1" x14ac:dyDescent="0.3">
      <c r="A631" s="12"/>
    </row>
    <row r="632" spans="1:1" ht="13.8" thickBot="1" x14ac:dyDescent="0.3">
      <c r="A632" s="12"/>
    </row>
    <row r="633" spans="1:1" ht="13.8" thickBot="1" x14ac:dyDescent="0.3">
      <c r="A633" s="12"/>
    </row>
    <row r="634" spans="1:1" ht="13.8" thickBot="1" x14ac:dyDescent="0.3">
      <c r="A634" s="12"/>
    </row>
    <row r="635" spans="1:1" ht="13.8" thickBot="1" x14ac:dyDescent="0.3">
      <c r="A635" s="12"/>
    </row>
    <row r="636" spans="1:1" ht="13.8" thickBot="1" x14ac:dyDescent="0.3">
      <c r="A636" s="12"/>
    </row>
    <row r="637" spans="1:1" ht="13.8" thickBot="1" x14ac:dyDescent="0.3">
      <c r="A637" s="12"/>
    </row>
    <row r="638" spans="1:1" ht="13.8" thickBot="1" x14ac:dyDescent="0.3">
      <c r="A638" s="12"/>
    </row>
    <row r="639" spans="1:1" ht="13.8" thickBot="1" x14ac:dyDescent="0.3">
      <c r="A639" s="12"/>
    </row>
    <row r="640" spans="1:1" ht="13.8" thickBot="1" x14ac:dyDescent="0.3">
      <c r="A640" s="12"/>
    </row>
    <row r="641" spans="1:1" ht="13.8" thickBot="1" x14ac:dyDescent="0.3">
      <c r="A641" s="12"/>
    </row>
    <row r="642" spans="1:1" ht="13.8" thickBot="1" x14ac:dyDescent="0.3">
      <c r="A642" s="12"/>
    </row>
    <row r="643" spans="1:1" ht="13.8" thickBot="1" x14ac:dyDescent="0.3">
      <c r="A643" s="12"/>
    </row>
    <row r="644" spans="1:1" ht="13.8" thickBot="1" x14ac:dyDescent="0.3">
      <c r="A644" s="12"/>
    </row>
    <row r="645" spans="1:1" ht="13.8" thickBot="1" x14ac:dyDescent="0.3">
      <c r="A645" s="12"/>
    </row>
    <row r="646" spans="1:1" ht="13.8" thickBot="1" x14ac:dyDescent="0.3">
      <c r="A646" s="12"/>
    </row>
    <row r="647" spans="1:1" ht="13.8" thickBot="1" x14ac:dyDescent="0.3">
      <c r="A647" s="12"/>
    </row>
    <row r="648" spans="1:1" ht="13.8" thickBot="1" x14ac:dyDescent="0.3">
      <c r="A648" s="12"/>
    </row>
    <row r="649" spans="1:1" ht="13.8" thickBot="1" x14ac:dyDescent="0.3">
      <c r="A649" s="12"/>
    </row>
    <row r="650" spans="1:1" ht="13.8" thickBot="1" x14ac:dyDescent="0.3">
      <c r="A650" s="12"/>
    </row>
    <row r="651" spans="1:1" ht="13.8" thickBot="1" x14ac:dyDescent="0.3">
      <c r="A651" s="12"/>
    </row>
    <row r="652" spans="1:1" ht="13.8" thickBot="1" x14ac:dyDescent="0.3">
      <c r="A652" s="12"/>
    </row>
    <row r="653" spans="1:1" ht="13.8" thickBot="1" x14ac:dyDescent="0.3">
      <c r="A653" s="12"/>
    </row>
    <row r="654" spans="1:1" ht="13.8" thickBot="1" x14ac:dyDescent="0.3">
      <c r="A654" s="12"/>
    </row>
    <row r="655" spans="1:1" ht="13.8" thickBot="1" x14ac:dyDescent="0.3">
      <c r="A655" s="12"/>
    </row>
    <row r="656" spans="1:1" ht="13.8" thickBot="1" x14ac:dyDescent="0.3">
      <c r="A656" s="12"/>
    </row>
    <row r="657" spans="1:1" ht="13.8" thickBot="1" x14ac:dyDescent="0.3">
      <c r="A657" s="12"/>
    </row>
    <row r="658" spans="1:1" ht="13.8" thickBot="1" x14ac:dyDescent="0.3">
      <c r="A658" s="12"/>
    </row>
    <row r="659" spans="1:1" ht="13.8" thickBot="1" x14ac:dyDescent="0.3">
      <c r="A659" s="12"/>
    </row>
    <row r="660" spans="1:1" ht="13.8" thickBot="1" x14ac:dyDescent="0.3">
      <c r="A660" s="12"/>
    </row>
    <row r="661" spans="1:1" ht="13.8" thickBot="1" x14ac:dyDescent="0.3">
      <c r="A661" s="12"/>
    </row>
    <row r="662" spans="1:1" ht="13.8" thickBot="1" x14ac:dyDescent="0.3">
      <c r="A662" s="12"/>
    </row>
    <row r="663" spans="1:1" ht="13.8" thickBot="1" x14ac:dyDescent="0.3">
      <c r="A663" s="12"/>
    </row>
    <row r="664" spans="1:1" ht="13.8" thickBot="1" x14ac:dyDescent="0.3">
      <c r="A664" s="12"/>
    </row>
    <row r="665" spans="1:1" ht="13.8" thickBot="1" x14ac:dyDescent="0.3">
      <c r="A665" s="12"/>
    </row>
    <row r="666" spans="1:1" ht="13.8" thickBot="1" x14ac:dyDescent="0.3">
      <c r="A666" s="12"/>
    </row>
    <row r="667" spans="1:1" ht="13.8" thickBot="1" x14ac:dyDescent="0.3">
      <c r="A667" s="12"/>
    </row>
    <row r="668" spans="1:1" ht="13.8" thickBot="1" x14ac:dyDescent="0.3">
      <c r="A668" s="12"/>
    </row>
    <row r="669" spans="1:1" ht="13.8" thickBot="1" x14ac:dyDescent="0.3">
      <c r="A669" s="12"/>
    </row>
    <row r="670" spans="1:1" ht="13.8" thickBot="1" x14ac:dyDescent="0.3">
      <c r="A670" s="12"/>
    </row>
    <row r="671" spans="1:1" ht="13.8" thickBot="1" x14ac:dyDescent="0.3">
      <c r="A671" s="12"/>
    </row>
    <row r="672" spans="1:1" ht="13.8" thickBot="1" x14ac:dyDescent="0.3">
      <c r="A672" s="12"/>
    </row>
    <row r="673" spans="1:1" ht="13.8" thickBot="1" x14ac:dyDescent="0.3">
      <c r="A673" s="12"/>
    </row>
    <row r="674" spans="1:1" ht="13.8" thickBot="1" x14ac:dyDescent="0.3">
      <c r="A674" s="12"/>
    </row>
    <row r="675" spans="1:1" ht="13.8" thickBot="1" x14ac:dyDescent="0.3">
      <c r="A675" s="12"/>
    </row>
    <row r="676" spans="1:1" ht="13.8" thickBot="1" x14ac:dyDescent="0.3">
      <c r="A676" s="12"/>
    </row>
    <row r="677" spans="1:1" ht="13.8" thickBot="1" x14ac:dyDescent="0.3">
      <c r="A677" s="12"/>
    </row>
    <row r="678" spans="1:1" ht="13.8" thickBot="1" x14ac:dyDescent="0.3">
      <c r="A678" s="12"/>
    </row>
    <row r="679" spans="1:1" ht="13.8" thickBot="1" x14ac:dyDescent="0.3">
      <c r="A679" s="12"/>
    </row>
    <row r="680" spans="1:1" ht="13.8" thickBot="1" x14ac:dyDescent="0.3">
      <c r="A680" s="12"/>
    </row>
    <row r="681" spans="1:1" ht="13.8" thickBot="1" x14ac:dyDescent="0.3">
      <c r="A681" s="12"/>
    </row>
    <row r="682" spans="1:1" ht="13.8" thickBot="1" x14ac:dyDescent="0.3">
      <c r="A682" s="12"/>
    </row>
    <row r="683" spans="1:1" ht="13.8" thickBot="1" x14ac:dyDescent="0.3">
      <c r="A683" s="12"/>
    </row>
    <row r="684" spans="1:1" ht="13.8" thickBot="1" x14ac:dyDescent="0.3">
      <c r="A684" s="12"/>
    </row>
    <row r="685" spans="1:1" ht="13.8" thickBot="1" x14ac:dyDescent="0.3">
      <c r="A685" s="12"/>
    </row>
    <row r="686" spans="1:1" ht="13.8" thickBot="1" x14ac:dyDescent="0.3">
      <c r="A686" s="12"/>
    </row>
    <row r="687" spans="1:1" ht="13.8" thickBot="1" x14ac:dyDescent="0.3">
      <c r="A687" s="12"/>
    </row>
    <row r="688" spans="1:1" ht="13.8" thickBot="1" x14ac:dyDescent="0.3">
      <c r="A688" s="12"/>
    </row>
    <row r="689" spans="1:1" ht="13.8" thickBot="1" x14ac:dyDescent="0.3">
      <c r="A689" s="12"/>
    </row>
    <row r="690" spans="1:1" ht="13.8" thickBot="1" x14ac:dyDescent="0.3">
      <c r="A690" s="12"/>
    </row>
    <row r="691" spans="1:1" ht="13.8" thickBot="1" x14ac:dyDescent="0.3">
      <c r="A691" s="12"/>
    </row>
    <row r="692" spans="1:1" ht="13.8" thickBot="1" x14ac:dyDescent="0.3">
      <c r="A692" s="12"/>
    </row>
    <row r="693" spans="1:1" ht="13.8" thickBot="1" x14ac:dyDescent="0.3">
      <c r="A693" s="12"/>
    </row>
    <row r="694" spans="1:1" ht="13.8" thickBot="1" x14ac:dyDescent="0.3">
      <c r="A694" s="12"/>
    </row>
    <row r="695" spans="1:1" ht="13.8" thickBot="1" x14ac:dyDescent="0.3">
      <c r="A695" s="12"/>
    </row>
    <row r="696" spans="1:1" ht="13.8" thickBot="1" x14ac:dyDescent="0.3">
      <c r="A696" s="12"/>
    </row>
    <row r="697" spans="1:1" ht="13.8" thickBot="1" x14ac:dyDescent="0.3">
      <c r="A697" s="12"/>
    </row>
    <row r="698" spans="1:1" ht="13.8" thickBot="1" x14ac:dyDescent="0.3">
      <c r="A698" s="12"/>
    </row>
    <row r="699" spans="1:1" ht="13.8" thickBot="1" x14ac:dyDescent="0.3">
      <c r="A699" s="12"/>
    </row>
    <row r="700" spans="1:1" ht="13.8" thickBot="1" x14ac:dyDescent="0.3">
      <c r="A700" s="12"/>
    </row>
    <row r="701" spans="1:1" ht="13.8" thickBot="1" x14ac:dyDescent="0.3">
      <c r="A701" s="12"/>
    </row>
    <row r="702" spans="1:1" ht="13.8" thickBot="1" x14ac:dyDescent="0.3">
      <c r="A702" s="12"/>
    </row>
    <row r="703" spans="1:1" ht="13.8" thickBot="1" x14ac:dyDescent="0.3">
      <c r="A703" s="12"/>
    </row>
    <row r="704" spans="1:1" ht="13.8" thickBot="1" x14ac:dyDescent="0.3">
      <c r="A704" s="12"/>
    </row>
    <row r="705" spans="1:1" ht="13.8" thickBot="1" x14ac:dyDescent="0.3">
      <c r="A705" s="12"/>
    </row>
    <row r="706" spans="1:1" ht="13.8" thickBot="1" x14ac:dyDescent="0.3">
      <c r="A706" s="12"/>
    </row>
    <row r="707" spans="1:1" ht="13.8" thickBot="1" x14ac:dyDescent="0.3">
      <c r="A707" s="12"/>
    </row>
    <row r="708" spans="1:1" ht="13.8" thickBot="1" x14ac:dyDescent="0.3">
      <c r="A708" s="12"/>
    </row>
    <row r="709" spans="1:1" ht="13.8" thickBot="1" x14ac:dyDescent="0.3">
      <c r="A709" s="12"/>
    </row>
    <row r="710" spans="1:1" ht="13.8" thickBot="1" x14ac:dyDescent="0.3">
      <c r="A710" s="12"/>
    </row>
    <row r="711" spans="1:1" ht="13.8" thickBot="1" x14ac:dyDescent="0.3">
      <c r="A711" s="12"/>
    </row>
    <row r="712" spans="1:1" ht="13.8" thickBot="1" x14ac:dyDescent="0.3">
      <c r="A712" s="12"/>
    </row>
    <row r="713" spans="1:1" ht="13.8" thickBot="1" x14ac:dyDescent="0.3">
      <c r="A713" s="12"/>
    </row>
    <row r="714" spans="1:1" ht="13.8" thickBot="1" x14ac:dyDescent="0.3">
      <c r="A714" s="12"/>
    </row>
    <row r="715" spans="1:1" ht="13.8" thickBot="1" x14ac:dyDescent="0.3">
      <c r="A715" s="12"/>
    </row>
    <row r="716" spans="1:1" ht="13.8" thickBot="1" x14ac:dyDescent="0.3">
      <c r="A716" s="12"/>
    </row>
    <row r="717" spans="1:1" ht="13.8" thickBot="1" x14ac:dyDescent="0.3">
      <c r="A717" s="12"/>
    </row>
    <row r="718" spans="1:1" ht="13.8" thickBot="1" x14ac:dyDescent="0.3">
      <c r="A718" s="12"/>
    </row>
    <row r="719" spans="1:1" ht="13.8" thickBot="1" x14ac:dyDescent="0.3">
      <c r="A719" s="12"/>
    </row>
    <row r="720" spans="1:1" ht="13.8" thickBot="1" x14ac:dyDescent="0.3">
      <c r="A720" s="12"/>
    </row>
    <row r="721" spans="1:1" ht="13.8" thickBot="1" x14ac:dyDescent="0.3">
      <c r="A721" s="12"/>
    </row>
    <row r="722" spans="1:1" ht="13.8" thickBot="1" x14ac:dyDescent="0.3">
      <c r="A722" s="12"/>
    </row>
    <row r="723" spans="1:1" ht="13.8" thickBot="1" x14ac:dyDescent="0.3">
      <c r="A723" s="12"/>
    </row>
    <row r="724" spans="1:1" ht="13.8" thickBot="1" x14ac:dyDescent="0.3">
      <c r="A724" s="12"/>
    </row>
    <row r="725" spans="1:1" ht="13.8" thickBot="1" x14ac:dyDescent="0.3">
      <c r="A725" s="12"/>
    </row>
    <row r="726" spans="1:1" ht="13.8" thickBot="1" x14ac:dyDescent="0.3">
      <c r="A726" s="12"/>
    </row>
    <row r="727" spans="1:1" ht="13.8" thickBot="1" x14ac:dyDescent="0.3">
      <c r="A727" s="12"/>
    </row>
    <row r="728" spans="1:1" ht="13.8" thickBot="1" x14ac:dyDescent="0.3">
      <c r="A728" s="12"/>
    </row>
    <row r="729" spans="1:1" ht="13.8" thickBot="1" x14ac:dyDescent="0.3">
      <c r="A729" s="12"/>
    </row>
    <row r="730" spans="1:1" ht="13.8" thickBot="1" x14ac:dyDescent="0.3">
      <c r="A730" s="12"/>
    </row>
    <row r="731" spans="1:1" ht="13.8" thickBot="1" x14ac:dyDescent="0.3">
      <c r="A731" s="12"/>
    </row>
    <row r="732" spans="1:1" ht="13.8" thickBot="1" x14ac:dyDescent="0.3">
      <c r="A732" s="12"/>
    </row>
    <row r="733" spans="1:1" ht="13.8" thickBot="1" x14ac:dyDescent="0.3">
      <c r="A733" s="12"/>
    </row>
    <row r="734" spans="1:1" ht="13.8" thickBot="1" x14ac:dyDescent="0.3">
      <c r="A734" s="12"/>
    </row>
    <row r="735" spans="1:1" ht="13.8" thickBot="1" x14ac:dyDescent="0.3">
      <c r="A735" s="12"/>
    </row>
    <row r="736" spans="1:1" ht="13.8" thickBot="1" x14ac:dyDescent="0.3">
      <c r="A736" s="12"/>
    </row>
    <row r="737" spans="1:1" ht="13.8" thickBot="1" x14ac:dyDescent="0.3">
      <c r="A737" s="12"/>
    </row>
    <row r="738" spans="1:1" ht="13.8" thickBot="1" x14ac:dyDescent="0.3">
      <c r="A738" s="12"/>
    </row>
    <row r="739" spans="1:1" ht="13.8" thickBot="1" x14ac:dyDescent="0.3">
      <c r="A739" s="12"/>
    </row>
    <row r="740" spans="1:1" ht="13.8" thickBot="1" x14ac:dyDescent="0.3">
      <c r="A740" s="12"/>
    </row>
    <row r="741" spans="1:1" ht="13.8" thickBot="1" x14ac:dyDescent="0.3">
      <c r="A741" s="12"/>
    </row>
    <row r="742" spans="1:1" ht="13.8" thickBot="1" x14ac:dyDescent="0.3">
      <c r="A742" s="12"/>
    </row>
    <row r="743" spans="1:1" ht="13.8" thickBot="1" x14ac:dyDescent="0.3">
      <c r="A743" s="12"/>
    </row>
    <row r="744" spans="1:1" ht="13.8" thickBot="1" x14ac:dyDescent="0.3">
      <c r="A744" s="12"/>
    </row>
    <row r="745" spans="1:1" ht="13.8" thickBot="1" x14ac:dyDescent="0.3">
      <c r="A745" s="12"/>
    </row>
    <row r="746" spans="1:1" ht="13.8" thickBot="1" x14ac:dyDescent="0.3">
      <c r="A746" s="12"/>
    </row>
    <row r="747" spans="1:1" ht="13.8" thickBot="1" x14ac:dyDescent="0.3">
      <c r="A747" s="12"/>
    </row>
    <row r="748" spans="1:1" ht="13.8" thickBot="1" x14ac:dyDescent="0.3">
      <c r="A748" s="12"/>
    </row>
    <row r="749" spans="1:1" ht="13.8" thickBot="1" x14ac:dyDescent="0.3">
      <c r="A749" s="12"/>
    </row>
    <row r="750" spans="1:1" ht="13.8" thickBot="1" x14ac:dyDescent="0.3">
      <c r="A750" s="12"/>
    </row>
    <row r="751" spans="1:1" ht="13.8" thickBot="1" x14ac:dyDescent="0.3">
      <c r="A751" s="12"/>
    </row>
    <row r="752" spans="1:1" ht="13.8" thickBot="1" x14ac:dyDescent="0.3">
      <c r="A752" s="12"/>
    </row>
    <row r="753" spans="1:1" ht="13.8" thickBot="1" x14ac:dyDescent="0.3">
      <c r="A753" s="12"/>
    </row>
    <row r="754" spans="1:1" ht="13.8" thickBot="1" x14ac:dyDescent="0.3">
      <c r="A754" s="12"/>
    </row>
    <row r="755" spans="1:1" ht="13.8" thickBot="1" x14ac:dyDescent="0.3">
      <c r="A755" s="12"/>
    </row>
    <row r="756" spans="1:1" ht="13.8" thickBot="1" x14ac:dyDescent="0.3">
      <c r="A756" s="12"/>
    </row>
    <row r="757" spans="1:1" ht="13.8" thickBot="1" x14ac:dyDescent="0.3">
      <c r="A757" s="12"/>
    </row>
    <row r="758" spans="1:1" ht="13.8" thickBot="1" x14ac:dyDescent="0.3">
      <c r="A758" s="12"/>
    </row>
    <row r="759" spans="1:1" ht="13.8" thickBot="1" x14ac:dyDescent="0.3">
      <c r="A759" s="12"/>
    </row>
    <row r="760" spans="1:1" ht="13.8" thickBot="1" x14ac:dyDescent="0.3">
      <c r="A760" s="12"/>
    </row>
    <row r="761" spans="1:1" ht="13.8" thickBot="1" x14ac:dyDescent="0.3">
      <c r="A761" s="12"/>
    </row>
    <row r="762" spans="1:1" ht="13.8" thickBot="1" x14ac:dyDescent="0.3">
      <c r="A762" s="12"/>
    </row>
    <row r="763" spans="1:1" ht="13.8" thickBot="1" x14ac:dyDescent="0.3">
      <c r="A763" s="12"/>
    </row>
    <row r="764" spans="1:1" ht="13.8" thickBot="1" x14ac:dyDescent="0.3">
      <c r="A764" s="12"/>
    </row>
    <row r="765" spans="1:1" ht="13.8" thickBot="1" x14ac:dyDescent="0.3">
      <c r="A765" s="12"/>
    </row>
    <row r="766" spans="1:1" ht="13.8" thickBot="1" x14ac:dyDescent="0.3">
      <c r="A766" s="12"/>
    </row>
    <row r="767" spans="1:1" ht="13.8" thickBot="1" x14ac:dyDescent="0.3">
      <c r="A767" s="12"/>
    </row>
    <row r="768" spans="1:1" ht="13.8" thickBot="1" x14ac:dyDescent="0.3">
      <c r="A768" s="12"/>
    </row>
    <row r="769" spans="1:1" ht="13.8" thickBot="1" x14ac:dyDescent="0.3">
      <c r="A769" s="12"/>
    </row>
    <row r="770" spans="1:1" ht="13.8" thickBot="1" x14ac:dyDescent="0.3">
      <c r="A770" s="12"/>
    </row>
    <row r="771" spans="1:1" ht="13.8" thickBot="1" x14ac:dyDescent="0.3">
      <c r="A771" s="12"/>
    </row>
    <row r="772" spans="1:1" ht="13.8" thickBot="1" x14ac:dyDescent="0.3">
      <c r="A772" s="12"/>
    </row>
    <row r="773" spans="1:1" ht="13.8" thickBot="1" x14ac:dyDescent="0.3">
      <c r="A773" s="12"/>
    </row>
    <row r="774" spans="1:1" ht="13.8" thickBot="1" x14ac:dyDescent="0.3">
      <c r="A774" s="12"/>
    </row>
    <row r="775" spans="1:1" ht="13.8" thickBot="1" x14ac:dyDescent="0.3">
      <c r="A775" s="12"/>
    </row>
    <row r="776" spans="1:1" ht="13.8" thickBot="1" x14ac:dyDescent="0.3">
      <c r="A776" s="12"/>
    </row>
    <row r="777" spans="1:1" ht="13.8" thickBot="1" x14ac:dyDescent="0.3">
      <c r="A777" s="12"/>
    </row>
    <row r="778" spans="1:1" ht="13.8" thickBot="1" x14ac:dyDescent="0.3">
      <c r="A778" s="12"/>
    </row>
    <row r="779" spans="1:1" ht="13.8" thickBot="1" x14ac:dyDescent="0.3">
      <c r="A779" s="12"/>
    </row>
    <row r="780" spans="1:1" ht="13.8" thickBot="1" x14ac:dyDescent="0.3">
      <c r="A780" s="12"/>
    </row>
    <row r="781" spans="1:1" ht="13.8" thickBot="1" x14ac:dyDescent="0.3">
      <c r="A781" s="12"/>
    </row>
    <row r="782" spans="1:1" ht="13.8" thickBot="1" x14ac:dyDescent="0.3">
      <c r="A782" s="12"/>
    </row>
    <row r="783" spans="1:1" ht="13.8" thickBot="1" x14ac:dyDescent="0.3">
      <c r="A783" s="12"/>
    </row>
    <row r="784" spans="1:1" ht="13.8" thickBot="1" x14ac:dyDescent="0.3">
      <c r="A784" s="12"/>
    </row>
    <row r="785" spans="1:1" ht="13.8" thickBot="1" x14ac:dyDescent="0.3">
      <c r="A785" s="12"/>
    </row>
    <row r="786" spans="1:1" ht="13.8" thickBot="1" x14ac:dyDescent="0.3">
      <c r="A786" s="12"/>
    </row>
    <row r="787" spans="1:1" ht="13.8" thickBot="1" x14ac:dyDescent="0.3">
      <c r="A787" s="12"/>
    </row>
    <row r="788" spans="1:1" ht="13.8" thickBot="1" x14ac:dyDescent="0.3">
      <c r="A788" s="12"/>
    </row>
    <row r="789" spans="1:1" ht="13.8" thickBot="1" x14ac:dyDescent="0.3">
      <c r="A789" s="12"/>
    </row>
    <row r="790" spans="1:1" ht="13.8" thickBot="1" x14ac:dyDescent="0.3">
      <c r="A790" s="12"/>
    </row>
    <row r="791" spans="1:1" ht="13.8" thickBot="1" x14ac:dyDescent="0.3">
      <c r="A791" s="12"/>
    </row>
    <row r="792" spans="1:1" ht="13.8" thickBot="1" x14ac:dyDescent="0.3">
      <c r="A792" s="12"/>
    </row>
    <row r="793" spans="1:1" ht="13.8" thickBot="1" x14ac:dyDescent="0.3">
      <c r="A793" s="12"/>
    </row>
    <row r="794" spans="1:1" ht="13.8" thickBot="1" x14ac:dyDescent="0.3">
      <c r="A794" s="12"/>
    </row>
    <row r="795" spans="1:1" ht="13.8" thickBot="1" x14ac:dyDescent="0.3">
      <c r="A795" s="12"/>
    </row>
    <row r="796" spans="1:1" ht="13.8" thickBot="1" x14ac:dyDescent="0.3">
      <c r="A796" s="12"/>
    </row>
    <row r="797" spans="1:1" ht="13.8" thickBot="1" x14ac:dyDescent="0.3">
      <c r="A797" s="12"/>
    </row>
    <row r="798" spans="1:1" ht="13.8" thickBot="1" x14ac:dyDescent="0.3">
      <c r="A798" s="12"/>
    </row>
    <row r="799" spans="1:1" ht="13.8" thickBot="1" x14ac:dyDescent="0.3">
      <c r="A799" s="12"/>
    </row>
    <row r="800" spans="1:1" ht="13.8" thickBot="1" x14ac:dyDescent="0.3">
      <c r="A800" s="12"/>
    </row>
    <row r="801" spans="1:1" ht="13.8" thickBot="1" x14ac:dyDescent="0.3">
      <c r="A801" s="12"/>
    </row>
    <row r="802" spans="1:1" ht="13.8" thickBot="1" x14ac:dyDescent="0.3">
      <c r="A802" s="12"/>
    </row>
    <row r="803" spans="1:1" ht="13.8" thickBot="1" x14ac:dyDescent="0.3">
      <c r="A803" s="12"/>
    </row>
    <row r="804" spans="1:1" ht="13.8" thickBot="1" x14ac:dyDescent="0.3">
      <c r="A804" s="12"/>
    </row>
    <row r="805" spans="1:1" ht="13.8" thickBot="1" x14ac:dyDescent="0.3">
      <c r="A805" s="12"/>
    </row>
    <row r="806" spans="1:1" ht="13.8" thickBot="1" x14ac:dyDescent="0.3">
      <c r="A806" s="12"/>
    </row>
    <row r="807" spans="1:1" ht="13.8" thickBot="1" x14ac:dyDescent="0.3">
      <c r="A807" s="12"/>
    </row>
    <row r="808" spans="1:1" ht="13.8" thickBot="1" x14ac:dyDescent="0.3">
      <c r="A808" s="12"/>
    </row>
    <row r="809" spans="1:1" ht="13.8" thickBot="1" x14ac:dyDescent="0.3">
      <c r="A809" s="12"/>
    </row>
    <row r="810" spans="1:1" ht="13.8" thickBot="1" x14ac:dyDescent="0.3">
      <c r="A810" s="12"/>
    </row>
    <row r="811" spans="1:1" ht="13.8" thickBot="1" x14ac:dyDescent="0.3">
      <c r="A811" s="12"/>
    </row>
    <row r="812" spans="1:1" ht="13.8" thickBot="1" x14ac:dyDescent="0.3">
      <c r="A812" s="12"/>
    </row>
    <row r="813" spans="1:1" ht="13.8" thickBot="1" x14ac:dyDescent="0.3">
      <c r="A813" s="12"/>
    </row>
    <row r="814" spans="1:1" ht="13.8" thickBot="1" x14ac:dyDescent="0.3">
      <c r="A814" s="12"/>
    </row>
    <row r="815" spans="1:1" ht="13.8" thickBot="1" x14ac:dyDescent="0.3">
      <c r="A815" s="12"/>
    </row>
    <row r="816" spans="1:1" ht="13.8" thickBot="1" x14ac:dyDescent="0.3">
      <c r="A816" s="12"/>
    </row>
    <row r="817" spans="1:1" ht="13.8" thickBot="1" x14ac:dyDescent="0.3">
      <c r="A817" s="12"/>
    </row>
    <row r="818" spans="1:1" ht="13.8" thickBot="1" x14ac:dyDescent="0.3">
      <c r="A818" s="12"/>
    </row>
    <row r="819" spans="1:1" ht="13.8" thickBot="1" x14ac:dyDescent="0.3">
      <c r="A819" s="12"/>
    </row>
    <row r="820" spans="1:1" ht="13.8" thickBot="1" x14ac:dyDescent="0.3">
      <c r="A820" s="12"/>
    </row>
    <row r="821" spans="1:1" ht="13.8" thickBot="1" x14ac:dyDescent="0.3">
      <c r="A821" s="12"/>
    </row>
    <row r="822" spans="1:1" ht="13.8" thickBot="1" x14ac:dyDescent="0.3">
      <c r="A822" s="12"/>
    </row>
    <row r="823" spans="1:1" ht="13.8" thickBot="1" x14ac:dyDescent="0.3">
      <c r="A823" s="12"/>
    </row>
    <row r="824" spans="1:1" ht="13.8" thickBot="1" x14ac:dyDescent="0.3">
      <c r="A824" s="12"/>
    </row>
    <row r="825" spans="1:1" ht="13.8" thickBot="1" x14ac:dyDescent="0.3">
      <c r="A825" s="12"/>
    </row>
    <row r="826" spans="1:1" ht="13.8" thickBot="1" x14ac:dyDescent="0.3">
      <c r="A826" s="12"/>
    </row>
    <row r="827" spans="1:1" ht="13.8" thickBot="1" x14ac:dyDescent="0.3">
      <c r="A827" s="12"/>
    </row>
    <row r="828" spans="1:1" ht="13.8" thickBot="1" x14ac:dyDescent="0.3">
      <c r="A828" s="12"/>
    </row>
    <row r="829" spans="1:1" ht="13.8" thickBot="1" x14ac:dyDescent="0.3">
      <c r="A829" s="12"/>
    </row>
    <row r="830" spans="1:1" ht="13.8" thickBot="1" x14ac:dyDescent="0.3">
      <c r="A830" s="12"/>
    </row>
    <row r="831" spans="1:1" ht="13.8" thickBot="1" x14ac:dyDescent="0.3">
      <c r="A831" s="12"/>
    </row>
    <row r="832" spans="1:1" ht="13.8" thickBot="1" x14ac:dyDescent="0.3">
      <c r="A832" s="12"/>
    </row>
    <row r="833" spans="1:1" ht="13.8" thickBot="1" x14ac:dyDescent="0.3">
      <c r="A833" s="12"/>
    </row>
    <row r="834" spans="1:1" ht="13.8" thickBot="1" x14ac:dyDescent="0.3">
      <c r="A834" s="12"/>
    </row>
    <row r="835" spans="1:1" ht="15.75" customHeight="1" thickBot="1" x14ac:dyDescent="0.3">
      <c r="A835" s="12"/>
    </row>
    <row r="836" spans="1:1" ht="15.75" customHeight="1" thickBot="1" x14ac:dyDescent="0.3">
      <c r="A836" s="12"/>
    </row>
    <row r="837" spans="1:1" ht="15.75" customHeight="1" thickBot="1" x14ac:dyDescent="0.3">
      <c r="A837" s="12"/>
    </row>
    <row r="838" spans="1:1" ht="15.75" customHeight="1" thickBot="1" x14ac:dyDescent="0.3">
      <c r="A838" s="12"/>
    </row>
    <row r="839" spans="1:1" ht="15.75" customHeight="1" thickBot="1" x14ac:dyDescent="0.3">
      <c r="A839" s="12"/>
    </row>
    <row r="840" spans="1:1" ht="15.75" customHeight="1" thickBot="1" x14ac:dyDescent="0.3">
      <c r="A840" s="12"/>
    </row>
    <row r="841" spans="1:1" ht="15.75" customHeight="1" thickBot="1" x14ac:dyDescent="0.3">
      <c r="A841" s="12"/>
    </row>
    <row r="842" spans="1:1" ht="15.75" customHeight="1" thickBot="1" x14ac:dyDescent="0.3">
      <c r="A842" s="12"/>
    </row>
    <row r="843" spans="1:1" ht="15.75" customHeight="1" thickBot="1" x14ac:dyDescent="0.3">
      <c r="A843" s="12"/>
    </row>
    <row r="844" spans="1:1" ht="15.75" customHeight="1" thickBot="1" x14ac:dyDescent="0.3">
      <c r="A844" s="12"/>
    </row>
    <row r="845" spans="1:1" ht="15.75" customHeight="1" thickBot="1" x14ac:dyDescent="0.3">
      <c r="A845" s="12"/>
    </row>
    <row r="846" spans="1:1" ht="15.75" customHeight="1" thickBot="1" x14ac:dyDescent="0.3">
      <c r="A846" s="12"/>
    </row>
    <row r="847" spans="1:1" ht="15.75" customHeight="1" thickBot="1" x14ac:dyDescent="0.3">
      <c r="A847" s="12"/>
    </row>
    <row r="848" spans="1:1" ht="15.75" customHeight="1" thickBot="1" x14ac:dyDescent="0.3">
      <c r="A848" s="12"/>
    </row>
    <row r="849" spans="1:1" ht="15.75" customHeight="1" thickBot="1" x14ac:dyDescent="0.3">
      <c r="A849" s="12"/>
    </row>
    <row r="850" spans="1:1" ht="15.75" customHeight="1" thickBot="1" x14ac:dyDescent="0.3">
      <c r="A850" s="12"/>
    </row>
    <row r="851" spans="1:1" ht="15.75" customHeight="1" thickBot="1" x14ac:dyDescent="0.3">
      <c r="A851" s="12"/>
    </row>
    <row r="852" spans="1:1" ht="15.75" customHeight="1" thickBot="1" x14ac:dyDescent="0.3">
      <c r="A852" s="12"/>
    </row>
    <row r="853" spans="1:1" ht="15.75" customHeight="1" thickBot="1" x14ac:dyDescent="0.3">
      <c r="A853" s="12"/>
    </row>
    <row r="854" spans="1:1" ht="15.75" customHeight="1" thickBot="1" x14ac:dyDescent="0.3">
      <c r="A854" s="9"/>
    </row>
    <row r="855" spans="1:1" ht="15.75" customHeight="1" thickBot="1" x14ac:dyDescent="0.3">
      <c r="A855" s="9"/>
    </row>
    <row r="856" spans="1:1" ht="15.75" customHeight="1" thickBot="1" x14ac:dyDescent="0.3">
      <c r="A856" s="9"/>
    </row>
    <row r="857" spans="1:1" ht="15.75" customHeight="1" thickBot="1" x14ac:dyDescent="0.3">
      <c r="A857" s="9"/>
    </row>
    <row r="858" spans="1:1" ht="15.75" customHeight="1" thickBot="1" x14ac:dyDescent="0.3">
      <c r="A858" s="9"/>
    </row>
    <row r="859" spans="1:1" ht="15.75" customHeight="1" thickBot="1" x14ac:dyDescent="0.3">
      <c r="A859" s="9"/>
    </row>
    <row r="860" spans="1:1" ht="15.75" customHeight="1" thickBot="1" x14ac:dyDescent="0.3">
      <c r="A860" s="9"/>
    </row>
    <row r="861" spans="1:1" ht="15.75" customHeight="1" thickBot="1" x14ac:dyDescent="0.3">
      <c r="A861" s="9"/>
    </row>
    <row r="862" spans="1:1" ht="15.75" customHeight="1" thickBot="1" x14ac:dyDescent="0.3">
      <c r="A862" s="9"/>
    </row>
    <row r="863" spans="1:1" ht="15.75" customHeight="1" thickBot="1" x14ac:dyDescent="0.3">
      <c r="A863" s="9"/>
    </row>
    <row r="864" spans="1:1" ht="15.75" customHeight="1" thickBot="1" x14ac:dyDescent="0.3">
      <c r="A864" s="9"/>
    </row>
    <row r="865" spans="1:1" ht="15.75" customHeight="1" thickBot="1" x14ac:dyDescent="0.3">
      <c r="A865" s="9"/>
    </row>
    <row r="866" spans="1:1" ht="15.75" customHeight="1" thickBot="1" x14ac:dyDescent="0.3">
      <c r="A866" s="9"/>
    </row>
    <row r="867" spans="1:1" ht="15.75" customHeight="1" thickBot="1" x14ac:dyDescent="0.3">
      <c r="A867" s="9"/>
    </row>
    <row r="868" spans="1:1" ht="15.75" customHeight="1" thickBot="1" x14ac:dyDescent="0.3">
      <c r="A868" s="9"/>
    </row>
    <row r="869" spans="1:1" ht="15.75" customHeight="1" thickBot="1" x14ac:dyDescent="0.3">
      <c r="A869" s="9"/>
    </row>
    <row r="870" spans="1:1" ht="15.75" customHeight="1" thickBot="1" x14ac:dyDescent="0.3">
      <c r="A870" s="9"/>
    </row>
    <row r="871" spans="1:1" ht="15.75" customHeight="1" thickBot="1" x14ac:dyDescent="0.3">
      <c r="A871" s="9"/>
    </row>
    <row r="872" spans="1:1" ht="15.75" customHeight="1" thickBot="1" x14ac:dyDescent="0.3">
      <c r="A872" s="9"/>
    </row>
    <row r="873" spans="1:1" ht="15.75" customHeight="1" thickBot="1" x14ac:dyDescent="0.3">
      <c r="A873" s="9"/>
    </row>
    <row r="874" spans="1:1" ht="15.75" customHeight="1" thickBot="1" x14ac:dyDescent="0.3">
      <c r="A874" s="9"/>
    </row>
    <row r="875" spans="1:1" ht="15.75" customHeight="1" thickBot="1" x14ac:dyDescent="0.3">
      <c r="A875" s="9"/>
    </row>
    <row r="876" spans="1:1" ht="15.75" customHeight="1" thickBot="1" x14ac:dyDescent="0.3">
      <c r="A876" s="9"/>
    </row>
    <row r="877" spans="1:1" ht="15.75" customHeight="1" thickBot="1" x14ac:dyDescent="0.3">
      <c r="A877" s="9"/>
    </row>
    <row r="878" spans="1:1" ht="15.75" customHeight="1" thickBot="1" x14ac:dyDescent="0.3">
      <c r="A878" s="9"/>
    </row>
    <row r="879" spans="1:1" ht="15.75" customHeight="1" thickBot="1" x14ac:dyDescent="0.3">
      <c r="A879" s="9"/>
    </row>
    <row r="880" spans="1:1" ht="15.75" customHeight="1" thickBot="1" x14ac:dyDescent="0.3">
      <c r="A880" s="9"/>
    </row>
    <row r="881" spans="1:1" ht="15.75" customHeight="1" thickBot="1" x14ac:dyDescent="0.3">
      <c r="A881" s="9"/>
    </row>
    <row r="882" spans="1:1" ht="15.75" customHeight="1" thickBot="1" x14ac:dyDescent="0.3">
      <c r="A882" s="9"/>
    </row>
    <row r="883" spans="1:1" ht="15.75" customHeight="1" thickBot="1" x14ac:dyDescent="0.3">
      <c r="A883" s="9"/>
    </row>
    <row r="884" spans="1:1" ht="15.75" customHeight="1" thickBot="1" x14ac:dyDescent="0.3">
      <c r="A884" s="9"/>
    </row>
    <row r="885" spans="1:1" ht="15.75" customHeight="1" thickBot="1" x14ac:dyDescent="0.3">
      <c r="A885" s="9"/>
    </row>
    <row r="886" spans="1:1" ht="15.75" customHeight="1" thickBot="1" x14ac:dyDescent="0.3">
      <c r="A886" s="9"/>
    </row>
    <row r="887" spans="1:1" ht="15.75" customHeight="1" thickBot="1" x14ac:dyDescent="0.3">
      <c r="A887" s="9"/>
    </row>
    <row r="888" spans="1:1" ht="15.75" customHeight="1" thickBot="1" x14ac:dyDescent="0.3">
      <c r="A888" s="9"/>
    </row>
    <row r="889" spans="1:1" ht="15.75" customHeight="1" thickBot="1" x14ac:dyDescent="0.3">
      <c r="A889" s="9"/>
    </row>
    <row r="890" spans="1:1" ht="15.75" customHeight="1" thickBot="1" x14ac:dyDescent="0.3">
      <c r="A890" s="9"/>
    </row>
    <row r="891" spans="1:1" ht="15.75" customHeight="1" thickBot="1" x14ac:dyDescent="0.3">
      <c r="A891" s="9"/>
    </row>
    <row r="892" spans="1:1" ht="15.75" customHeight="1" thickBot="1" x14ac:dyDescent="0.3">
      <c r="A892" s="9"/>
    </row>
    <row r="893" spans="1:1" ht="15.75" customHeight="1" thickBot="1" x14ac:dyDescent="0.3">
      <c r="A893" s="9"/>
    </row>
    <row r="894" spans="1:1" ht="15.75" customHeight="1" thickBot="1" x14ac:dyDescent="0.3">
      <c r="A894" s="9"/>
    </row>
    <row r="895" spans="1:1" ht="15.75" customHeight="1" thickBot="1" x14ac:dyDescent="0.3">
      <c r="A895" s="9"/>
    </row>
    <row r="896" spans="1:1" ht="15.75" customHeight="1" thickBot="1" x14ac:dyDescent="0.3">
      <c r="A896" s="9"/>
    </row>
    <row r="897" spans="1:1" ht="15.75" customHeight="1" thickBot="1" x14ac:dyDescent="0.3">
      <c r="A897" s="9"/>
    </row>
    <row r="898" spans="1:1" ht="15.75" customHeight="1" thickBot="1" x14ac:dyDescent="0.3">
      <c r="A898" s="9"/>
    </row>
    <row r="899" spans="1:1" ht="15.75" customHeight="1" thickBot="1" x14ac:dyDescent="0.3">
      <c r="A899" s="9"/>
    </row>
    <row r="900" spans="1:1" ht="15.75" customHeight="1" thickBot="1" x14ac:dyDescent="0.3">
      <c r="A900" s="9"/>
    </row>
    <row r="901" spans="1:1" ht="15.75" customHeight="1" thickBot="1" x14ac:dyDescent="0.3">
      <c r="A901" s="9"/>
    </row>
    <row r="902" spans="1:1" ht="15.75" customHeight="1" thickBot="1" x14ac:dyDescent="0.3">
      <c r="A902" s="9"/>
    </row>
    <row r="903" spans="1:1" ht="15.75" customHeight="1" thickBot="1" x14ac:dyDescent="0.3">
      <c r="A903" s="9"/>
    </row>
    <row r="904" spans="1:1" ht="15.75" customHeight="1" thickBot="1" x14ac:dyDescent="0.3">
      <c r="A904" s="9"/>
    </row>
    <row r="905" spans="1:1" ht="15.75" customHeight="1" thickBot="1" x14ac:dyDescent="0.3">
      <c r="A905" s="9"/>
    </row>
    <row r="906" spans="1:1" ht="15.75" customHeight="1" thickBot="1" x14ac:dyDescent="0.3">
      <c r="A906" s="9"/>
    </row>
    <row r="907" spans="1:1" ht="15.75" customHeight="1" thickBot="1" x14ac:dyDescent="0.3">
      <c r="A907" s="9"/>
    </row>
    <row r="908" spans="1:1" ht="15.75" customHeight="1" thickBot="1" x14ac:dyDescent="0.3">
      <c r="A908" s="9"/>
    </row>
    <row r="909" spans="1:1" ht="15.75" customHeight="1" thickBot="1" x14ac:dyDescent="0.3">
      <c r="A909" s="9"/>
    </row>
    <row r="910" spans="1:1" ht="15.75" customHeight="1" thickBot="1" x14ac:dyDescent="0.3">
      <c r="A910" s="9"/>
    </row>
    <row r="911" spans="1:1" ht="15.75" customHeight="1" thickBot="1" x14ac:dyDescent="0.3">
      <c r="A911" s="9"/>
    </row>
    <row r="912" spans="1:1" ht="15.75" customHeight="1" thickBot="1" x14ac:dyDescent="0.3">
      <c r="A912" s="9"/>
    </row>
    <row r="913" spans="1:1" ht="15.75" customHeight="1" thickBot="1" x14ac:dyDescent="0.3">
      <c r="A913" s="9"/>
    </row>
    <row r="914" spans="1:1" ht="15.75" customHeight="1" thickBot="1" x14ac:dyDescent="0.3">
      <c r="A914" s="9"/>
    </row>
    <row r="915" spans="1:1" ht="15.75" customHeight="1" thickBot="1" x14ac:dyDescent="0.3">
      <c r="A915" s="9"/>
    </row>
    <row r="916" spans="1:1" ht="15.75" customHeight="1" thickBot="1" x14ac:dyDescent="0.3">
      <c r="A916" s="9"/>
    </row>
    <row r="917" spans="1:1" ht="15.75" customHeight="1" thickBot="1" x14ac:dyDescent="0.3">
      <c r="A917" s="9"/>
    </row>
    <row r="918" spans="1:1" ht="15.75" customHeight="1" thickBot="1" x14ac:dyDescent="0.3">
      <c r="A918" s="9"/>
    </row>
    <row r="919" spans="1:1" ht="15.75" customHeight="1" thickBot="1" x14ac:dyDescent="0.3">
      <c r="A919" s="9"/>
    </row>
    <row r="920" spans="1:1" ht="15.75" customHeight="1" thickBot="1" x14ac:dyDescent="0.3">
      <c r="A920" s="9"/>
    </row>
    <row r="921" spans="1:1" ht="15.75" customHeight="1" thickBot="1" x14ac:dyDescent="0.3">
      <c r="A921" s="9"/>
    </row>
    <row r="922" spans="1:1" ht="15.75" customHeight="1" thickBot="1" x14ac:dyDescent="0.3">
      <c r="A922" s="9"/>
    </row>
    <row r="923" spans="1:1" ht="15.75" customHeight="1" thickBot="1" x14ac:dyDescent="0.3">
      <c r="A923" s="9"/>
    </row>
    <row r="924" spans="1:1" ht="15.75" customHeight="1" thickBot="1" x14ac:dyDescent="0.3">
      <c r="A924" s="9"/>
    </row>
    <row r="925" spans="1:1" ht="15.75" customHeight="1" thickBot="1" x14ac:dyDescent="0.3">
      <c r="A925" s="9"/>
    </row>
    <row r="926" spans="1:1" ht="15.75" customHeight="1" thickBot="1" x14ac:dyDescent="0.3">
      <c r="A926" s="9"/>
    </row>
    <row r="927" spans="1:1" ht="15.75" customHeight="1" thickBot="1" x14ac:dyDescent="0.3">
      <c r="A927" s="9"/>
    </row>
    <row r="928" spans="1:1" ht="15.75" customHeight="1" thickBot="1" x14ac:dyDescent="0.3">
      <c r="A928" s="9"/>
    </row>
    <row r="929" spans="1:1" ht="15.75" customHeight="1" thickBot="1" x14ac:dyDescent="0.3">
      <c r="A929" s="9"/>
    </row>
    <row r="930" spans="1:1" ht="15.75" customHeight="1" thickBot="1" x14ac:dyDescent="0.3">
      <c r="A930" s="9"/>
    </row>
    <row r="931" spans="1:1" ht="15.75" customHeight="1" thickBot="1" x14ac:dyDescent="0.3">
      <c r="A931" s="9"/>
    </row>
    <row r="932" spans="1:1" ht="15.75" customHeight="1" thickBot="1" x14ac:dyDescent="0.3">
      <c r="A932" s="9"/>
    </row>
    <row r="933" spans="1:1" ht="15.75" customHeight="1" thickBot="1" x14ac:dyDescent="0.3">
      <c r="A933" s="9"/>
    </row>
    <row r="934" spans="1:1" ht="15.75" customHeight="1" thickBot="1" x14ac:dyDescent="0.3">
      <c r="A934" s="9"/>
    </row>
    <row r="935" spans="1:1" ht="15.75" customHeight="1" thickBot="1" x14ac:dyDescent="0.3">
      <c r="A935" s="9"/>
    </row>
    <row r="936" spans="1:1" ht="15.75" customHeight="1" thickBot="1" x14ac:dyDescent="0.3">
      <c r="A936" s="9"/>
    </row>
    <row r="937" spans="1:1" ht="15.75" customHeight="1" thickBot="1" x14ac:dyDescent="0.3">
      <c r="A937" s="9"/>
    </row>
    <row r="938" spans="1:1" ht="15.75" customHeight="1" thickBot="1" x14ac:dyDescent="0.3">
      <c r="A938" s="9"/>
    </row>
    <row r="939" spans="1:1" ht="15.75" customHeight="1" thickBot="1" x14ac:dyDescent="0.3">
      <c r="A939" s="9"/>
    </row>
    <row r="940" spans="1:1" ht="15.75" customHeight="1" thickBot="1" x14ac:dyDescent="0.3">
      <c r="A940" s="9"/>
    </row>
    <row r="941" spans="1:1" ht="15.75" customHeight="1" thickBot="1" x14ac:dyDescent="0.3">
      <c r="A941" s="9"/>
    </row>
    <row r="942" spans="1:1" ht="15.75" customHeight="1" thickBot="1" x14ac:dyDescent="0.3">
      <c r="A942" s="9"/>
    </row>
    <row r="943" spans="1:1" ht="15.75" customHeight="1" thickBot="1" x14ac:dyDescent="0.3">
      <c r="A943" s="9"/>
    </row>
    <row r="944" spans="1:1" ht="15.75" customHeight="1" thickBot="1" x14ac:dyDescent="0.3">
      <c r="A944" s="9"/>
    </row>
    <row r="945" spans="1:1" ht="15.75" customHeight="1" thickBot="1" x14ac:dyDescent="0.3">
      <c r="A945" s="9"/>
    </row>
    <row r="946" spans="1:1" ht="15.75" customHeight="1" thickBot="1" x14ac:dyDescent="0.3">
      <c r="A946" s="9"/>
    </row>
    <row r="947" spans="1:1" ht="15.75" customHeight="1" thickBot="1" x14ac:dyDescent="0.3">
      <c r="A947" s="9"/>
    </row>
    <row r="948" spans="1:1" ht="15.75" customHeight="1" thickBot="1" x14ac:dyDescent="0.3">
      <c r="A948" s="9"/>
    </row>
    <row r="949" spans="1:1" ht="15.75" customHeight="1" thickBot="1" x14ac:dyDescent="0.3">
      <c r="A949" s="9"/>
    </row>
    <row r="950" spans="1:1" ht="15.75" customHeight="1" thickBot="1" x14ac:dyDescent="0.3">
      <c r="A950" s="9"/>
    </row>
    <row r="951" spans="1:1" ht="15.75" customHeight="1" thickBot="1" x14ac:dyDescent="0.3">
      <c r="A951" s="9"/>
    </row>
    <row r="952" spans="1:1" ht="15.75" customHeight="1" thickBot="1" x14ac:dyDescent="0.3">
      <c r="A952" s="9"/>
    </row>
    <row r="953" spans="1:1" ht="15.75" customHeight="1" thickBot="1" x14ac:dyDescent="0.3">
      <c r="A953" s="9"/>
    </row>
    <row r="954" spans="1:1" ht="15.75" customHeight="1" thickBot="1" x14ac:dyDescent="0.3">
      <c r="A954" s="9"/>
    </row>
    <row r="955" spans="1:1" ht="15.75" customHeight="1" thickBot="1" x14ac:dyDescent="0.3">
      <c r="A955" s="9"/>
    </row>
    <row r="956" spans="1:1" ht="15.75" customHeight="1" thickBot="1" x14ac:dyDescent="0.3">
      <c r="A956" s="9"/>
    </row>
    <row r="957" spans="1:1" ht="15.75" customHeight="1" thickBot="1" x14ac:dyDescent="0.3">
      <c r="A957" s="9"/>
    </row>
    <row r="958" spans="1:1" ht="15.75" customHeight="1" thickBot="1" x14ac:dyDescent="0.3">
      <c r="A958" s="9"/>
    </row>
    <row r="959" spans="1:1" ht="15.75" customHeight="1" thickBot="1" x14ac:dyDescent="0.3">
      <c r="A959" s="9"/>
    </row>
    <row r="960" spans="1:1" ht="15.75" customHeight="1" thickBot="1" x14ac:dyDescent="0.3">
      <c r="A960" s="9"/>
    </row>
    <row r="961" spans="1:1" ht="15.75" customHeight="1" thickBot="1" x14ac:dyDescent="0.3">
      <c r="A961" s="9"/>
    </row>
    <row r="962" spans="1:1" ht="15.75" customHeight="1" thickBot="1" x14ac:dyDescent="0.3">
      <c r="A962" s="9"/>
    </row>
    <row r="963" spans="1:1" ht="15.75" customHeight="1" thickBot="1" x14ac:dyDescent="0.3">
      <c r="A963" s="9"/>
    </row>
    <row r="964" spans="1:1" ht="15.75" customHeight="1" thickBot="1" x14ac:dyDescent="0.3">
      <c r="A964" s="9"/>
    </row>
    <row r="965" spans="1:1" ht="15.75" customHeight="1" thickBot="1" x14ac:dyDescent="0.3">
      <c r="A965" s="9"/>
    </row>
    <row r="966" spans="1:1" ht="15.75" customHeight="1" thickBot="1" x14ac:dyDescent="0.3">
      <c r="A966" s="9"/>
    </row>
    <row r="967" spans="1:1" ht="15.75" customHeight="1" thickBot="1" x14ac:dyDescent="0.3">
      <c r="A967" s="9"/>
    </row>
    <row r="968" spans="1:1" ht="15.75" customHeight="1" thickBot="1" x14ac:dyDescent="0.3">
      <c r="A968" s="9"/>
    </row>
    <row r="969" spans="1:1" ht="15.75" customHeight="1" thickBot="1" x14ac:dyDescent="0.3">
      <c r="A969" s="9"/>
    </row>
    <row r="970" spans="1:1" ht="15.75" customHeight="1" thickBot="1" x14ac:dyDescent="0.3">
      <c r="A970" s="9"/>
    </row>
    <row r="971" spans="1:1" ht="15.75" customHeight="1" thickBot="1" x14ac:dyDescent="0.3">
      <c r="A971" s="9"/>
    </row>
    <row r="972" spans="1:1" ht="15.75" customHeight="1" thickBot="1" x14ac:dyDescent="0.3">
      <c r="A972" s="9"/>
    </row>
    <row r="973" spans="1:1" ht="15.75" customHeight="1" thickBot="1" x14ac:dyDescent="0.3">
      <c r="A973" s="9"/>
    </row>
    <row r="974" spans="1:1" ht="15.75" customHeight="1" thickBot="1" x14ac:dyDescent="0.3">
      <c r="A974" s="9"/>
    </row>
    <row r="975" spans="1:1" ht="15.75" customHeight="1" thickBot="1" x14ac:dyDescent="0.3">
      <c r="A975" s="9"/>
    </row>
    <row r="976" spans="1:1" ht="15.75" customHeight="1" thickBot="1" x14ac:dyDescent="0.3">
      <c r="A976" s="9"/>
    </row>
    <row r="977" spans="1:1" ht="15.75" customHeight="1" thickBot="1" x14ac:dyDescent="0.3">
      <c r="A977" s="9"/>
    </row>
    <row r="978" spans="1:1" ht="15.75" customHeight="1" thickBot="1" x14ac:dyDescent="0.3">
      <c r="A978" s="9"/>
    </row>
    <row r="979" spans="1:1" ht="15.75" customHeight="1" thickBot="1" x14ac:dyDescent="0.3">
      <c r="A979" s="9"/>
    </row>
    <row r="980" spans="1:1" ht="15.75" customHeight="1" thickBot="1" x14ac:dyDescent="0.3">
      <c r="A980" s="9"/>
    </row>
    <row r="981" spans="1:1" ht="15.75" customHeight="1" thickBot="1" x14ac:dyDescent="0.3">
      <c r="A981" s="9"/>
    </row>
    <row r="982" spans="1:1" ht="15.75" customHeight="1" thickBot="1" x14ac:dyDescent="0.3">
      <c r="A982" s="9"/>
    </row>
    <row r="983" spans="1:1" ht="15.75" customHeight="1" thickBot="1" x14ac:dyDescent="0.3">
      <c r="A983" s="9"/>
    </row>
    <row r="984" spans="1:1" ht="15.75" customHeight="1" thickBot="1" x14ac:dyDescent="0.3">
      <c r="A984" s="9"/>
    </row>
    <row r="985" spans="1:1" ht="15.75" customHeight="1" thickBot="1" x14ac:dyDescent="0.3">
      <c r="A985" s="9"/>
    </row>
    <row r="986" spans="1:1" ht="15.75" customHeight="1" thickBot="1" x14ac:dyDescent="0.3">
      <c r="A986" s="9"/>
    </row>
    <row r="987" spans="1:1" ht="15.75" customHeight="1" thickBot="1" x14ac:dyDescent="0.3">
      <c r="A987" s="9"/>
    </row>
    <row r="988" spans="1:1" ht="15.75" customHeight="1" thickBot="1" x14ac:dyDescent="0.3">
      <c r="A988" s="9"/>
    </row>
    <row r="989" spans="1:1" ht="15.75" customHeight="1" thickBot="1" x14ac:dyDescent="0.3">
      <c r="A989" s="9"/>
    </row>
    <row r="990" spans="1:1" ht="15.75" customHeight="1" thickBot="1" x14ac:dyDescent="0.3">
      <c r="A990" s="9"/>
    </row>
    <row r="991" spans="1:1" ht="15.75" customHeight="1" thickBot="1" x14ac:dyDescent="0.3">
      <c r="A991" s="9"/>
    </row>
    <row r="992" spans="1:1" ht="15.75" customHeight="1" thickBot="1" x14ac:dyDescent="0.3">
      <c r="A992" s="9"/>
    </row>
    <row r="993" spans="1:1" ht="15.75" customHeight="1" thickBot="1" x14ac:dyDescent="0.3">
      <c r="A993" s="9"/>
    </row>
    <row r="994" spans="1:1" ht="15.75" customHeight="1" thickBot="1" x14ac:dyDescent="0.3">
      <c r="A994" s="9"/>
    </row>
    <row r="995" spans="1:1" ht="15.75" customHeight="1" thickBot="1" x14ac:dyDescent="0.3">
      <c r="A995" s="9"/>
    </row>
    <row r="996" spans="1:1" ht="15.75" customHeight="1" thickBot="1" x14ac:dyDescent="0.3">
      <c r="A996" s="9"/>
    </row>
    <row r="997" spans="1:1" ht="15.75" customHeight="1" thickBot="1" x14ac:dyDescent="0.3">
      <c r="A997" s="9"/>
    </row>
    <row r="998" spans="1:1" ht="15.75" customHeight="1" thickBot="1" x14ac:dyDescent="0.3">
      <c r="A998" s="9"/>
    </row>
    <row r="999" spans="1:1" ht="15.75" customHeight="1" thickBot="1" x14ac:dyDescent="0.3">
      <c r="A999" s="9"/>
    </row>
    <row r="1000" spans="1:1" ht="15.75" customHeight="1" thickBot="1" x14ac:dyDescent="0.3">
      <c r="A1000" s="9"/>
    </row>
    <row r="1001" spans="1:1" ht="15.75" customHeight="1" thickBot="1" x14ac:dyDescent="0.3">
      <c r="A1001" s="9"/>
    </row>
    <row r="1002" spans="1:1" ht="15.75" customHeight="1" thickBot="1" x14ac:dyDescent="0.3">
      <c r="A1002" s="9"/>
    </row>
    <row r="1003" spans="1:1" ht="15.75" customHeight="1" thickBot="1" x14ac:dyDescent="0.3">
      <c r="A1003" s="9"/>
    </row>
    <row r="1004" spans="1:1" ht="15.75" customHeight="1" thickBot="1" x14ac:dyDescent="0.3">
      <c r="A1004" s="9"/>
    </row>
    <row r="1005" spans="1:1" ht="15.75" customHeight="1" thickBot="1" x14ac:dyDescent="0.3">
      <c r="A1005" s="9"/>
    </row>
    <row r="1006" spans="1:1" ht="15.75" customHeight="1" thickBot="1" x14ac:dyDescent="0.3">
      <c r="A1006" s="9"/>
    </row>
    <row r="1007" spans="1:1" ht="15.75" customHeight="1" thickBot="1" x14ac:dyDescent="0.3">
      <c r="A1007" s="9"/>
    </row>
    <row r="1008" spans="1:1" ht="15.75" customHeight="1" thickBot="1" x14ac:dyDescent="0.3">
      <c r="A1008" s="9"/>
    </row>
    <row r="1009" spans="1:1" ht="15.75" customHeight="1" thickBot="1" x14ac:dyDescent="0.3">
      <c r="A1009" s="9"/>
    </row>
    <row r="1010" spans="1:1" ht="15.75" customHeight="1" thickBot="1" x14ac:dyDescent="0.3">
      <c r="A1010" s="9"/>
    </row>
    <row r="1011" spans="1:1" ht="15.75" customHeight="1" thickBot="1" x14ac:dyDescent="0.3">
      <c r="A1011" s="9"/>
    </row>
    <row r="1012" spans="1:1" ht="15.75" customHeight="1" thickBot="1" x14ac:dyDescent="0.3">
      <c r="A1012" s="9"/>
    </row>
    <row r="1013" spans="1:1" ht="15.75" customHeight="1" thickBot="1" x14ac:dyDescent="0.3">
      <c r="A1013" s="9"/>
    </row>
    <row r="1014" spans="1:1" ht="15.75" customHeight="1" thickBot="1" x14ac:dyDescent="0.3">
      <c r="A1014" s="9"/>
    </row>
    <row r="1015" spans="1:1" ht="15.75" customHeight="1" thickBot="1" x14ac:dyDescent="0.3">
      <c r="A1015" s="9"/>
    </row>
    <row r="1016" spans="1:1" ht="15.75" customHeight="1" thickBot="1" x14ac:dyDescent="0.3">
      <c r="A1016" s="9"/>
    </row>
    <row r="1017" spans="1:1" ht="15.75" customHeight="1" thickBot="1" x14ac:dyDescent="0.3">
      <c r="A1017" s="9"/>
    </row>
    <row r="1018" spans="1:1" ht="15.75" customHeight="1" thickBot="1" x14ac:dyDescent="0.3">
      <c r="A1018" s="9"/>
    </row>
    <row r="1019" spans="1:1" ht="15.75" customHeight="1" thickBot="1" x14ac:dyDescent="0.3">
      <c r="A1019" s="9"/>
    </row>
    <row r="1020" spans="1:1" ht="15.75" customHeight="1" thickBot="1" x14ac:dyDescent="0.3">
      <c r="A1020" s="9"/>
    </row>
    <row r="1021" spans="1:1" ht="15.75" customHeight="1" thickBot="1" x14ac:dyDescent="0.3">
      <c r="A1021" s="9"/>
    </row>
    <row r="1022" spans="1:1" ht="15.75" customHeight="1" thickBot="1" x14ac:dyDescent="0.3">
      <c r="A1022" s="9"/>
    </row>
    <row r="1023" spans="1:1" ht="15.75" customHeight="1" thickBot="1" x14ac:dyDescent="0.3">
      <c r="A1023" s="9"/>
    </row>
    <row r="1024" spans="1:1" ht="15.75" customHeight="1" thickBot="1" x14ac:dyDescent="0.3">
      <c r="A1024" s="9"/>
    </row>
    <row r="1025" spans="1:1" ht="15.75" customHeight="1" thickBot="1" x14ac:dyDescent="0.3">
      <c r="A1025" s="9"/>
    </row>
    <row r="1026" spans="1:1" ht="15.75" customHeight="1" thickBot="1" x14ac:dyDescent="0.3">
      <c r="A1026" s="9"/>
    </row>
    <row r="1027" spans="1:1" ht="15.75" customHeight="1" thickBot="1" x14ac:dyDescent="0.3">
      <c r="A1027" s="9"/>
    </row>
    <row r="1028" spans="1:1" ht="15.75" customHeight="1" thickBot="1" x14ac:dyDescent="0.3">
      <c r="A1028" s="9"/>
    </row>
    <row r="1029" spans="1:1" ht="15.75" customHeight="1" thickBot="1" x14ac:dyDescent="0.3">
      <c r="A1029" s="9"/>
    </row>
    <row r="1030" spans="1:1" ht="15.75" customHeight="1" thickBot="1" x14ac:dyDescent="0.3">
      <c r="A1030" s="9"/>
    </row>
    <row r="1031" spans="1:1" ht="15.75" customHeight="1" thickBot="1" x14ac:dyDescent="0.3">
      <c r="A1031" s="9"/>
    </row>
    <row r="1032" spans="1:1" ht="15.75" customHeight="1" thickBot="1" x14ac:dyDescent="0.3">
      <c r="A1032" s="9"/>
    </row>
    <row r="1033" spans="1:1" ht="15.75" customHeight="1" thickBot="1" x14ac:dyDescent="0.3">
      <c r="A1033" s="9"/>
    </row>
    <row r="1034" spans="1:1" ht="15.75" customHeight="1" thickBot="1" x14ac:dyDescent="0.3">
      <c r="A1034" s="9"/>
    </row>
    <row r="1035" spans="1:1" ht="15.75" customHeight="1" thickBot="1" x14ac:dyDescent="0.3">
      <c r="A1035" s="9"/>
    </row>
    <row r="1036" spans="1:1" ht="15.75" customHeight="1" thickBot="1" x14ac:dyDescent="0.3">
      <c r="A1036" s="9"/>
    </row>
    <row r="1037" spans="1:1" ht="15.75" customHeight="1" thickBot="1" x14ac:dyDescent="0.3">
      <c r="A1037" s="9"/>
    </row>
    <row r="1038" spans="1:1" ht="15.75" customHeight="1" thickBot="1" x14ac:dyDescent="0.3">
      <c r="A1038" s="9"/>
    </row>
    <row r="1039" spans="1:1" ht="15.75" customHeight="1" thickBot="1" x14ac:dyDescent="0.3">
      <c r="A1039" s="9"/>
    </row>
    <row r="1040" spans="1:1" ht="15.75" customHeight="1" thickBot="1" x14ac:dyDescent="0.3">
      <c r="A1040" s="9"/>
    </row>
    <row r="1041" spans="1:1" ht="15.75" customHeight="1" thickBot="1" x14ac:dyDescent="0.3">
      <c r="A1041" s="9"/>
    </row>
    <row r="1042" spans="1:1" ht="15.75" customHeight="1" thickBot="1" x14ac:dyDescent="0.3">
      <c r="A1042" s="9"/>
    </row>
    <row r="1043" spans="1:1" ht="15.75" customHeight="1" thickBot="1" x14ac:dyDescent="0.3">
      <c r="A1043" s="9"/>
    </row>
    <row r="1044" spans="1:1" ht="15.75" customHeight="1" thickBot="1" x14ac:dyDescent="0.3">
      <c r="A1044" s="9"/>
    </row>
    <row r="1045" spans="1:1" ht="15.75" customHeight="1" thickBot="1" x14ac:dyDescent="0.3">
      <c r="A1045" s="9"/>
    </row>
    <row r="1046" spans="1:1" ht="15.75" customHeight="1" thickBot="1" x14ac:dyDescent="0.3">
      <c r="A1046" s="9"/>
    </row>
    <row r="1047" spans="1:1" ht="15.75" customHeight="1" thickBot="1" x14ac:dyDescent="0.3">
      <c r="A1047" s="9"/>
    </row>
    <row r="1048" spans="1:1" ht="15.75" customHeight="1" thickBot="1" x14ac:dyDescent="0.3">
      <c r="A1048" s="9"/>
    </row>
    <row r="1049" spans="1:1" ht="15.75" customHeight="1" thickBot="1" x14ac:dyDescent="0.3">
      <c r="A1049" s="9"/>
    </row>
    <row r="1050" spans="1:1" ht="15.75" customHeight="1" thickBot="1" x14ac:dyDescent="0.3">
      <c r="A1050" s="9"/>
    </row>
    <row r="1051" spans="1:1" ht="15.75" customHeight="1" thickBot="1" x14ac:dyDescent="0.3">
      <c r="A1051" s="9"/>
    </row>
    <row r="1052" spans="1:1" ht="15.75" customHeight="1" thickBot="1" x14ac:dyDescent="0.3">
      <c r="A1052" s="9"/>
    </row>
    <row r="1053" spans="1:1" ht="15.75" customHeight="1" thickBot="1" x14ac:dyDescent="0.3">
      <c r="A1053" s="9"/>
    </row>
    <row r="1054" spans="1:1" ht="15.75" customHeight="1" thickBot="1" x14ac:dyDescent="0.3">
      <c r="A1054" s="9"/>
    </row>
    <row r="1055" spans="1:1" ht="15.75" customHeight="1" thickBot="1" x14ac:dyDescent="0.3">
      <c r="A1055" s="9"/>
    </row>
    <row r="1056" spans="1:1" ht="15.75" customHeight="1" thickBot="1" x14ac:dyDescent="0.3">
      <c r="A1056" s="9"/>
    </row>
    <row r="1057" spans="1:1" ht="15.75" customHeight="1" thickBot="1" x14ac:dyDescent="0.3">
      <c r="A1057" s="9"/>
    </row>
    <row r="1058" spans="1:1" ht="15.75" customHeight="1" thickBot="1" x14ac:dyDescent="0.3">
      <c r="A1058" s="9"/>
    </row>
    <row r="1059" spans="1:1" ht="15.75" customHeight="1" thickBot="1" x14ac:dyDescent="0.3">
      <c r="A1059" s="9"/>
    </row>
    <row r="1060" spans="1:1" ht="15.75" customHeight="1" thickBot="1" x14ac:dyDescent="0.3">
      <c r="A1060" s="9"/>
    </row>
    <row r="1061" spans="1:1" ht="15.75" customHeight="1" thickBot="1" x14ac:dyDescent="0.3">
      <c r="A1061" s="9"/>
    </row>
    <row r="1062" spans="1:1" ht="15.75" customHeight="1" thickBot="1" x14ac:dyDescent="0.3">
      <c r="A1062" s="9"/>
    </row>
    <row r="1063" spans="1:1" ht="15.75" customHeight="1" thickBot="1" x14ac:dyDescent="0.3">
      <c r="A1063" s="9"/>
    </row>
    <row r="1064" spans="1:1" ht="15.75" customHeight="1" thickBot="1" x14ac:dyDescent="0.3">
      <c r="A1064" s="9"/>
    </row>
    <row r="1065" spans="1:1" ht="15.75" customHeight="1" thickBot="1" x14ac:dyDescent="0.3">
      <c r="A1065" s="9"/>
    </row>
    <row r="1066" spans="1:1" ht="15.75" customHeight="1" thickBot="1" x14ac:dyDescent="0.3">
      <c r="A1066" s="9"/>
    </row>
    <row r="1067" spans="1:1" ht="15.75" customHeight="1" thickBot="1" x14ac:dyDescent="0.3">
      <c r="A1067" s="9"/>
    </row>
    <row r="1068" spans="1:1" ht="15.75" customHeight="1" thickBot="1" x14ac:dyDescent="0.3">
      <c r="A1068" s="9"/>
    </row>
    <row r="1069" spans="1:1" ht="15.75" customHeight="1" thickBot="1" x14ac:dyDescent="0.3">
      <c r="A1069" s="9"/>
    </row>
    <row r="1070" spans="1:1" ht="15.75" customHeight="1" thickBot="1" x14ac:dyDescent="0.3">
      <c r="A1070" s="9"/>
    </row>
    <row r="1071" spans="1:1" ht="15.75" customHeight="1" thickBot="1" x14ac:dyDescent="0.3">
      <c r="A1071" s="9"/>
    </row>
    <row r="1072" spans="1:1" ht="15.75" customHeight="1" thickBot="1" x14ac:dyDescent="0.3">
      <c r="A1072" s="9"/>
    </row>
    <row r="1073" spans="1:1" ht="15.75" customHeight="1" thickBot="1" x14ac:dyDescent="0.3">
      <c r="A1073" s="9"/>
    </row>
    <row r="1074" spans="1:1" ht="15.75" customHeight="1" thickBot="1" x14ac:dyDescent="0.3">
      <c r="A1074" s="9"/>
    </row>
    <row r="1075" spans="1:1" ht="15.75" customHeight="1" thickBot="1" x14ac:dyDescent="0.3">
      <c r="A1075" s="9"/>
    </row>
    <row r="1076" spans="1:1" ht="15.75" customHeight="1" thickBot="1" x14ac:dyDescent="0.3">
      <c r="A1076" s="9"/>
    </row>
    <row r="1077" spans="1:1" ht="15.75" customHeight="1" thickBot="1" x14ac:dyDescent="0.3">
      <c r="A1077" s="9"/>
    </row>
    <row r="1078" spans="1:1" ht="15.75" customHeight="1" thickBot="1" x14ac:dyDescent="0.3">
      <c r="A1078" s="9"/>
    </row>
    <row r="1079" spans="1:1" ht="15.75" customHeight="1" thickBot="1" x14ac:dyDescent="0.3">
      <c r="A1079" s="9"/>
    </row>
    <row r="1080" spans="1:1" ht="15.75" customHeight="1" thickBot="1" x14ac:dyDescent="0.3">
      <c r="A1080" s="9"/>
    </row>
    <row r="1081" spans="1:1" ht="15.75" customHeight="1" thickBot="1" x14ac:dyDescent="0.3">
      <c r="A1081" s="9"/>
    </row>
    <row r="1082" spans="1:1" ht="15.75" customHeight="1" thickBot="1" x14ac:dyDescent="0.3">
      <c r="A1082" s="9"/>
    </row>
    <row r="1083" spans="1:1" ht="15.75" customHeight="1" thickBot="1" x14ac:dyDescent="0.3">
      <c r="A1083" s="9"/>
    </row>
    <row r="1084" spans="1:1" ht="15.75" customHeight="1" thickBot="1" x14ac:dyDescent="0.3">
      <c r="A1084" s="9"/>
    </row>
    <row r="1085" spans="1:1" ht="15.75" customHeight="1" thickBot="1" x14ac:dyDescent="0.3">
      <c r="A1085" s="9"/>
    </row>
    <row r="1086" spans="1:1" ht="15.75" customHeight="1" thickBot="1" x14ac:dyDescent="0.3">
      <c r="A1086" s="9"/>
    </row>
    <row r="1087" spans="1:1" ht="15.75" customHeight="1" thickBot="1" x14ac:dyDescent="0.3">
      <c r="A1087" s="9"/>
    </row>
    <row r="1088" spans="1:1" ht="15.75" customHeight="1" thickBot="1" x14ac:dyDescent="0.3">
      <c r="A1088" s="9"/>
    </row>
    <row r="1089" spans="1:1" ht="15.75" customHeight="1" thickBot="1" x14ac:dyDescent="0.3">
      <c r="A1089" s="9"/>
    </row>
    <row r="1090" spans="1:1" ht="15.75" customHeight="1" thickBot="1" x14ac:dyDescent="0.3">
      <c r="A1090" s="9"/>
    </row>
    <row r="1091" spans="1:1" ht="15.75" customHeight="1" thickBot="1" x14ac:dyDescent="0.3">
      <c r="A1091" s="9"/>
    </row>
    <row r="1092" spans="1:1" ht="15.75" customHeight="1" thickBot="1" x14ac:dyDescent="0.3">
      <c r="A1092" s="9"/>
    </row>
    <row r="1093" spans="1:1" ht="15.75" customHeight="1" thickBot="1" x14ac:dyDescent="0.3">
      <c r="A1093" s="9"/>
    </row>
    <row r="1094" spans="1:1" ht="15.75" customHeight="1" thickBot="1" x14ac:dyDescent="0.3">
      <c r="A1094" s="9"/>
    </row>
    <row r="1095" spans="1:1" ht="15.75" customHeight="1" thickBot="1" x14ac:dyDescent="0.3">
      <c r="A1095" s="9"/>
    </row>
    <row r="1096" spans="1:1" ht="15.75" customHeight="1" thickBot="1" x14ac:dyDescent="0.3">
      <c r="A1096" s="9"/>
    </row>
    <row r="1097" spans="1:1" ht="15.75" customHeight="1" thickBot="1" x14ac:dyDescent="0.3">
      <c r="A1097" s="9"/>
    </row>
    <row r="1098" spans="1:1" ht="15.75" customHeight="1" thickBot="1" x14ac:dyDescent="0.3">
      <c r="A1098" s="9"/>
    </row>
    <row r="1099" spans="1:1" ht="15.75" customHeight="1" thickBot="1" x14ac:dyDescent="0.3">
      <c r="A1099" s="9"/>
    </row>
    <row r="1100" spans="1:1" ht="15.75" customHeight="1" thickBot="1" x14ac:dyDescent="0.3">
      <c r="A1100" s="9"/>
    </row>
    <row r="1101" spans="1:1" ht="15.75" customHeight="1" thickBot="1" x14ac:dyDescent="0.3">
      <c r="A1101" s="9"/>
    </row>
    <row r="1102" spans="1:1" ht="15.75" customHeight="1" thickBot="1" x14ac:dyDescent="0.3">
      <c r="A1102" s="9"/>
    </row>
    <row r="1103" spans="1:1" ht="15.75" customHeight="1" thickBot="1" x14ac:dyDescent="0.3">
      <c r="A1103" s="9"/>
    </row>
    <row r="1104" spans="1:1" ht="15.75" customHeight="1" thickBot="1" x14ac:dyDescent="0.3">
      <c r="A1104" s="9"/>
    </row>
    <row r="1105" spans="1:1" ht="15.75" customHeight="1" thickBot="1" x14ac:dyDescent="0.3">
      <c r="A1105" s="9"/>
    </row>
    <row r="1106" spans="1:1" ht="15.75" customHeight="1" thickBot="1" x14ac:dyDescent="0.3">
      <c r="A1106" s="9"/>
    </row>
    <row r="1107" spans="1:1" ht="15.75" customHeight="1" thickBot="1" x14ac:dyDescent="0.3">
      <c r="A1107" s="9"/>
    </row>
    <row r="1108" spans="1:1" ht="15.75" customHeight="1" thickBot="1" x14ac:dyDescent="0.3">
      <c r="A1108" s="9"/>
    </row>
    <row r="1109" spans="1:1" ht="15.75" customHeight="1" thickBot="1" x14ac:dyDescent="0.3">
      <c r="A1109" s="9"/>
    </row>
    <row r="1110" spans="1:1" ht="15.75" customHeight="1" thickBot="1" x14ac:dyDescent="0.3">
      <c r="A1110" s="9"/>
    </row>
    <row r="1111" spans="1:1" ht="15.75" customHeight="1" thickBot="1" x14ac:dyDescent="0.3">
      <c r="A1111" s="9"/>
    </row>
    <row r="1112" spans="1:1" ht="15.75" customHeight="1" thickBot="1" x14ac:dyDescent="0.3">
      <c r="A1112" s="9"/>
    </row>
    <row r="1113" spans="1:1" ht="15.75" customHeight="1" thickBot="1" x14ac:dyDescent="0.3">
      <c r="A1113" s="9"/>
    </row>
    <row r="1114" spans="1:1" ht="15.75" customHeight="1" thickBot="1" x14ac:dyDescent="0.3">
      <c r="A1114" s="9"/>
    </row>
    <row r="1115" spans="1:1" ht="15.75" customHeight="1" thickBot="1" x14ac:dyDescent="0.3">
      <c r="A1115" s="9"/>
    </row>
    <row r="1116" spans="1:1" ht="15.75" customHeight="1" thickBot="1" x14ac:dyDescent="0.3">
      <c r="A1116" s="9"/>
    </row>
    <row r="1117" spans="1:1" ht="15.75" customHeight="1" thickBot="1" x14ac:dyDescent="0.3">
      <c r="A1117" s="9"/>
    </row>
    <row r="1118" spans="1:1" ht="15.75" customHeight="1" thickBot="1" x14ac:dyDescent="0.3">
      <c r="A1118" s="9"/>
    </row>
    <row r="1119" spans="1:1" ht="15.75" customHeight="1" thickBot="1" x14ac:dyDescent="0.3">
      <c r="A1119" s="9"/>
    </row>
    <row r="1120" spans="1:1" ht="15.75" customHeight="1" thickBot="1" x14ac:dyDescent="0.3">
      <c r="A1120" s="9"/>
    </row>
    <row r="1121" spans="1:1" ht="15.75" customHeight="1" thickBot="1" x14ac:dyDescent="0.3">
      <c r="A1121" s="9"/>
    </row>
    <row r="1122" spans="1:1" ht="15.75" customHeight="1" thickBot="1" x14ac:dyDescent="0.3">
      <c r="A1122" s="9"/>
    </row>
    <row r="1123" spans="1:1" ht="15.75" customHeight="1" thickBot="1" x14ac:dyDescent="0.3">
      <c r="A1123" s="9"/>
    </row>
    <row r="1124" spans="1:1" ht="15.75" customHeight="1" thickBot="1" x14ac:dyDescent="0.3">
      <c r="A1124" s="9"/>
    </row>
    <row r="1125" spans="1:1" ht="15.75" customHeight="1" thickBot="1" x14ac:dyDescent="0.3">
      <c r="A1125" s="9"/>
    </row>
    <row r="1126" spans="1:1" ht="15.75" customHeight="1" thickBot="1" x14ac:dyDescent="0.3">
      <c r="A1126" s="9"/>
    </row>
    <row r="1127" spans="1:1" ht="15.75" customHeight="1" thickBot="1" x14ac:dyDescent="0.3">
      <c r="A1127" s="9"/>
    </row>
    <row r="1128" spans="1:1" ht="15.75" customHeight="1" thickBot="1" x14ac:dyDescent="0.3">
      <c r="A1128" s="9"/>
    </row>
    <row r="1129" spans="1:1" ht="15.75" customHeight="1" thickBot="1" x14ac:dyDescent="0.3">
      <c r="A1129" s="9"/>
    </row>
    <row r="1130" spans="1:1" ht="15.75" customHeight="1" thickBot="1" x14ac:dyDescent="0.3">
      <c r="A1130" s="9"/>
    </row>
    <row r="1131" spans="1:1" ht="15.75" customHeight="1" thickBot="1" x14ac:dyDescent="0.3">
      <c r="A1131" s="9"/>
    </row>
    <row r="1132" spans="1:1" ht="15.75" customHeight="1" thickBot="1" x14ac:dyDescent="0.3">
      <c r="A1132" s="9"/>
    </row>
    <row r="1133" spans="1:1" ht="15.75" customHeight="1" thickBot="1" x14ac:dyDescent="0.3">
      <c r="A1133" s="9"/>
    </row>
    <row r="1134" spans="1:1" ht="15.75" customHeight="1" thickBot="1" x14ac:dyDescent="0.3">
      <c r="A1134" s="9"/>
    </row>
    <row r="1135" spans="1:1" ht="15.75" customHeight="1" thickBot="1" x14ac:dyDescent="0.3">
      <c r="A1135" s="9"/>
    </row>
    <row r="1136" spans="1:1" ht="15.75" customHeight="1" thickBot="1" x14ac:dyDescent="0.3">
      <c r="A1136" s="9"/>
    </row>
    <row r="1137" spans="1:1" ht="15.75" customHeight="1" thickBot="1" x14ac:dyDescent="0.3">
      <c r="A1137" s="9"/>
    </row>
    <row r="1138" spans="1:1" ht="15.75" customHeight="1" thickBot="1" x14ac:dyDescent="0.3">
      <c r="A1138" s="9"/>
    </row>
    <row r="1139" spans="1:1" ht="15.75" customHeight="1" thickBot="1" x14ac:dyDescent="0.3">
      <c r="A1139" s="9"/>
    </row>
    <row r="1140" spans="1:1" ht="15.75" customHeight="1" thickBot="1" x14ac:dyDescent="0.3">
      <c r="A1140" s="9"/>
    </row>
    <row r="1141" spans="1:1" ht="15.75" customHeight="1" thickBot="1" x14ac:dyDescent="0.3">
      <c r="A1141" s="9"/>
    </row>
    <row r="1142" spans="1:1" ht="15.75" customHeight="1" thickBot="1" x14ac:dyDescent="0.3">
      <c r="A1142" s="9"/>
    </row>
    <row r="1143" spans="1:1" ht="15.75" customHeight="1" thickBot="1" x14ac:dyDescent="0.3">
      <c r="A1143" s="9"/>
    </row>
    <row r="1144" spans="1:1" ht="15.75" customHeight="1" thickBot="1" x14ac:dyDescent="0.3">
      <c r="A1144" s="9"/>
    </row>
    <row r="1145" spans="1:1" ht="15.75" customHeight="1" thickBot="1" x14ac:dyDescent="0.3">
      <c r="A1145" s="9"/>
    </row>
    <row r="1146" spans="1:1" ht="15.75" customHeight="1" thickBot="1" x14ac:dyDescent="0.3">
      <c r="A1146" s="9"/>
    </row>
    <row r="1147" spans="1:1" ht="15.75" customHeight="1" thickBot="1" x14ac:dyDescent="0.3">
      <c r="A1147" s="9"/>
    </row>
    <row r="1148" spans="1:1" ht="15.75" customHeight="1" thickBot="1" x14ac:dyDescent="0.3">
      <c r="A1148" s="9"/>
    </row>
    <row r="1149" spans="1:1" ht="15.75" customHeight="1" thickBot="1" x14ac:dyDescent="0.3">
      <c r="A1149" s="9"/>
    </row>
    <row r="1150" spans="1:1" ht="15.75" customHeight="1" thickBot="1" x14ac:dyDescent="0.3">
      <c r="A1150" s="9"/>
    </row>
    <row r="1151" spans="1:1" ht="15.75" customHeight="1" thickBot="1" x14ac:dyDescent="0.3">
      <c r="A1151" s="9"/>
    </row>
    <row r="1152" spans="1:1" ht="15.75" customHeight="1" thickBot="1" x14ac:dyDescent="0.3">
      <c r="A1152" s="9"/>
    </row>
    <row r="1153" spans="1:1" ht="15.75" customHeight="1" thickBot="1" x14ac:dyDescent="0.3">
      <c r="A1153" s="9"/>
    </row>
    <row r="1154" spans="1:1" ht="15.75" customHeight="1" thickBot="1" x14ac:dyDescent="0.3">
      <c r="A1154" s="9"/>
    </row>
    <row r="1155" spans="1:1" ht="15.75" customHeight="1" thickBot="1" x14ac:dyDescent="0.3">
      <c r="A1155" s="9"/>
    </row>
    <row r="1156" spans="1:1" ht="15.75" customHeight="1" thickBot="1" x14ac:dyDescent="0.3">
      <c r="A1156" s="9"/>
    </row>
    <row r="1157" spans="1:1" ht="15.75" customHeight="1" thickBot="1" x14ac:dyDescent="0.3">
      <c r="A1157" s="9"/>
    </row>
    <row r="1158" spans="1:1" ht="15.75" customHeight="1" thickBot="1" x14ac:dyDescent="0.3">
      <c r="A1158" s="9"/>
    </row>
    <row r="1159" spans="1:1" ht="15.75" customHeight="1" thickBot="1" x14ac:dyDescent="0.3">
      <c r="A1159" s="9"/>
    </row>
    <row r="1160" spans="1:1" ht="15.75" customHeight="1" thickBot="1" x14ac:dyDescent="0.3">
      <c r="A1160" s="9"/>
    </row>
    <row r="1161" spans="1:1" ht="15.75" customHeight="1" thickBot="1" x14ac:dyDescent="0.3">
      <c r="A1161" s="9"/>
    </row>
    <row r="1162" spans="1:1" ht="15.75" customHeight="1" thickBot="1" x14ac:dyDescent="0.3">
      <c r="A1162" s="9"/>
    </row>
    <row r="1163" spans="1:1" ht="15.75" customHeight="1" thickBot="1" x14ac:dyDescent="0.3">
      <c r="A1163" s="9"/>
    </row>
    <row r="1164" spans="1:1" ht="15.75" customHeight="1" thickBot="1" x14ac:dyDescent="0.3">
      <c r="A1164" s="9"/>
    </row>
    <row r="1165" spans="1:1" ht="15.75" customHeight="1" thickBot="1" x14ac:dyDescent="0.3">
      <c r="A1165" s="9"/>
    </row>
    <row r="1166" spans="1:1" ht="15.75" customHeight="1" thickBot="1" x14ac:dyDescent="0.3">
      <c r="A1166" s="9"/>
    </row>
    <row r="1167" spans="1:1" ht="15.75" customHeight="1" thickBot="1" x14ac:dyDescent="0.3">
      <c r="A1167" s="9"/>
    </row>
    <row r="1168" spans="1:1" ht="15.75" customHeight="1" thickBot="1" x14ac:dyDescent="0.3">
      <c r="A1168" s="9"/>
    </row>
    <row r="1169" spans="1:1" ht="15.75" customHeight="1" thickBot="1" x14ac:dyDescent="0.3">
      <c r="A1169" s="9"/>
    </row>
    <row r="1170" spans="1:1" ht="15.75" customHeight="1" thickBot="1" x14ac:dyDescent="0.3">
      <c r="A1170" s="9"/>
    </row>
    <row r="1171" spans="1:1" ht="15.75" customHeight="1" thickBot="1" x14ac:dyDescent="0.3">
      <c r="A1171" s="9"/>
    </row>
    <row r="1172" spans="1:1" ht="15.75" customHeight="1" thickBot="1" x14ac:dyDescent="0.3">
      <c r="A1172" s="9"/>
    </row>
    <row r="1173" spans="1:1" ht="15.75" customHeight="1" thickBot="1" x14ac:dyDescent="0.3">
      <c r="A1173" s="9"/>
    </row>
    <row r="1174" spans="1:1" ht="15.75" customHeight="1" thickBot="1" x14ac:dyDescent="0.3">
      <c r="A1174" s="9"/>
    </row>
    <row r="1175" spans="1:1" ht="15.75" customHeight="1" thickBot="1" x14ac:dyDescent="0.3">
      <c r="A1175" s="9"/>
    </row>
    <row r="1176" spans="1:1" ht="15.75" customHeight="1" thickBot="1" x14ac:dyDescent="0.3">
      <c r="A1176" s="9"/>
    </row>
    <row r="1177" spans="1:1" ht="15.75" customHeight="1" thickBot="1" x14ac:dyDescent="0.3">
      <c r="A1177" s="9"/>
    </row>
    <row r="1178" spans="1:1" ht="15.75" customHeight="1" thickBot="1" x14ac:dyDescent="0.3">
      <c r="A1178" s="9"/>
    </row>
    <row r="1179" spans="1:1" ht="15.75" customHeight="1" thickBot="1" x14ac:dyDescent="0.3">
      <c r="A1179" s="9"/>
    </row>
    <row r="1180" spans="1:1" ht="15.75" customHeight="1" thickBot="1" x14ac:dyDescent="0.3">
      <c r="A1180" s="9"/>
    </row>
    <row r="1181" spans="1:1" ht="15.75" customHeight="1" thickBot="1" x14ac:dyDescent="0.3">
      <c r="A1181" s="9"/>
    </row>
    <row r="1182" spans="1:1" ht="15.75" customHeight="1" thickBot="1" x14ac:dyDescent="0.3">
      <c r="A1182" s="9"/>
    </row>
    <row r="1183" spans="1:1" ht="15.75" customHeight="1" thickBot="1" x14ac:dyDescent="0.3">
      <c r="A1183" s="9"/>
    </row>
    <row r="1184" spans="1:1" ht="15.75" customHeight="1" thickBot="1" x14ac:dyDescent="0.3">
      <c r="A1184" s="9"/>
    </row>
    <row r="1185" spans="1:1" ht="15.75" customHeight="1" thickBot="1" x14ac:dyDescent="0.3">
      <c r="A1185" s="9"/>
    </row>
    <row r="1186" spans="1:1" ht="15.75" customHeight="1" thickBot="1" x14ac:dyDescent="0.3">
      <c r="A1186" s="9"/>
    </row>
    <row r="1187" spans="1:1" ht="15.75" customHeight="1" thickBot="1" x14ac:dyDescent="0.3">
      <c r="A1187" s="9"/>
    </row>
    <row r="1188" spans="1:1" ht="15.75" customHeight="1" thickBot="1" x14ac:dyDescent="0.3">
      <c r="A1188" s="9"/>
    </row>
    <row r="1189" spans="1:1" ht="15.75" customHeight="1" thickBot="1" x14ac:dyDescent="0.3">
      <c r="A1189" s="9"/>
    </row>
    <row r="1190" spans="1:1" ht="15.75" customHeight="1" thickBot="1" x14ac:dyDescent="0.3">
      <c r="A1190" s="9"/>
    </row>
    <row r="1191" spans="1:1" ht="15.75" customHeight="1" thickBot="1" x14ac:dyDescent="0.3">
      <c r="A1191" s="9"/>
    </row>
    <row r="1192" spans="1:1" ht="15.75" customHeight="1" thickBot="1" x14ac:dyDescent="0.3">
      <c r="A1192" s="9"/>
    </row>
    <row r="1193" spans="1:1" ht="15.75" customHeight="1" thickBot="1" x14ac:dyDescent="0.3">
      <c r="A1193" s="9"/>
    </row>
    <row r="1194" spans="1:1" ht="15.75" customHeight="1" thickBot="1" x14ac:dyDescent="0.3">
      <c r="A1194" s="9"/>
    </row>
    <row r="1195" spans="1:1" ht="15.75" customHeight="1" thickBot="1" x14ac:dyDescent="0.3">
      <c r="A1195" s="9"/>
    </row>
    <row r="1196" spans="1:1" ht="15.75" customHeight="1" thickBot="1" x14ac:dyDescent="0.3">
      <c r="A1196" s="9"/>
    </row>
    <row r="1197" spans="1:1" ht="15.75" customHeight="1" thickBot="1" x14ac:dyDescent="0.3">
      <c r="A1197" s="9"/>
    </row>
    <row r="1198" spans="1:1" ht="15.75" customHeight="1" thickBot="1" x14ac:dyDescent="0.3">
      <c r="A1198" s="9"/>
    </row>
    <row r="1199" spans="1:1" ht="15.75" customHeight="1" thickBot="1" x14ac:dyDescent="0.3">
      <c r="A1199" s="9"/>
    </row>
    <row r="1200" spans="1:1" ht="15.75" customHeight="1" thickBot="1" x14ac:dyDescent="0.3">
      <c r="A1200" s="9"/>
    </row>
    <row r="1201" spans="1:1" ht="15.75" customHeight="1" thickBot="1" x14ac:dyDescent="0.3">
      <c r="A1201" s="9"/>
    </row>
    <row r="1202" spans="1:1" ht="15.75" customHeight="1" thickBot="1" x14ac:dyDescent="0.3">
      <c r="A1202" s="9"/>
    </row>
    <row r="1203" spans="1:1" ht="15.75" customHeight="1" thickBot="1" x14ac:dyDescent="0.3">
      <c r="A1203" s="9"/>
    </row>
    <row r="1204" spans="1:1" ht="15.75" customHeight="1" thickBot="1" x14ac:dyDescent="0.3">
      <c r="A1204" s="9"/>
    </row>
    <row r="1205" spans="1:1" ht="15.75" customHeight="1" thickBot="1" x14ac:dyDescent="0.3">
      <c r="A1205" s="9"/>
    </row>
    <row r="1206" spans="1:1" ht="15.75" customHeight="1" thickBot="1" x14ac:dyDescent="0.3">
      <c r="A1206" s="9"/>
    </row>
    <row r="1207" spans="1:1" ht="15.75" customHeight="1" thickBot="1" x14ac:dyDescent="0.3">
      <c r="A1207" s="9"/>
    </row>
    <row r="1208" spans="1:1" ht="15.75" customHeight="1" thickBot="1" x14ac:dyDescent="0.3">
      <c r="A1208" s="9"/>
    </row>
    <row r="1209" spans="1:1" ht="15.75" customHeight="1" thickBot="1" x14ac:dyDescent="0.3">
      <c r="A1209" s="9"/>
    </row>
    <row r="1210" spans="1:1" ht="15.75" customHeight="1" thickBot="1" x14ac:dyDescent="0.3">
      <c r="A1210" s="9"/>
    </row>
    <row r="1211" spans="1:1" ht="15.75" customHeight="1" thickBot="1" x14ac:dyDescent="0.3">
      <c r="A1211" s="9"/>
    </row>
    <row r="1212" spans="1:1" ht="15.75" customHeight="1" thickBot="1" x14ac:dyDescent="0.3">
      <c r="A1212" s="9"/>
    </row>
    <row r="1213" spans="1:1" ht="15.75" customHeight="1" thickBot="1" x14ac:dyDescent="0.3">
      <c r="A1213" s="9"/>
    </row>
    <row r="1214" spans="1:1" ht="15.75" customHeight="1" thickBot="1" x14ac:dyDescent="0.3">
      <c r="A1214" s="9"/>
    </row>
    <row r="1215" spans="1:1" ht="15.75" customHeight="1" thickBot="1" x14ac:dyDescent="0.3">
      <c r="A1215" s="9"/>
    </row>
    <row r="1216" spans="1:1" ht="15.75" customHeight="1" thickBot="1" x14ac:dyDescent="0.3">
      <c r="A1216" s="9"/>
    </row>
    <row r="1217" spans="1:1" ht="15.75" customHeight="1" thickBot="1" x14ac:dyDescent="0.3">
      <c r="A1217" s="9"/>
    </row>
    <row r="1218" spans="1:1" ht="15.75" customHeight="1" thickBot="1" x14ac:dyDescent="0.3">
      <c r="A1218" s="9"/>
    </row>
    <row r="1219" spans="1:1" ht="15.75" customHeight="1" thickBot="1" x14ac:dyDescent="0.3">
      <c r="A1219" s="9"/>
    </row>
    <row r="1220" spans="1:1" ht="15.75" customHeight="1" thickBot="1" x14ac:dyDescent="0.3">
      <c r="A1220" s="9"/>
    </row>
    <row r="1221" spans="1:1" ht="15.75" customHeight="1" thickBot="1" x14ac:dyDescent="0.3">
      <c r="A1221" s="9"/>
    </row>
    <row r="1222" spans="1:1" ht="15.75" customHeight="1" thickBot="1" x14ac:dyDescent="0.3">
      <c r="A1222" s="9"/>
    </row>
    <row r="1223" spans="1:1" ht="15.75" customHeight="1" thickBot="1" x14ac:dyDescent="0.3">
      <c r="A1223" s="9"/>
    </row>
    <row r="1224" spans="1:1" ht="15.75" customHeight="1" thickBot="1" x14ac:dyDescent="0.3">
      <c r="A1224" s="9"/>
    </row>
    <row r="1225" spans="1:1" ht="15.75" customHeight="1" thickBot="1" x14ac:dyDescent="0.3">
      <c r="A1225" s="9"/>
    </row>
    <row r="1226" spans="1:1" ht="15.75" customHeight="1" thickBot="1" x14ac:dyDescent="0.3">
      <c r="A1226" s="9"/>
    </row>
    <row r="1227" spans="1:1" ht="15.75" customHeight="1" thickBot="1" x14ac:dyDescent="0.3">
      <c r="A1227" s="9"/>
    </row>
    <row r="1228" spans="1:1" ht="15.75" customHeight="1" thickBot="1" x14ac:dyDescent="0.3">
      <c r="A1228" s="9"/>
    </row>
    <row r="1229" spans="1:1" ht="15.75" customHeight="1" thickBot="1" x14ac:dyDescent="0.3">
      <c r="A1229" s="9"/>
    </row>
    <row r="1230" spans="1:1" ht="15.75" customHeight="1" thickBot="1" x14ac:dyDescent="0.3">
      <c r="A1230" s="9"/>
    </row>
    <row r="1231" spans="1:1" ht="15.75" customHeight="1" thickBot="1" x14ac:dyDescent="0.3">
      <c r="A1231" s="9"/>
    </row>
    <row r="1232" spans="1:1" ht="15.75" customHeight="1" thickBot="1" x14ac:dyDescent="0.3">
      <c r="A1232" s="9"/>
    </row>
    <row r="1233" spans="1:1" ht="15.75" customHeight="1" thickBot="1" x14ac:dyDescent="0.3">
      <c r="A1233" s="9"/>
    </row>
    <row r="1234" spans="1:1" ht="15.75" customHeight="1" thickBot="1" x14ac:dyDescent="0.3">
      <c r="A1234" s="9"/>
    </row>
    <row r="1235" spans="1:1" ht="15.75" customHeight="1" thickBot="1" x14ac:dyDescent="0.3">
      <c r="A1235" s="9"/>
    </row>
    <row r="1236" spans="1:1" ht="15.75" customHeight="1" thickBot="1" x14ac:dyDescent="0.3">
      <c r="A1236" s="9"/>
    </row>
    <row r="1237" spans="1:1" ht="15.75" customHeight="1" thickBot="1" x14ac:dyDescent="0.3">
      <c r="A1237" s="9"/>
    </row>
    <row r="1238" spans="1:1" ht="15.75" customHeight="1" thickBot="1" x14ac:dyDescent="0.3">
      <c r="A1238" s="9"/>
    </row>
    <row r="1239" spans="1:1" ht="15.75" customHeight="1" thickBot="1" x14ac:dyDescent="0.3">
      <c r="A1239" s="9"/>
    </row>
    <row r="1240" spans="1:1" ht="15.75" customHeight="1" thickBot="1" x14ac:dyDescent="0.3">
      <c r="A1240" s="9"/>
    </row>
    <row r="1241" spans="1:1" ht="15.75" customHeight="1" thickBot="1" x14ac:dyDescent="0.3">
      <c r="A1241" s="9"/>
    </row>
    <row r="1242" spans="1:1" ht="15.75" customHeight="1" thickBot="1" x14ac:dyDescent="0.3">
      <c r="A1242" s="9"/>
    </row>
    <row r="1243" spans="1:1" ht="15.75" customHeight="1" thickBot="1" x14ac:dyDescent="0.3">
      <c r="A1243" s="9"/>
    </row>
    <row r="1244" spans="1:1" ht="15.75" customHeight="1" thickBot="1" x14ac:dyDescent="0.3">
      <c r="A1244" s="9"/>
    </row>
    <row r="1245" spans="1:1" ht="15.75" customHeight="1" thickBot="1" x14ac:dyDescent="0.3">
      <c r="A1245" s="9"/>
    </row>
    <row r="1246" spans="1:1" ht="15.75" customHeight="1" thickBot="1" x14ac:dyDescent="0.3">
      <c r="A1246" s="9"/>
    </row>
    <row r="1247" spans="1:1" ht="15.75" customHeight="1" thickBot="1" x14ac:dyDescent="0.3">
      <c r="A1247" s="9"/>
    </row>
    <row r="1248" spans="1:1" ht="15.75" customHeight="1" thickBot="1" x14ac:dyDescent="0.3">
      <c r="A1248" s="9"/>
    </row>
    <row r="1249" spans="1:1" ht="15.75" customHeight="1" thickBot="1" x14ac:dyDescent="0.3">
      <c r="A1249" s="9"/>
    </row>
    <row r="1250" spans="1:1" ht="15.75" customHeight="1" thickBot="1" x14ac:dyDescent="0.3">
      <c r="A1250" s="9"/>
    </row>
    <row r="1251" spans="1:1" ht="15.75" customHeight="1" thickBot="1" x14ac:dyDescent="0.3">
      <c r="A1251" s="9"/>
    </row>
    <row r="1252" spans="1:1" ht="15.75" customHeight="1" thickBot="1" x14ac:dyDescent="0.3">
      <c r="A1252" s="9"/>
    </row>
    <row r="1253" spans="1:1" ht="15.75" customHeight="1" thickBot="1" x14ac:dyDescent="0.3">
      <c r="A1253" s="9"/>
    </row>
    <row r="1254" spans="1:1" ht="15.75" customHeight="1" thickBot="1" x14ac:dyDescent="0.3">
      <c r="A1254" s="9"/>
    </row>
    <row r="1255" spans="1:1" ht="15.75" customHeight="1" thickBot="1" x14ac:dyDescent="0.3">
      <c r="A1255" s="9"/>
    </row>
    <row r="1256" spans="1:1" ht="15.75" customHeight="1" thickBot="1" x14ac:dyDescent="0.3">
      <c r="A1256" s="9"/>
    </row>
    <row r="1257" spans="1:1" ht="15.75" customHeight="1" thickBot="1" x14ac:dyDescent="0.3">
      <c r="A1257" s="9"/>
    </row>
    <row r="1258" spans="1:1" ht="15.75" customHeight="1" thickBot="1" x14ac:dyDescent="0.3">
      <c r="A1258" s="9"/>
    </row>
    <row r="1259" spans="1:1" ht="15.75" customHeight="1" thickBot="1" x14ac:dyDescent="0.3">
      <c r="A1259" s="9"/>
    </row>
    <row r="1260" spans="1:1" ht="15.75" customHeight="1" thickBot="1" x14ac:dyDescent="0.3">
      <c r="A1260" s="9"/>
    </row>
    <row r="1261" spans="1:1" ht="15.75" customHeight="1" thickBot="1" x14ac:dyDescent="0.3">
      <c r="A1261" s="9"/>
    </row>
    <row r="1262" spans="1:1" ht="15.75" customHeight="1" thickBot="1" x14ac:dyDescent="0.3">
      <c r="A1262" s="9"/>
    </row>
    <row r="1263" spans="1:1" ht="15.75" customHeight="1" thickBot="1" x14ac:dyDescent="0.3">
      <c r="A1263" s="9"/>
    </row>
    <row r="1264" spans="1:1" ht="15.75" customHeight="1" thickBot="1" x14ac:dyDescent="0.3">
      <c r="A1264" s="9"/>
    </row>
    <row r="1265" spans="1:1" ht="15.75" customHeight="1" thickBot="1" x14ac:dyDescent="0.3">
      <c r="A1265" s="9"/>
    </row>
    <row r="1266" spans="1:1" ht="15.75" customHeight="1" thickBot="1" x14ac:dyDescent="0.3">
      <c r="A1266" s="9"/>
    </row>
    <row r="1267" spans="1:1" ht="15.75" customHeight="1" thickBot="1" x14ac:dyDescent="0.3">
      <c r="A1267" s="9"/>
    </row>
    <row r="1268" spans="1:1" ht="15.75" customHeight="1" thickBot="1" x14ac:dyDescent="0.3">
      <c r="A1268" s="9"/>
    </row>
    <row r="1269" spans="1:1" ht="15.75" customHeight="1" thickBot="1" x14ac:dyDescent="0.3">
      <c r="A1269" s="9"/>
    </row>
    <row r="1270" spans="1:1" ht="15.75" customHeight="1" thickBot="1" x14ac:dyDescent="0.3">
      <c r="A1270" s="9"/>
    </row>
    <row r="1271" spans="1:1" ht="15.75" customHeight="1" thickBot="1" x14ac:dyDescent="0.3">
      <c r="A1271" s="9"/>
    </row>
    <row r="1272" spans="1:1" ht="15.75" customHeight="1" thickBot="1" x14ac:dyDescent="0.3">
      <c r="A1272" s="9"/>
    </row>
    <row r="1273" spans="1:1" ht="15.75" customHeight="1" thickBot="1" x14ac:dyDescent="0.3">
      <c r="A1273" s="9"/>
    </row>
    <row r="1274" spans="1:1" ht="15.75" customHeight="1" thickBot="1" x14ac:dyDescent="0.3">
      <c r="A1274" s="9"/>
    </row>
    <row r="1275" spans="1:1" ht="15.75" customHeight="1" thickBot="1" x14ac:dyDescent="0.3">
      <c r="A1275" s="9"/>
    </row>
    <row r="1276" spans="1:1" ht="15.75" customHeight="1" thickBot="1" x14ac:dyDescent="0.3">
      <c r="A1276" s="9"/>
    </row>
    <row r="1277" spans="1:1" ht="15.75" customHeight="1" thickBot="1" x14ac:dyDescent="0.3">
      <c r="A1277" s="9"/>
    </row>
    <row r="1278" spans="1:1" ht="15.75" customHeight="1" thickBot="1" x14ac:dyDescent="0.3">
      <c r="A1278" s="9"/>
    </row>
    <row r="1279" spans="1:1" ht="15.75" customHeight="1" thickBot="1" x14ac:dyDescent="0.3">
      <c r="A1279" s="9"/>
    </row>
    <row r="1280" spans="1:1" ht="15.75" customHeight="1" thickBot="1" x14ac:dyDescent="0.3">
      <c r="A1280" s="9"/>
    </row>
    <row r="1281" spans="1:1" ht="15.75" customHeight="1" thickBot="1" x14ac:dyDescent="0.3">
      <c r="A1281" s="9"/>
    </row>
    <row r="1282" spans="1:1" ht="15.75" customHeight="1" thickBot="1" x14ac:dyDescent="0.3">
      <c r="A1282" s="9"/>
    </row>
    <row r="1283" spans="1:1" ht="15.75" customHeight="1" thickBot="1" x14ac:dyDescent="0.3">
      <c r="A1283" s="9"/>
    </row>
    <row r="1284" spans="1:1" ht="15.75" customHeight="1" thickBot="1" x14ac:dyDescent="0.3">
      <c r="A1284" s="9"/>
    </row>
    <row r="1285" spans="1:1" ht="15.75" customHeight="1" thickBot="1" x14ac:dyDescent="0.3">
      <c r="A1285" s="9"/>
    </row>
    <row r="1286" spans="1:1" ht="15.75" customHeight="1" thickBot="1" x14ac:dyDescent="0.3">
      <c r="A1286" s="9"/>
    </row>
    <row r="1287" spans="1:1" ht="15.75" customHeight="1" thickBot="1" x14ac:dyDescent="0.3">
      <c r="A1287" s="9"/>
    </row>
    <row r="1288" spans="1:1" ht="15.75" customHeight="1" thickBot="1" x14ac:dyDescent="0.3">
      <c r="A1288" s="9"/>
    </row>
    <row r="1289" spans="1:1" ht="15.75" customHeight="1" thickBot="1" x14ac:dyDescent="0.3">
      <c r="A1289" s="9"/>
    </row>
    <row r="1290" spans="1:1" ht="15.75" customHeight="1" thickBot="1" x14ac:dyDescent="0.3">
      <c r="A1290" s="9"/>
    </row>
    <row r="1291" spans="1:1" ht="15.75" customHeight="1" thickBot="1" x14ac:dyDescent="0.3">
      <c r="A1291" s="9"/>
    </row>
    <row r="1292" spans="1:1" ht="15.75" customHeight="1" thickBot="1" x14ac:dyDescent="0.3">
      <c r="A1292" s="9"/>
    </row>
    <row r="1293" spans="1:1" ht="15.75" customHeight="1" thickBot="1" x14ac:dyDescent="0.3">
      <c r="A1293" s="9"/>
    </row>
    <row r="1294" spans="1:1" ht="15.75" customHeight="1" thickBot="1" x14ac:dyDescent="0.3">
      <c r="A1294" s="9"/>
    </row>
    <row r="1295" spans="1:1" ht="15.75" customHeight="1" thickBot="1" x14ac:dyDescent="0.3">
      <c r="A1295" s="9"/>
    </row>
    <row r="1296" spans="1:1" ht="15.75" customHeight="1" thickBot="1" x14ac:dyDescent="0.3">
      <c r="A1296" s="9"/>
    </row>
    <row r="1297" spans="1:1" ht="15.75" customHeight="1" thickBot="1" x14ac:dyDescent="0.3">
      <c r="A1297" s="9"/>
    </row>
    <row r="1298" spans="1:1" ht="15.75" customHeight="1" thickBot="1" x14ac:dyDescent="0.3">
      <c r="A1298" s="9"/>
    </row>
    <row r="1299" spans="1:1" ht="15.75" customHeight="1" thickBot="1" x14ac:dyDescent="0.3">
      <c r="A1299" s="9"/>
    </row>
    <row r="1300" spans="1:1" ht="15.75" customHeight="1" thickBot="1" x14ac:dyDescent="0.3">
      <c r="A1300" s="9"/>
    </row>
    <row r="1301" spans="1:1" ht="15.75" customHeight="1" thickBot="1" x14ac:dyDescent="0.3">
      <c r="A1301" s="9"/>
    </row>
    <row r="1302" spans="1:1" ht="15.75" customHeight="1" thickBot="1" x14ac:dyDescent="0.3">
      <c r="A1302" s="9"/>
    </row>
    <row r="1303" spans="1:1" ht="15.75" customHeight="1" thickBot="1" x14ac:dyDescent="0.3">
      <c r="A1303" s="9"/>
    </row>
    <row r="1304" spans="1:1" ht="15.75" customHeight="1" thickBot="1" x14ac:dyDescent="0.3">
      <c r="A1304" s="9"/>
    </row>
    <row r="1305" spans="1:1" ht="15.75" customHeight="1" thickBot="1" x14ac:dyDescent="0.3">
      <c r="A1305" s="9"/>
    </row>
    <row r="1306" spans="1:1" ht="15.75" customHeight="1" thickBot="1" x14ac:dyDescent="0.3">
      <c r="A1306" s="9"/>
    </row>
    <row r="1307" spans="1:1" ht="15.75" customHeight="1" thickBot="1" x14ac:dyDescent="0.3">
      <c r="A1307" s="9"/>
    </row>
    <row r="1308" spans="1:1" ht="15.75" customHeight="1" thickBot="1" x14ac:dyDescent="0.3">
      <c r="A1308" s="9"/>
    </row>
    <row r="1309" spans="1:1" ht="15.75" customHeight="1" thickBot="1" x14ac:dyDescent="0.3">
      <c r="A1309" s="9"/>
    </row>
    <row r="1310" spans="1:1" ht="15.75" customHeight="1" thickBot="1" x14ac:dyDescent="0.3">
      <c r="A1310" s="9"/>
    </row>
    <row r="1311" spans="1:1" ht="15.75" customHeight="1" thickBot="1" x14ac:dyDescent="0.3">
      <c r="A1311" s="9"/>
    </row>
    <row r="1312" spans="1:1" ht="15.75" customHeight="1" thickBot="1" x14ac:dyDescent="0.3">
      <c r="A1312" s="9"/>
    </row>
    <row r="1313" spans="1:1" ht="15.75" customHeight="1" thickBot="1" x14ac:dyDescent="0.3">
      <c r="A1313" s="9"/>
    </row>
    <row r="1314" spans="1:1" ht="15.75" customHeight="1" thickBot="1" x14ac:dyDescent="0.3">
      <c r="A1314" s="9"/>
    </row>
    <row r="1315" spans="1:1" ht="15.75" customHeight="1" thickBot="1" x14ac:dyDescent="0.3">
      <c r="A1315" s="9"/>
    </row>
    <row r="1316" spans="1:1" ht="15.75" customHeight="1" thickBot="1" x14ac:dyDescent="0.3">
      <c r="A1316" s="9"/>
    </row>
    <row r="1317" spans="1:1" ht="15.75" customHeight="1" thickBot="1" x14ac:dyDescent="0.3">
      <c r="A1317" s="9"/>
    </row>
    <row r="1318" spans="1:1" ht="15.75" customHeight="1" thickBot="1" x14ac:dyDescent="0.3">
      <c r="A1318" s="9"/>
    </row>
    <row r="1319" spans="1:1" ht="15.75" customHeight="1" thickBot="1" x14ac:dyDescent="0.3">
      <c r="A1319" s="9"/>
    </row>
    <row r="1320" spans="1:1" ht="15.75" customHeight="1" thickBot="1" x14ac:dyDescent="0.3">
      <c r="A1320" s="9"/>
    </row>
    <row r="1321" spans="1:1" ht="15.75" customHeight="1" thickBot="1" x14ac:dyDescent="0.3">
      <c r="A1321" s="9"/>
    </row>
    <row r="1322" spans="1:1" ht="15.75" customHeight="1" thickBot="1" x14ac:dyDescent="0.3">
      <c r="A1322" s="9"/>
    </row>
    <row r="1323" spans="1:1" ht="15.75" customHeight="1" thickBot="1" x14ac:dyDescent="0.3">
      <c r="A1323" s="9"/>
    </row>
    <row r="1324" spans="1:1" ht="15.75" customHeight="1" thickBot="1" x14ac:dyDescent="0.3">
      <c r="A1324" s="9"/>
    </row>
    <row r="1325" spans="1:1" ht="15.75" customHeight="1" thickBot="1" x14ac:dyDescent="0.3">
      <c r="A1325" s="9"/>
    </row>
    <row r="1326" spans="1:1" ht="15.75" customHeight="1" thickBot="1" x14ac:dyDescent="0.3">
      <c r="A1326" s="9"/>
    </row>
    <row r="1327" spans="1:1" ht="15.75" customHeight="1" thickBot="1" x14ac:dyDescent="0.3">
      <c r="A1327" s="9"/>
    </row>
    <row r="1328" spans="1:1" ht="15.75" customHeight="1" thickBot="1" x14ac:dyDescent="0.3">
      <c r="A1328" s="9"/>
    </row>
    <row r="1329" spans="1:1" ht="15.75" customHeight="1" thickBot="1" x14ac:dyDescent="0.3">
      <c r="A1329" s="9"/>
    </row>
    <row r="1330" spans="1:1" ht="15.75" customHeight="1" thickBot="1" x14ac:dyDescent="0.3">
      <c r="A1330" s="9"/>
    </row>
    <row r="1331" spans="1:1" ht="15.75" customHeight="1" thickBot="1" x14ac:dyDescent="0.3">
      <c r="A1331" s="9"/>
    </row>
    <row r="1332" spans="1:1" ht="15.75" customHeight="1" thickBot="1" x14ac:dyDescent="0.3">
      <c r="A1332" s="9"/>
    </row>
    <row r="1333" spans="1:1" ht="15.75" customHeight="1" thickBot="1" x14ac:dyDescent="0.3">
      <c r="A1333" s="9"/>
    </row>
    <row r="1334" spans="1:1" ht="15.75" customHeight="1" thickBot="1" x14ac:dyDescent="0.3">
      <c r="A1334" s="9"/>
    </row>
    <row r="1335" spans="1:1" ht="15.75" customHeight="1" thickBot="1" x14ac:dyDescent="0.3">
      <c r="A1335" s="9"/>
    </row>
    <row r="1336" spans="1:1" ht="15.75" customHeight="1" thickBot="1" x14ac:dyDescent="0.3">
      <c r="A1336" s="9"/>
    </row>
    <row r="1337" spans="1:1" ht="15.75" customHeight="1" thickBot="1" x14ac:dyDescent="0.3">
      <c r="A1337" s="9"/>
    </row>
    <row r="1338" spans="1:1" ht="15.75" customHeight="1" thickBot="1" x14ac:dyDescent="0.3">
      <c r="A1338" s="9"/>
    </row>
    <row r="1339" spans="1:1" ht="15.75" customHeight="1" thickBot="1" x14ac:dyDescent="0.3">
      <c r="A1339" s="9"/>
    </row>
    <row r="1340" spans="1:1" ht="15.75" customHeight="1" thickBot="1" x14ac:dyDescent="0.3">
      <c r="A1340" s="9"/>
    </row>
    <row r="1341" spans="1:1" ht="15.75" customHeight="1" thickBot="1" x14ac:dyDescent="0.3">
      <c r="A1341" s="9"/>
    </row>
    <row r="1342" spans="1:1" ht="15.75" customHeight="1" thickBot="1" x14ac:dyDescent="0.3">
      <c r="A1342" s="9"/>
    </row>
    <row r="1343" spans="1:1" ht="15.75" customHeight="1" thickBot="1" x14ac:dyDescent="0.3">
      <c r="A1343" s="9"/>
    </row>
    <row r="1344" spans="1:1" ht="15.75" customHeight="1" thickBot="1" x14ac:dyDescent="0.3">
      <c r="A1344" s="9"/>
    </row>
    <row r="1345" spans="1:1" ht="15.75" customHeight="1" thickBot="1" x14ac:dyDescent="0.3">
      <c r="A1345" s="9"/>
    </row>
    <row r="1346" spans="1:1" ht="15.75" customHeight="1" thickBot="1" x14ac:dyDescent="0.3">
      <c r="A1346" s="9"/>
    </row>
    <row r="1347" spans="1:1" ht="15.75" customHeight="1" thickBot="1" x14ac:dyDescent="0.3">
      <c r="A1347" s="9"/>
    </row>
    <row r="1348" spans="1:1" ht="15.75" customHeight="1" thickBot="1" x14ac:dyDescent="0.3">
      <c r="A1348" s="9"/>
    </row>
    <row r="1349" spans="1:1" ht="15.75" customHeight="1" thickBot="1" x14ac:dyDescent="0.3">
      <c r="A1349" s="9"/>
    </row>
    <row r="1350" spans="1:1" ht="15.75" customHeight="1" thickBot="1" x14ac:dyDescent="0.3">
      <c r="A1350" s="9"/>
    </row>
    <row r="1351" spans="1:1" ht="15.75" customHeight="1" thickBot="1" x14ac:dyDescent="0.3">
      <c r="A1351" s="9"/>
    </row>
    <row r="1352" spans="1:1" ht="15.75" customHeight="1" thickBot="1" x14ac:dyDescent="0.3">
      <c r="A1352" s="9"/>
    </row>
    <row r="1353" spans="1:1" ht="15.75" customHeight="1" thickBot="1" x14ac:dyDescent="0.3">
      <c r="A1353" s="9"/>
    </row>
    <row r="1354" spans="1:1" ht="15.75" customHeight="1" thickBot="1" x14ac:dyDescent="0.3">
      <c r="A1354" s="9"/>
    </row>
    <row r="1355" spans="1:1" ht="15.75" customHeight="1" thickBot="1" x14ac:dyDescent="0.3">
      <c r="A1355" s="9"/>
    </row>
    <row r="1356" spans="1:1" ht="15.75" customHeight="1" thickBot="1" x14ac:dyDescent="0.3">
      <c r="A1356" s="9"/>
    </row>
    <row r="1357" spans="1:1" ht="15.75" customHeight="1" thickBot="1" x14ac:dyDescent="0.3">
      <c r="A1357" s="9"/>
    </row>
    <row r="1358" spans="1:1" ht="15.75" customHeight="1" thickBot="1" x14ac:dyDescent="0.3">
      <c r="A1358" s="9"/>
    </row>
    <row r="1359" spans="1:1" ht="15.75" customHeight="1" thickBot="1" x14ac:dyDescent="0.3">
      <c r="A1359" s="9"/>
    </row>
    <row r="1360" spans="1:1" ht="15.75" customHeight="1" thickBot="1" x14ac:dyDescent="0.3">
      <c r="A1360" s="9"/>
    </row>
    <row r="1361" spans="1:1" ht="15.75" customHeight="1" thickBot="1" x14ac:dyDescent="0.3">
      <c r="A1361" s="9"/>
    </row>
    <row r="1362" spans="1:1" ht="15.75" customHeight="1" thickBot="1" x14ac:dyDescent="0.3">
      <c r="A1362" s="9"/>
    </row>
    <row r="1363" spans="1:1" ht="15.75" customHeight="1" thickBot="1" x14ac:dyDescent="0.3">
      <c r="A1363" s="9"/>
    </row>
    <row r="1364" spans="1:1" ht="15.75" customHeight="1" thickBot="1" x14ac:dyDescent="0.3">
      <c r="A1364" s="9"/>
    </row>
    <row r="1365" spans="1:1" ht="15.75" customHeight="1" thickBot="1" x14ac:dyDescent="0.3">
      <c r="A1365" s="9"/>
    </row>
    <row r="1366" spans="1:1" ht="15.75" customHeight="1" thickBot="1" x14ac:dyDescent="0.3">
      <c r="A1366" s="9"/>
    </row>
    <row r="1367" spans="1:1" ht="15.75" customHeight="1" thickBot="1" x14ac:dyDescent="0.3">
      <c r="A1367" s="9"/>
    </row>
    <row r="1368" spans="1:1" ht="15.75" customHeight="1" thickBot="1" x14ac:dyDescent="0.3">
      <c r="A1368" s="9"/>
    </row>
    <row r="1369" spans="1:1" ht="15.75" customHeight="1" thickBot="1" x14ac:dyDescent="0.3">
      <c r="A1369" s="9"/>
    </row>
    <row r="1370" spans="1:1" ht="15.75" customHeight="1" thickBot="1" x14ac:dyDescent="0.3">
      <c r="A1370" s="9"/>
    </row>
    <row r="1371" spans="1:1" ht="15.75" customHeight="1" thickBot="1" x14ac:dyDescent="0.3">
      <c r="A1371" s="9"/>
    </row>
    <row r="1372" spans="1:1" ht="15.75" customHeight="1" thickBot="1" x14ac:dyDescent="0.3">
      <c r="A1372" s="9"/>
    </row>
    <row r="1373" spans="1:1" ht="15.75" customHeight="1" thickBot="1" x14ac:dyDescent="0.3">
      <c r="A1373" s="9"/>
    </row>
    <row r="1374" spans="1:1" ht="15.75" customHeight="1" thickBot="1" x14ac:dyDescent="0.3">
      <c r="A1374" s="9"/>
    </row>
    <row r="1375" spans="1:1" ht="15.75" customHeight="1" thickBot="1" x14ac:dyDescent="0.3">
      <c r="A1375" s="9"/>
    </row>
    <row r="1376" spans="1:1" ht="15.75" customHeight="1" thickBot="1" x14ac:dyDescent="0.3">
      <c r="A1376" s="9"/>
    </row>
    <row r="1377" spans="1:1" ht="15.75" customHeight="1" thickBot="1" x14ac:dyDescent="0.3">
      <c r="A1377" s="9"/>
    </row>
    <row r="1378" spans="1:1" ht="15.75" customHeight="1" thickBot="1" x14ac:dyDescent="0.3">
      <c r="A1378" s="9"/>
    </row>
    <row r="1379" spans="1:1" ht="15.75" customHeight="1" thickBot="1" x14ac:dyDescent="0.3">
      <c r="A1379" s="9"/>
    </row>
    <row r="1380" spans="1:1" ht="15.75" customHeight="1" thickBot="1" x14ac:dyDescent="0.3">
      <c r="A1380" s="9"/>
    </row>
    <row r="1381" spans="1:1" ht="15.75" customHeight="1" thickBot="1" x14ac:dyDescent="0.3">
      <c r="A1381" s="9"/>
    </row>
    <row r="1382" spans="1:1" ht="15.75" customHeight="1" thickBot="1" x14ac:dyDescent="0.3">
      <c r="A1382" s="9"/>
    </row>
    <row r="1383" spans="1:1" ht="15.75" customHeight="1" thickBot="1" x14ac:dyDescent="0.3">
      <c r="A1383" s="9"/>
    </row>
    <row r="1384" spans="1:1" ht="15.75" customHeight="1" thickBot="1" x14ac:dyDescent="0.3">
      <c r="A1384" s="9"/>
    </row>
    <row r="1385" spans="1:1" ht="15.75" customHeight="1" thickBot="1" x14ac:dyDescent="0.3">
      <c r="A1385" s="9"/>
    </row>
    <row r="1386" spans="1:1" ht="15.75" customHeight="1" thickBot="1" x14ac:dyDescent="0.3">
      <c r="A1386" s="9"/>
    </row>
    <row r="1387" spans="1:1" ht="15.75" customHeight="1" thickBot="1" x14ac:dyDescent="0.3">
      <c r="A1387" s="9"/>
    </row>
    <row r="1388" spans="1:1" ht="15.75" customHeight="1" thickBot="1" x14ac:dyDescent="0.3">
      <c r="A1388" s="9"/>
    </row>
    <row r="1389" spans="1:1" ht="15.75" customHeight="1" thickBot="1" x14ac:dyDescent="0.3">
      <c r="A1389" s="9"/>
    </row>
    <row r="1390" spans="1:1" ht="15.75" customHeight="1" thickBot="1" x14ac:dyDescent="0.3">
      <c r="A1390" s="9"/>
    </row>
    <row r="1391" spans="1:1" ht="15.75" customHeight="1" thickBot="1" x14ac:dyDescent="0.3">
      <c r="A1391" s="9"/>
    </row>
    <row r="1392" spans="1:1" ht="15.75" customHeight="1" thickBot="1" x14ac:dyDescent="0.3">
      <c r="A1392" s="9"/>
    </row>
    <row r="1393" spans="1:1" ht="15.75" customHeight="1" thickBot="1" x14ac:dyDescent="0.3">
      <c r="A1393" s="9"/>
    </row>
    <row r="1394" spans="1:1" ht="15.75" customHeight="1" thickBot="1" x14ac:dyDescent="0.3">
      <c r="A1394" s="9"/>
    </row>
    <row r="1395" spans="1:1" ht="15.75" customHeight="1" thickBot="1" x14ac:dyDescent="0.3">
      <c r="A1395" s="9"/>
    </row>
    <row r="1396" spans="1:1" ht="15.75" customHeight="1" thickBot="1" x14ac:dyDescent="0.3">
      <c r="A1396" s="9"/>
    </row>
    <row r="1397" spans="1:1" ht="15.75" customHeight="1" thickBot="1" x14ac:dyDescent="0.3">
      <c r="A1397" s="9"/>
    </row>
    <row r="1398" spans="1:1" ht="15.75" customHeight="1" thickBot="1" x14ac:dyDescent="0.3">
      <c r="A1398" s="9"/>
    </row>
    <row r="1399" spans="1:1" ht="15.75" customHeight="1" thickBot="1" x14ac:dyDescent="0.3">
      <c r="A1399" s="9"/>
    </row>
    <row r="1400" spans="1:1" ht="15.75" customHeight="1" thickBot="1" x14ac:dyDescent="0.3">
      <c r="A1400" s="9"/>
    </row>
    <row r="1401" spans="1:1" ht="15.75" customHeight="1" thickBot="1" x14ac:dyDescent="0.3">
      <c r="A1401" s="9"/>
    </row>
    <row r="1402" spans="1:1" ht="15.75" customHeight="1" thickBot="1" x14ac:dyDescent="0.3">
      <c r="A1402" s="9"/>
    </row>
    <row r="1403" spans="1:1" ht="15.75" customHeight="1" thickBot="1" x14ac:dyDescent="0.3">
      <c r="A1403" s="9"/>
    </row>
    <row r="1404" spans="1:1" ht="15.75" customHeight="1" thickBot="1" x14ac:dyDescent="0.3">
      <c r="A1404" s="9"/>
    </row>
    <row r="1405" spans="1:1" ht="15.75" customHeight="1" thickBot="1" x14ac:dyDescent="0.3">
      <c r="A1405" s="9"/>
    </row>
    <row r="1406" spans="1:1" ht="15.75" customHeight="1" thickBot="1" x14ac:dyDescent="0.3">
      <c r="A1406" s="9"/>
    </row>
    <row r="1407" spans="1:1" ht="15.75" customHeight="1" thickBot="1" x14ac:dyDescent="0.3">
      <c r="A1407" s="9"/>
    </row>
    <row r="1408" spans="1:1" ht="15.75" customHeight="1" thickBot="1" x14ac:dyDescent="0.3">
      <c r="A1408" s="9"/>
    </row>
    <row r="1409" spans="1:1" ht="15.75" customHeight="1" thickBot="1" x14ac:dyDescent="0.3">
      <c r="A1409" s="9"/>
    </row>
    <row r="1410" spans="1:1" ht="15.75" customHeight="1" thickBot="1" x14ac:dyDescent="0.3">
      <c r="A1410" s="9"/>
    </row>
    <row r="1411" spans="1:1" ht="15.75" customHeight="1" thickBot="1" x14ac:dyDescent="0.3">
      <c r="A1411" s="9"/>
    </row>
    <row r="1412" spans="1:1" ht="15.75" customHeight="1" thickBot="1" x14ac:dyDescent="0.3">
      <c r="A1412" s="9"/>
    </row>
    <row r="1413" spans="1:1" ht="15.75" customHeight="1" thickBot="1" x14ac:dyDescent="0.3">
      <c r="A1413" s="9"/>
    </row>
    <row r="1414" spans="1:1" ht="15.75" customHeight="1" thickBot="1" x14ac:dyDescent="0.3">
      <c r="A1414" s="9"/>
    </row>
    <row r="1415" spans="1:1" ht="15.75" customHeight="1" thickBot="1" x14ac:dyDescent="0.3">
      <c r="A1415" s="9"/>
    </row>
    <row r="1416" spans="1:1" ht="15.75" customHeight="1" thickBot="1" x14ac:dyDescent="0.3">
      <c r="A1416" s="9"/>
    </row>
    <row r="1417" spans="1:1" ht="15.75" customHeight="1" thickBot="1" x14ac:dyDescent="0.3">
      <c r="A1417" s="9"/>
    </row>
    <row r="1418" spans="1:1" ht="15.75" customHeight="1" thickBot="1" x14ac:dyDescent="0.3">
      <c r="A1418" s="9"/>
    </row>
    <row r="1419" spans="1:1" ht="15.75" customHeight="1" thickBot="1" x14ac:dyDescent="0.3">
      <c r="A1419" s="9"/>
    </row>
    <row r="1420" spans="1:1" ht="15.75" customHeight="1" thickBot="1" x14ac:dyDescent="0.3">
      <c r="A1420" s="9"/>
    </row>
    <row r="1421" spans="1:1" ht="15.75" customHeight="1" thickBot="1" x14ac:dyDescent="0.3">
      <c r="A1421" s="9"/>
    </row>
    <row r="1422" spans="1:1" ht="15.75" customHeight="1" thickBot="1" x14ac:dyDescent="0.3">
      <c r="A1422" s="9"/>
    </row>
    <row r="1423" spans="1:1" ht="15.75" customHeight="1" thickBot="1" x14ac:dyDescent="0.3">
      <c r="A1423" s="9"/>
    </row>
    <row r="1424" spans="1:1" ht="15.75" customHeight="1" thickBot="1" x14ac:dyDescent="0.3">
      <c r="A1424" s="9"/>
    </row>
    <row r="1425" spans="1:1" ht="15.75" customHeight="1" thickBot="1" x14ac:dyDescent="0.3">
      <c r="A1425" s="9"/>
    </row>
    <row r="1426" spans="1:1" ht="15.75" customHeight="1" thickBot="1" x14ac:dyDescent="0.3">
      <c r="A1426" s="9"/>
    </row>
    <row r="1427" spans="1:1" ht="15.75" customHeight="1" thickBot="1" x14ac:dyDescent="0.3">
      <c r="A1427" s="9"/>
    </row>
    <row r="1428" spans="1:1" ht="15.75" customHeight="1" thickBot="1" x14ac:dyDescent="0.3">
      <c r="A1428" s="9"/>
    </row>
    <row r="1429" spans="1:1" ht="15.75" customHeight="1" thickBot="1" x14ac:dyDescent="0.3">
      <c r="A1429" s="9"/>
    </row>
    <row r="1430" spans="1:1" ht="15.75" customHeight="1" thickBot="1" x14ac:dyDescent="0.3">
      <c r="A1430" s="9"/>
    </row>
    <row r="1431" spans="1:1" ht="15.75" customHeight="1" thickBot="1" x14ac:dyDescent="0.3">
      <c r="A1431" s="9"/>
    </row>
    <row r="1432" spans="1:1" ht="15.75" customHeight="1" thickBot="1" x14ac:dyDescent="0.3">
      <c r="A1432" s="9"/>
    </row>
    <row r="1433" spans="1:1" ht="15.75" customHeight="1" thickBot="1" x14ac:dyDescent="0.3">
      <c r="A1433" s="9"/>
    </row>
    <row r="1434" spans="1:1" ht="15.75" customHeight="1" thickBot="1" x14ac:dyDescent="0.3">
      <c r="A1434" s="9"/>
    </row>
    <row r="1435" spans="1:1" ht="15.75" customHeight="1" thickBot="1" x14ac:dyDescent="0.3">
      <c r="A1435" s="9"/>
    </row>
    <row r="1436" spans="1:1" ht="15.75" customHeight="1" thickBot="1" x14ac:dyDescent="0.3">
      <c r="A1436" s="9"/>
    </row>
    <row r="1437" spans="1:1" ht="15.75" customHeight="1" thickBot="1" x14ac:dyDescent="0.3">
      <c r="A1437" s="9"/>
    </row>
    <row r="1438" spans="1:1" ht="15.75" customHeight="1" thickBot="1" x14ac:dyDescent="0.3">
      <c r="A1438" s="9"/>
    </row>
    <row r="1439" spans="1:1" ht="15.75" customHeight="1" thickBot="1" x14ac:dyDescent="0.3">
      <c r="A1439" s="9"/>
    </row>
    <row r="1440" spans="1:1" ht="15.75" customHeight="1" thickBot="1" x14ac:dyDescent="0.3">
      <c r="A1440" s="9"/>
    </row>
    <row r="1441" spans="1:1" ht="15.75" customHeight="1" thickBot="1" x14ac:dyDescent="0.3">
      <c r="A1441" s="9"/>
    </row>
    <row r="1442" spans="1:1" ht="15.75" customHeight="1" thickBot="1" x14ac:dyDescent="0.3">
      <c r="A1442" s="9"/>
    </row>
    <row r="1443" spans="1:1" ht="15.75" customHeight="1" thickBot="1" x14ac:dyDescent="0.3">
      <c r="A1443" s="9"/>
    </row>
    <row r="1444" spans="1:1" ht="15.75" customHeight="1" thickBot="1" x14ac:dyDescent="0.3">
      <c r="A1444" s="9"/>
    </row>
    <row r="1445" spans="1:1" ht="15.75" customHeight="1" thickBot="1" x14ac:dyDescent="0.3">
      <c r="A1445" s="9"/>
    </row>
    <row r="1446" spans="1:1" ht="15.75" customHeight="1" thickBot="1" x14ac:dyDescent="0.3">
      <c r="A1446" s="9"/>
    </row>
    <row r="1447" spans="1:1" ht="15.75" customHeight="1" thickBot="1" x14ac:dyDescent="0.3">
      <c r="A1447" s="9"/>
    </row>
    <row r="1448" spans="1:1" ht="15.75" customHeight="1" thickBot="1" x14ac:dyDescent="0.3">
      <c r="A1448" s="9"/>
    </row>
    <row r="1449" spans="1:1" ht="15.75" customHeight="1" thickBot="1" x14ac:dyDescent="0.3">
      <c r="A1449" s="9"/>
    </row>
    <row r="1450" spans="1:1" ht="15.75" customHeight="1" thickBot="1" x14ac:dyDescent="0.3">
      <c r="A1450" s="9"/>
    </row>
    <row r="1451" spans="1:1" ht="15.75" customHeight="1" thickBot="1" x14ac:dyDescent="0.3">
      <c r="A1451" s="9"/>
    </row>
    <row r="1452" spans="1:1" ht="15.75" customHeight="1" thickBot="1" x14ac:dyDescent="0.3">
      <c r="A1452" s="9"/>
    </row>
    <row r="1453" spans="1:1" ht="15.75" customHeight="1" thickBot="1" x14ac:dyDescent="0.3">
      <c r="A1453" s="9"/>
    </row>
    <row r="1454" spans="1:1" ht="15.75" customHeight="1" thickBot="1" x14ac:dyDescent="0.3">
      <c r="A1454" s="9"/>
    </row>
    <row r="1455" spans="1:1" ht="15.75" customHeight="1" thickBot="1" x14ac:dyDescent="0.3">
      <c r="A1455" s="9"/>
    </row>
    <row r="1456" spans="1:1" ht="15.75" customHeight="1" thickBot="1" x14ac:dyDescent="0.3">
      <c r="A1456" s="9"/>
    </row>
    <row r="1457" spans="1:1" ht="15.75" customHeight="1" thickBot="1" x14ac:dyDescent="0.3">
      <c r="A1457" s="9"/>
    </row>
    <row r="1458" spans="1:1" ht="15.75" customHeight="1" thickBot="1" x14ac:dyDescent="0.3">
      <c r="A1458" s="9"/>
    </row>
    <row r="1459" spans="1:1" ht="15.75" customHeight="1" thickBot="1" x14ac:dyDescent="0.3">
      <c r="A1459" s="9"/>
    </row>
    <row r="1460" spans="1:1" ht="15.75" customHeight="1" thickBot="1" x14ac:dyDescent="0.3">
      <c r="A1460" s="9"/>
    </row>
    <row r="1461" spans="1:1" ht="15.75" customHeight="1" thickBot="1" x14ac:dyDescent="0.3">
      <c r="A1461" s="9"/>
    </row>
    <row r="1462" spans="1:1" ht="15.75" customHeight="1" thickBot="1" x14ac:dyDescent="0.3">
      <c r="A1462" s="9"/>
    </row>
    <row r="1463" spans="1:1" ht="15.75" customHeight="1" thickBot="1" x14ac:dyDescent="0.3">
      <c r="A1463" s="9"/>
    </row>
    <row r="1464" spans="1:1" ht="15.75" customHeight="1" thickBot="1" x14ac:dyDescent="0.3">
      <c r="A1464" s="9"/>
    </row>
    <row r="1465" spans="1:1" ht="15.75" customHeight="1" thickBot="1" x14ac:dyDescent="0.3">
      <c r="A1465" s="9"/>
    </row>
    <row r="1466" spans="1:1" ht="15.75" customHeight="1" thickBot="1" x14ac:dyDescent="0.3">
      <c r="A1466" s="9"/>
    </row>
    <row r="1467" spans="1:1" ht="15.75" customHeight="1" thickBot="1" x14ac:dyDescent="0.3">
      <c r="A1467" s="9"/>
    </row>
    <row r="1468" spans="1:1" ht="15.75" customHeight="1" thickBot="1" x14ac:dyDescent="0.3">
      <c r="A1468" s="9"/>
    </row>
    <row r="1469" spans="1:1" ht="15.75" customHeight="1" thickBot="1" x14ac:dyDescent="0.3">
      <c r="A1469" s="9"/>
    </row>
    <row r="1470" spans="1:1" ht="15.75" customHeight="1" thickBot="1" x14ac:dyDescent="0.3">
      <c r="A1470" s="9"/>
    </row>
    <row r="1471" spans="1:1" ht="15.75" customHeight="1" thickBot="1" x14ac:dyDescent="0.3">
      <c r="A1471" s="9"/>
    </row>
    <row r="1472" spans="1:1" ht="15.75" customHeight="1" thickBot="1" x14ac:dyDescent="0.3">
      <c r="A1472" s="9"/>
    </row>
    <row r="1473" spans="1:1" ht="15.75" customHeight="1" thickBot="1" x14ac:dyDescent="0.3">
      <c r="A1473" s="9"/>
    </row>
    <row r="1474" spans="1:1" ht="15.75" customHeight="1" thickBot="1" x14ac:dyDescent="0.3">
      <c r="A1474" s="9"/>
    </row>
    <row r="1475" spans="1:1" ht="15.75" customHeight="1" thickBot="1" x14ac:dyDescent="0.3">
      <c r="A1475" s="9"/>
    </row>
    <row r="1476" spans="1:1" ht="15.75" customHeight="1" thickBot="1" x14ac:dyDescent="0.3">
      <c r="A1476" s="9"/>
    </row>
    <row r="1477" spans="1:1" ht="15.75" customHeight="1" thickBot="1" x14ac:dyDescent="0.3">
      <c r="A1477" s="9"/>
    </row>
    <row r="1478" spans="1:1" ht="15.75" customHeight="1" thickBot="1" x14ac:dyDescent="0.3">
      <c r="A1478" s="9"/>
    </row>
    <row r="1479" spans="1:1" ht="15.75" customHeight="1" thickBot="1" x14ac:dyDescent="0.3">
      <c r="A1479" s="9"/>
    </row>
    <row r="1480" spans="1:1" ht="15.75" customHeight="1" thickBot="1" x14ac:dyDescent="0.3">
      <c r="A1480" s="9"/>
    </row>
    <row r="1481" spans="1:1" ht="15.75" customHeight="1" thickBot="1" x14ac:dyDescent="0.3">
      <c r="A1481" s="9"/>
    </row>
    <row r="1482" spans="1:1" ht="15.75" customHeight="1" thickBot="1" x14ac:dyDescent="0.3">
      <c r="A1482" s="9"/>
    </row>
    <row r="1483" spans="1:1" ht="15.75" customHeight="1" thickBot="1" x14ac:dyDescent="0.3">
      <c r="A1483" s="9"/>
    </row>
    <row r="1484" spans="1:1" ht="15.75" customHeight="1" thickBot="1" x14ac:dyDescent="0.3">
      <c r="A1484" s="9"/>
    </row>
    <row r="1485" spans="1:1" ht="15.75" customHeight="1" thickBot="1" x14ac:dyDescent="0.3">
      <c r="A1485" s="9"/>
    </row>
    <row r="1486" spans="1:1" ht="15.75" customHeight="1" thickBot="1" x14ac:dyDescent="0.3">
      <c r="A1486" s="9"/>
    </row>
    <row r="1487" spans="1:1" ht="15.75" customHeight="1" thickBot="1" x14ac:dyDescent="0.3">
      <c r="A1487" s="9"/>
    </row>
    <row r="1488" spans="1:1" ht="15.75" customHeight="1" thickBot="1" x14ac:dyDescent="0.3">
      <c r="A1488" s="9"/>
    </row>
    <row r="1489" spans="1:1" ht="15.75" customHeight="1" thickBot="1" x14ac:dyDescent="0.3">
      <c r="A1489" s="9"/>
    </row>
    <row r="1490" spans="1:1" ht="15.75" customHeight="1" thickBot="1" x14ac:dyDescent="0.3">
      <c r="A1490" s="9"/>
    </row>
    <row r="1491" spans="1:1" ht="15.75" customHeight="1" thickBot="1" x14ac:dyDescent="0.3">
      <c r="A1491" s="9"/>
    </row>
    <row r="1492" spans="1:1" ht="15.75" customHeight="1" thickBot="1" x14ac:dyDescent="0.3">
      <c r="A1492" s="9"/>
    </row>
    <row r="1493" spans="1:1" ht="15.75" customHeight="1" thickBot="1" x14ac:dyDescent="0.3">
      <c r="A1493" s="9"/>
    </row>
    <row r="1494" spans="1:1" ht="15.75" customHeight="1" thickBot="1" x14ac:dyDescent="0.3">
      <c r="A1494" s="9"/>
    </row>
    <row r="1495" spans="1:1" ht="15.75" customHeight="1" thickBot="1" x14ac:dyDescent="0.3">
      <c r="A1495" s="9"/>
    </row>
    <row r="1496" spans="1:1" ht="15.75" customHeight="1" thickBot="1" x14ac:dyDescent="0.3">
      <c r="A1496" s="9"/>
    </row>
    <row r="1497" spans="1:1" ht="15.75" customHeight="1" thickBot="1" x14ac:dyDescent="0.3">
      <c r="A1497" s="9"/>
    </row>
    <row r="1498" spans="1:1" ht="15.75" customHeight="1" thickBot="1" x14ac:dyDescent="0.3">
      <c r="A1498" s="9"/>
    </row>
    <row r="1499" spans="1:1" ht="15.75" customHeight="1" thickBot="1" x14ac:dyDescent="0.3">
      <c r="A1499" s="9"/>
    </row>
    <row r="1500" spans="1:1" ht="15.75" customHeight="1" thickBot="1" x14ac:dyDescent="0.3">
      <c r="A1500" s="9"/>
    </row>
    <row r="1501" spans="1:1" ht="15.75" customHeight="1" thickBot="1" x14ac:dyDescent="0.3">
      <c r="A1501" s="9"/>
    </row>
    <row r="1502" spans="1:1" ht="15.75" customHeight="1" thickBot="1" x14ac:dyDescent="0.3">
      <c r="A1502" s="9"/>
    </row>
    <row r="1503" spans="1:1" ht="15.75" customHeight="1" thickBot="1" x14ac:dyDescent="0.3">
      <c r="A1503" s="9"/>
    </row>
    <row r="1504" spans="1:1" ht="15.75" customHeight="1" thickBot="1" x14ac:dyDescent="0.3">
      <c r="A1504" s="9"/>
    </row>
    <row r="1505" spans="1:1" ht="15.75" customHeight="1" thickBot="1" x14ac:dyDescent="0.3">
      <c r="A1505" s="9"/>
    </row>
    <row r="1506" spans="1:1" ht="15.75" customHeight="1" thickBot="1" x14ac:dyDescent="0.3">
      <c r="A1506" s="9"/>
    </row>
    <row r="1507" spans="1:1" ht="15.75" customHeight="1" thickBot="1" x14ac:dyDescent="0.3">
      <c r="A1507" s="9"/>
    </row>
    <row r="1508" spans="1:1" ht="15.75" customHeight="1" thickBot="1" x14ac:dyDescent="0.3">
      <c r="A1508" s="9"/>
    </row>
    <row r="1509" spans="1:1" ht="15.75" customHeight="1" thickBot="1" x14ac:dyDescent="0.3">
      <c r="A1509" s="9"/>
    </row>
    <row r="1510" spans="1:1" ht="15.75" customHeight="1" thickBot="1" x14ac:dyDescent="0.3">
      <c r="A1510" s="9"/>
    </row>
    <row r="1511" spans="1:1" ht="15.75" customHeight="1" thickBot="1" x14ac:dyDescent="0.3">
      <c r="A1511" s="9"/>
    </row>
    <row r="1512" spans="1:1" ht="15.75" customHeight="1" thickBot="1" x14ac:dyDescent="0.3">
      <c r="A1512" s="9"/>
    </row>
    <row r="1513" spans="1:1" ht="15.75" customHeight="1" thickBot="1" x14ac:dyDescent="0.3">
      <c r="A1513" s="9"/>
    </row>
    <row r="1514" spans="1:1" ht="15.75" customHeight="1" thickBot="1" x14ac:dyDescent="0.3">
      <c r="A1514" s="9"/>
    </row>
    <row r="1515" spans="1:1" ht="15.75" customHeight="1" thickBot="1" x14ac:dyDescent="0.3">
      <c r="A1515" s="9"/>
    </row>
    <row r="1516" spans="1:1" ht="15.75" customHeight="1" thickBot="1" x14ac:dyDescent="0.3">
      <c r="A1516" s="9"/>
    </row>
    <row r="1517" spans="1:1" ht="15.75" customHeight="1" thickBot="1" x14ac:dyDescent="0.3">
      <c r="A1517" s="9"/>
    </row>
    <row r="1518" spans="1:1" ht="15.75" customHeight="1" thickBot="1" x14ac:dyDescent="0.3">
      <c r="A1518" s="9"/>
    </row>
    <row r="1519" spans="1:1" ht="15.75" customHeight="1" thickBot="1" x14ac:dyDescent="0.3">
      <c r="A1519" s="9"/>
    </row>
    <row r="1520" spans="1:1" ht="15.75" customHeight="1" thickBot="1" x14ac:dyDescent="0.3">
      <c r="A1520" s="9"/>
    </row>
    <row r="1521" spans="1:1" ht="15.75" customHeight="1" thickBot="1" x14ac:dyDescent="0.3">
      <c r="A1521" s="9"/>
    </row>
    <row r="1522" spans="1:1" ht="15.75" customHeight="1" thickBot="1" x14ac:dyDescent="0.3">
      <c r="A1522" s="9"/>
    </row>
    <row r="1523" spans="1:1" ht="15.75" customHeight="1" thickBot="1" x14ac:dyDescent="0.3">
      <c r="A1523" s="9"/>
    </row>
    <row r="1524" spans="1:1" ht="15.75" customHeight="1" thickBot="1" x14ac:dyDescent="0.3">
      <c r="A1524" s="9"/>
    </row>
    <row r="1525" spans="1:1" ht="15.75" customHeight="1" thickBot="1" x14ac:dyDescent="0.3">
      <c r="A1525" s="9"/>
    </row>
    <row r="1526" spans="1:1" ht="15.75" customHeight="1" thickBot="1" x14ac:dyDescent="0.3">
      <c r="A1526" s="9"/>
    </row>
    <row r="1527" spans="1:1" ht="15.75" customHeight="1" thickBot="1" x14ac:dyDescent="0.3">
      <c r="A1527" s="9"/>
    </row>
    <row r="1528" spans="1:1" ht="15.75" customHeight="1" thickBot="1" x14ac:dyDescent="0.3">
      <c r="A1528" s="9"/>
    </row>
    <row r="1529" spans="1:1" ht="15.75" customHeight="1" thickBot="1" x14ac:dyDescent="0.3">
      <c r="A1529" s="9"/>
    </row>
    <row r="1530" spans="1:1" ht="15.75" customHeight="1" thickBot="1" x14ac:dyDescent="0.3">
      <c r="A1530" s="9"/>
    </row>
    <row r="1531" spans="1:1" ht="15.75" customHeight="1" thickBot="1" x14ac:dyDescent="0.3">
      <c r="A1531" s="9"/>
    </row>
    <row r="1532" spans="1:1" ht="15.75" customHeight="1" thickBot="1" x14ac:dyDescent="0.3">
      <c r="A1532" s="9"/>
    </row>
    <row r="1533" spans="1:1" ht="15.75" customHeight="1" thickBot="1" x14ac:dyDescent="0.3">
      <c r="A1533" s="9"/>
    </row>
    <row r="1534" spans="1:1" ht="15.75" customHeight="1" thickBot="1" x14ac:dyDescent="0.3">
      <c r="A1534" s="9"/>
    </row>
    <row r="1535" spans="1:1" ht="15.75" customHeight="1" thickBot="1" x14ac:dyDescent="0.3">
      <c r="A1535" s="9"/>
    </row>
    <row r="1536" spans="1:1" ht="15.75" customHeight="1" thickBot="1" x14ac:dyDescent="0.3">
      <c r="A1536" s="9"/>
    </row>
    <row r="1537" spans="1:1" ht="15.75" customHeight="1" thickBot="1" x14ac:dyDescent="0.3">
      <c r="A1537" s="9"/>
    </row>
    <row r="1538" spans="1:1" ht="15.75" customHeight="1" thickBot="1" x14ac:dyDescent="0.3">
      <c r="A1538" s="9"/>
    </row>
    <row r="1539" spans="1:1" ht="15.75" customHeight="1" thickBot="1" x14ac:dyDescent="0.3">
      <c r="A1539" s="9"/>
    </row>
    <row r="1540" spans="1:1" ht="15.75" customHeight="1" thickBot="1" x14ac:dyDescent="0.3">
      <c r="A1540" s="9"/>
    </row>
    <row r="1541" spans="1:1" ht="15.75" customHeight="1" thickBot="1" x14ac:dyDescent="0.3">
      <c r="A1541" s="9"/>
    </row>
    <row r="1542" spans="1:1" ht="15.75" customHeight="1" thickBot="1" x14ac:dyDescent="0.3">
      <c r="A1542" s="9"/>
    </row>
    <row r="1543" spans="1:1" ht="15.75" customHeight="1" thickBot="1" x14ac:dyDescent="0.3">
      <c r="A1543" s="9"/>
    </row>
    <row r="1544" spans="1:1" ht="15.75" customHeight="1" thickBot="1" x14ac:dyDescent="0.3">
      <c r="A1544" s="9"/>
    </row>
    <row r="1545" spans="1:1" ht="15.75" customHeight="1" thickBot="1" x14ac:dyDescent="0.3">
      <c r="A1545" s="9"/>
    </row>
    <row r="1546" spans="1:1" ht="15.75" customHeight="1" thickBot="1" x14ac:dyDescent="0.3">
      <c r="A1546" s="9"/>
    </row>
    <row r="1547" spans="1:1" ht="15.75" customHeight="1" thickBot="1" x14ac:dyDescent="0.3">
      <c r="A1547" s="9"/>
    </row>
    <row r="1548" spans="1:1" ht="15.75" customHeight="1" thickBot="1" x14ac:dyDescent="0.3">
      <c r="A1548" s="9"/>
    </row>
    <row r="1549" spans="1:1" ht="15.75" customHeight="1" thickBot="1" x14ac:dyDescent="0.3">
      <c r="A1549" s="9"/>
    </row>
    <row r="1550" spans="1:1" ht="15.75" customHeight="1" thickBot="1" x14ac:dyDescent="0.3">
      <c r="A1550" s="9"/>
    </row>
    <row r="1551" spans="1:1" ht="15.75" customHeight="1" thickBot="1" x14ac:dyDescent="0.3">
      <c r="A1551" s="9"/>
    </row>
    <row r="1552" spans="1:1" ht="15.75" customHeight="1" thickBot="1" x14ac:dyDescent="0.3">
      <c r="A1552" s="9"/>
    </row>
    <row r="1553" spans="1:1" ht="15.75" customHeight="1" thickBot="1" x14ac:dyDescent="0.3">
      <c r="A1553" s="9"/>
    </row>
    <row r="1554" spans="1:1" ht="15.75" customHeight="1" thickBot="1" x14ac:dyDescent="0.3">
      <c r="A1554" s="9"/>
    </row>
    <row r="1555" spans="1:1" ht="15.75" customHeight="1" thickBot="1" x14ac:dyDescent="0.3">
      <c r="A1555" s="9"/>
    </row>
    <row r="1556" spans="1:1" ht="15.75" customHeight="1" thickBot="1" x14ac:dyDescent="0.3">
      <c r="A1556" s="9"/>
    </row>
    <row r="1557" spans="1:1" ht="15.75" customHeight="1" thickBot="1" x14ac:dyDescent="0.3">
      <c r="A1557" s="9"/>
    </row>
    <row r="1558" spans="1:1" ht="15.75" customHeight="1" thickBot="1" x14ac:dyDescent="0.3">
      <c r="A1558" s="9"/>
    </row>
    <row r="1559" spans="1:1" ht="15.75" customHeight="1" thickBot="1" x14ac:dyDescent="0.3">
      <c r="A1559" s="9"/>
    </row>
    <row r="1560" spans="1:1" ht="15.75" customHeight="1" thickBot="1" x14ac:dyDescent="0.3">
      <c r="A1560" s="9"/>
    </row>
    <row r="1561" spans="1:1" ht="15.75" customHeight="1" thickBot="1" x14ac:dyDescent="0.3">
      <c r="A1561" s="9"/>
    </row>
    <row r="1562" spans="1:1" ht="15.75" customHeight="1" thickBot="1" x14ac:dyDescent="0.3">
      <c r="A1562" s="9"/>
    </row>
    <row r="1563" spans="1:1" ht="15.75" customHeight="1" thickBot="1" x14ac:dyDescent="0.3">
      <c r="A1563" s="9"/>
    </row>
    <row r="1564" spans="1:1" ht="15.75" customHeight="1" thickBot="1" x14ac:dyDescent="0.3">
      <c r="A1564" s="9"/>
    </row>
    <row r="1565" spans="1:1" ht="15.75" customHeight="1" thickBot="1" x14ac:dyDescent="0.3">
      <c r="A1565" s="9"/>
    </row>
    <row r="1566" spans="1:1" ht="15.75" customHeight="1" thickBot="1" x14ac:dyDescent="0.3">
      <c r="A1566" s="9"/>
    </row>
    <row r="1567" spans="1:1" ht="15.75" customHeight="1" thickBot="1" x14ac:dyDescent="0.3">
      <c r="A1567" s="9"/>
    </row>
    <row r="1568" spans="1:1" ht="15.75" customHeight="1" thickBot="1" x14ac:dyDescent="0.3">
      <c r="A1568" s="9"/>
    </row>
    <row r="1569" spans="1:1" ht="15.75" customHeight="1" thickBot="1" x14ac:dyDescent="0.3">
      <c r="A1569" s="9"/>
    </row>
    <row r="1570" spans="1:1" ht="15.75" customHeight="1" thickBot="1" x14ac:dyDescent="0.3">
      <c r="A1570" s="9"/>
    </row>
    <row r="1571" spans="1:1" ht="15.75" customHeight="1" thickBot="1" x14ac:dyDescent="0.3">
      <c r="A1571" s="9"/>
    </row>
    <row r="1572" spans="1:1" ht="15.75" customHeight="1" thickBot="1" x14ac:dyDescent="0.3">
      <c r="A1572" s="9"/>
    </row>
    <row r="1573" spans="1:1" ht="15.75" customHeight="1" thickBot="1" x14ac:dyDescent="0.3">
      <c r="A1573" s="9"/>
    </row>
    <row r="1574" spans="1:1" ht="15.75" customHeight="1" thickBot="1" x14ac:dyDescent="0.3">
      <c r="A1574" s="9"/>
    </row>
    <row r="1575" spans="1:1" ht="15.75" customHeight="1" thickBot="1" x14ac:dyDescent="0.3">
      <c r="A1575" s="9"/>
    </row>
    <row r="1576" spans="1:1" ht="15.75" customHeight="1" thickBot="1" x14ac:dyDescent="0.3">
      <c r="A1576" s="9"/>
    </row>
    <row r="1577" spans="1:1" ht="15.75" customHeight="1" thickBot="1" x14ac:dyDescent="0.3">
      <c r="A1577" s="9"/>
    </row>
    <row r="1578" spans="1:1" ht="15.75" customHeight="1" thickBot="1" x14ac:dyDescent="0.3">
      <c r="A1578" s="9"/>
    </row>
    <row r="1579" spans="1:1" ht="15.75" customHeight="1" thickBot="1" x14ac:dyDescent="0.3">
      <c r="A1579" s="9"/>
    </row>
    <row r="1580" spans="1:1" ht="15.75" customHeight="1" thickBot="1" x14ac:dyDescent="0.3">
      <c r="A1580" s="9"/>
    </row>
    <row r="1581" spans="1:1" ht="15.75" customHeight="1" thickBot="1" x14ac:dyDescent="0.3">
      <c r="A1581" s="9"/>
    </row>
    <row r="1582" spans="1:1" ht="15.75" customHeight="1" thickBot="1" x14ac:dyDescent="0.3">
      <c r="A1582" s="9"/>
    </row>
    <row r="1583" spans="1:1" ht="15.75" customHeight="1" thickBot="1" x14ac:dyDescent="0.3">
      <c r="A1583" s="9"/>
    </row>
    <row r="1584" spans="1:1" ht="15.75" customHeight="1" thickBot="1" x14ac:dyDescent="0.3">
      <c r="A1584" s="9"/>
    </row>
    <row r="1585" spans="1:1" ht="15.75" customHeight="1" thickBot="1" x14ac:dyDescent="0.3">
      <c r="A1585" s="9"/>
    </row>
    <row r="1586" spans="1:1" ht="15.75" customHeight="1" thickBot="1" x14ac:dyDescent="0.3">
      <c r="A1586" s="9"/>
    </row>
    <row r="1587" spans="1:1" ht="15.75" customHeight="1" thickBot="1" x14ac:dyDescent="0.3">
      <c r="A1587" s="9"/>
    </row>
    <row r="1588" spans="1:1" ht="15.75" customHeight="1" thickBot="1" x14ac:dyDescent="0.3">
      <c r="A1588" s="9"/>
    </row>
    <row r="1589" spans="1:1" ht="15.75" customHeight="1" thickBot="1" x14ac:dyDescent="0.3">
      <c r="A1589" s="9"/>
    </row>
    <row r="1590" spans="1:1" ht="15.75" customHeight="1" thickBot="1" x14ac:dyDescent="0.3">
      <c r="A1590" s="9"/>
    </row>
    <row r="1591" spans="1:1" ht="15.75" customHeight="1" thickBot="1" x14ac:dyDescent="0.3">
      <c r="A1591" s="9"/>
    </row>
    <row r="1592" spans="1:1" ht="15.75" customHeight="1" thickBot="1" x14ac:dyDescent="0.3">
      <c r="A1592" s="9"/>
    </row>
    <row r="1593" spans="1:1" ht="15.75" customHeight="1" thickBot="1" x14ac:dyDescent="0.3">
      <c r="A1593" s="9"/>
    </row>
    <row r="1594" spans="1:1" ht="15.75" customHeight="1" thickBot="1" x14ac:dyDescent="0.3">
      <c r="A1594" s="9"/>
    </row>
    <row r="1595" spans="1:1" ht="15.75" customHeight="1" thickBot="1" x14ac:dyDescent="0.3">
      <c r="A1595" s="9"/>
    </row>
    <row r="1596" spans="1:1" ht="15.75" customHeight="1" thickBot="1" x14ac:dyDescent="0.3">
      <c r="A1596" s="9"/>
    </row>
    <row r="1597" spans="1:1" ht="15.75" customHeight="1" thickBot="1" x14ac:dyDescent="0.3">
      <c r="A1597" s="9"/>
    </row>
    <row r="1598" spans="1:1" ht="15.75" customHeight="1" thickBot="1" x14ac:dyDescent="0.3">
      <c r="A1598" s="9"/>
    </row>
    <row r="1599" spans="1:1" ht="15.75" customHeight="1" thickBot="1" x14ac:dyDescent="0.3">
      <c r="A1599" s="9"/>
    </row>
    <row r="1600" spans="1:1" ht="15.75" customHeight="1" thickBot="1" x14ac:dyDescent="0.3">
      <c r="A1600" s="9"/>
    </row>
    <row r="1601" spans="1:1" ht="15.75" customHeight="1" thickBot="1" x14ac:dyDescent="0.3">
      <c r="A1601" s="9"/>
    </row>
    <row r="1602" spans="1:1" ht="15.75" customHeight="1" thickBot="1" x14ac:dyDescent="0.3">
      <c r="A1602" s="9"/>
    </row>
    <row r="1603" spans="1:1" ht="15.75" customHeight="1" thickBot="1" x14ac:dyDescent="0.3">
      <c r="A1603" s="9"/>
    </row>
    <row r="1604" spans="1:1" ht="15.75" customHeight="1" thickBot="1" x14ac:dyDescent="0.3">
      <c r="A1604" s="9"/>
    </row>
    <row r="1605" spans="1:1" ht="15.75" customHeight="1" thickBot="1" x14ac:dyDescent="0.3">
      <c r="A1605" s="9"/>
    </row>
    <row r="1606" spans="1:1" ht="15.75" customHeight="1" thickBot="1" x14ac:dyDescent="0.3">
      <c r="A1606" s="9"/>
    </row>
    <row r="1607" spans="1:1" ht="15.75" customHeight="1" thickBot="1" x14ac:dyDescent="0.3">
      <c r="A1607" s="9"/>
    </row>
    <row r="1608" spans="1:1" ht="15.75" customHeight="1" thickBot="1" x14ac:dyDescent="0.3">
      <c r="A1608" s="9"/>
    </row>
    <row r="1609" spans="1:1" ht="15.75" customHeight="1" thickBot="1" x14ac:dyDescent="0.3">
      <c r="A1609" s="9"/>
    </row>
    <row r="1610" spans="1:1" ht="15.75" customHeight="1" thickBot="1" x14ac:dyDescent="0.3">
      <c r="A1610" s="9"/>
    </row>
    <row r="1611" spans="1:1" ht="15.75" customHeight="1" thickBot="1" x14ac:dyDescent="0.3">
      <c r="A1611" s="9"/>
    </row>
    <row r="1612" spans="1:1" ht="15.75" customHeight="1" thickBot="1" x14ac:dyDescent="0.3">
      <c r="A1612" s="9"/>
    </row>
    <row r="1613" spans="1:1" ht="15.75" customHeight="1" thickBot="1" x14ac:dyDescent="0.3">
      <c r="A1613" s="9"/>
    </row>
    <row r="1614" spans="1:1" ht="15.75" customHeight="1" thickBot="1" x14ac:dyDescent="0.3">
      <c r="A1614" s="9"/>
    </row>
    <row r="1615" spans="1:1" ht="15.75" customHeight="1" thickBot="1" x14ac:dyDescent="0.3">
      <c r="A1615" s="9"/>
    </row>
    <row r="1616" spans="1:1" ht="15.75" customHeight="1" thickBot="1" x14ac:dyDescent="0.3">
      <c r="A1616" s="9"/>
    </row>
    <row r="1617" spans="1:1" ht="15.75" customHeight="1" thickBot="1" x14ac:dyDescent="0.3">
      <c r="A1617" s="9"/>
    </row>
    <row r="1618" spans="1:1" ht="15.75" customHeight="1" thickBot="1" x14ac:dyDescent="0.3">
      <c r="A1618" s="9"/>
    </row>
    <row r="1619" spans="1:1" ht="15.75" customHeight="1" thickBot="1" x14ac:dyDescent="0.3">
      <c r="A1619" s="9"/>
    </row>
    <row r="1620" spans="1:1" ht="15.75" customHeight="1" thickBot="1" x14ac:dyDescent="0.3">
      <c r="A1620" s="9"/>
    </row>
    <row r="1621" spans="1:1" ht="15.75" customHeight="1" thickBot="1" x14ac:dyDescent="0.3">
      <c r="A1621" s="9"/>
    </row>
    <row r="1622" spans="1:1" ht="15.75" customHeight="1" thickBot="1" x14ac:dyDescent="0.3">
      <c r="A1622" s="9"/>
    </row>
    <row r="1623" spans="1:1" ht="15.75" customHeight="1" thickBot="1" x14ac:dyDescent="0.3">
      <c r="A1623" s="9"/>
    </row>
    <row r="1624" spans="1:1" ht="15.75" customHeight="1" thickBot="1" x14ac:dyDescent="0.3">
      <c r="A1624" s="9"/>
    </row>
    <row r="1625" spans="1:1" ht="15.75" customHeight="1" thickBot="1" x14ac:dyDescent="0.3">
      <c r="A1625" s="9"/>
    </row>
    <row r="1626" spans="1:1" ht="15.75" customHeight="1" thickBot="1" x14ac:dyDescent="0.3">
      <c r="A1626" s="9"/>
    </row>
    <row r="1627" spans="1:1" ht="15.75" customHeight="1" thickBot="1" x14ac:dyDescent="0.3">
      <c r="A1627" s="9"/>
    </row>
    <row r="1628" spans="1:1" ht="15.75" customHeight="1" thickBot="1" x14ac:dyDescent="0.3">
      <c r="A1628" s="9"/>
    </row>
    <row r="1629" spans="1:1" ht="15.75" customHeight="1" thickBot="1" x14ac:dyDescent="0.3">
      <c r="A1629" s="9"/>
    </row>
    <row r="1630" spans="1:1" ht="15.75" customHeight="1" thickBot="1" x14ac:dyDescent="0.3">
      <c r="A1630" s="9"/>
    </row>
    <row r="1631" spans="1:1" ht="15.75" customHeight="1" thickBot="1" x14ac:dyDescent="0.3">
      <c r="A1631" s="9"/>
    </row>
    <row r="1632" spans="1:1" ht="15.75" customHeight="1" thickBot="1" x14ac:dyDescent="0.3">
      <c r="A1632" s="9"/>
    </row>
    <row r="1633" spans="1:1" ht="15.75" customHeight="1" thickBot="1" x14ac:dyDescent="0.3">
      <c r="A1633" s="9"/>
    </row>
    <row r="1634" spans="1:1" ht="15.75" customHeight="1" thickBot="1" x14ac:dyDescent="0.3">
      <c r="A1634" s="9"/>
    </row>
    <row r="1635" spans="1:1" ht="15.75" customHeight="1" thickBot="1" x14ac:dyDescent="0.3">
      <c r="A1635" s="9"/>
    </row>
    <row r="1636" spans="1:1" ht="15.75" customHeight="1" thickBot="1" x14ac:dyDescent="0.3">
      <c r="A1636" s="9"/>
    </row>
    <row r="1637" spans="1:1" ht="15.75" customHeight="1" thickBot="1" x14ac:dyDescent="0.3">
      <c r="A1637" s="9"/>
    </row>
    <row r="1638" spans="1:1" ht="15.75" customHeight="1" thickBot="1" x14ac:dyDescent="0.3">
      <c r="A1638" s="9"/>
    </row>
    <row r="1639" spans="1:1" ht="15.75" customHeight="1" thickBot="1" x14ac:dyDescent="0.3">
      <c r="A1639" s="9"/>
    </row>
    <row r="1640" spans="1:1" ht="15.75" customHeight="1" thickBot="1" x14ac:dyDescent="0.3">
      <c r="A1640" s="9"/>
    </row>
    <row r="1641" spans="1:1" ht="15.75" customHeight="1" thickBot="1" x14ac:dyDescent="0.3">
      <c r="A1641" s="9"/>
    </row>
    <row r="1642" spans="1:1" ht="15.75" customHeight="1" thickBot="1" x14ac:dyDescent="0.3">
      <c r="A1642" s="9"/>
    </row>
    <row r="1643" spans="1:1" ht="15.75" customHeight="1" thickBot="1" x14ac:dyDescent="0.3">
      <c r="A1643" s="9"/>
    </row>
    <row r="1644" spans="1:1" ht="15.75" customHeight="1" thickBot="1" x14ac:dyDescent="0.3">
      <c r="A1644" s="9"/>
    </row>
    <row r="1645" spans="1:1" ht="15.75" customHeight="1" thickBot="1" x14ac:dyDescent="0.3">
      <c r="A1645" s="9"/>
    </row>
    <row r="1646" spans="1:1" ht="15.75" customHeight="1" thickBot="1" x14ac:dyDescent="0.3">
      <c r="A1646" s="9"/>
    </row>
    <row r="1647" spans="1:1" ht="15.75" customHeight="1" thickBot="1" x14ac:dyDescent="0.3">
      <c r="A1647" s="9"/>
    </row>
    <row r="1648" spans="1:1" ht="15.75" customHeight="1" thickBot="1" x14ac:dyDescent="0.3">
      <c r="A1648" s="9"/>
    </row>
    <row r="1649" spans="1:1" ht="15.75" customHeight="1" thickBot="1" x14ac:dyDescent="0.3">
      <c r="A1649" s="9"/>
    </row>
    <row r="1650" spans="1:1" ht="15.75" customHeight="1" thickBot="1" x14ac:dyDescent="0.3">
      <c r="A1650" s="9"/>
    </row>
    <row r="1651" spans="1:1" ht="15.75" customHeight="1" thickBot="1" x14ac:dyDescent="0.3">
      <c r="A1651" s="9"/>
    </row>
    <row r="1652" spans="1:1" ht="15.75" customHeight="1" thickBot="1" x14ac:dyDescent="0.3">
      <c r="A1652" s="9"/>
    </row>
    <row r="1653" spans="1:1" ht="15.75" customHeight="1" thickBot="1" x14ac:dyDescent="0.3">
      <c r="A1653" s="9"/>
    </row>
    <row r="1654" spans="1:1" ht="15.75" customHeight="1" thickBot="1" x14ac:dyDescent="0.3">
      <c r="A1654" s="9"/>
    </row>
    <row r="1655" spans="1:1" ht="15.75" customHeight="1" thickBot="1" x14ac:dyDescent="0.3">
      <c r="A1655" s="9"/>
    </row>
    <row r="1656" spans="1:1" ht="15.75" customHeight="1" thickBot="1" x14ac:dyDescent="0.3">
      <c r="A1656" s="9"/>
    </row>
    <row r="1657" spans="1:1" ht="15.75" customHeight="1" thickBot="1" x14ac:dyDescent="0.3">
      <c r="A1657" s="9"/>
    </row>
    <row r="1658" spans="1:1" ht="15.75" customHeight="1" thickBot="1" x14ac:dyDescent="0.3">
      <c r="A1658" s="9"/>
    </row>
    <row r="1659" spans="1:1" ht="15.75" customHeight="1" thickBot="1" x14ac:dyDescent="0.3">
      <c r="A1659" s="9"/>
    </row>
    <row r="1660" spans="1:1" ht="15.75" customHeight="1" thickBot="1" x14ac:dyDescent="0.3">
      <c r="A1660" s="9"/>
    </row>
    <row r="1661" spans="1:1" ht="15.75" customHeight="1" thickBot="1" x14ac:dyDescent="0.3">
      <c r="A1661" s="9"/>
    </row>
    <row r="1662" spans="1:1" ht="15.75" customHeight="1" thickBot="1" x14ac:dyDescent="0.3">
      <c r="A1662" s="9"/>
    </row>
    <row r="1663" spans="1:1" ht="15.75" customHeight="1" thickBot="1" x14ac:dyDescent="0.3">
      <c r="A1663" s="9"/>
    </row>
    <row r="1664" spans="1:1" ht="15.75" customHeight="1" thickBot="1" x14ac:dyDescent="0.3">
      <c r="A1664" s="9"/>
    </row>
    <row r="1665" spans="1:1" ht="15.75" customHeight="1" thickBot="1" x14ac:dyDescent="0.3">
      <c r="A1665" s="9"/>
    </row>
    <row r="1666" spans="1:1" ht="15.75" customHeight="1" thickBot="1" x14ac:dyDescent="0.3">
      <c r="A1666" s="9"/>
    </row>
    <row r="1667" spans="1:1" ht="15.75" customHeight="1" thickBot="1" x14ac:dyDescent="0.3">
      <c r="A1667" s="9"/>
    </row>
    <row r="1668" spans="1:1" ht="15.75" customHeight="1" thickBot="1" x14ac:dyDescent="0.3">
      <c r="A1668" s="9"/>
    </row>
    <row r="1669" spans="1:1" ht="15.75" customHeight="1" thickBot="1" x14ac:dyDescent="0.3">
      <c r="A1669" s="9"/>
    </row>
    <row r="1670" spans="1:1" ht="15.75" customHeight="1" thickBot="1" x14ac:dyDescent="0.3">
      <c r="A1670" s="9"/>
    </row>
    <row r="1671" spans="1:1" ht="15.75" customHeight="1" thickBot="1" x14ac:dyDescent="0.3">
      <c r="A1671" s="9"/>
    </row>
    <row r="1672" spans="1:1" ht="15.75" customHeight="1" thickBot="1" x14ac:dyDescent="0.3">
      <c r="A1672" s="9"/>
    </row>
    <row r="1673" spans="1:1" ht="15.75" customHeight="1" thickBot="1" x14ac:dyDescent="0.3">
      <c r="A1673" s="9"/>
    </row>
    <row r="1674" spans="1:1" ht="15.75" customHeight="1" thickBot="1" x14ac:dyDescent="0.3">
      <c r="A1674" s="9"/>
    </row>
    <row r="1675" spans="1:1" ht="15.75" customHeight="1" thickBot="1" x14ac:dyDescent="0.3">
      <c r="A1675" s="9"/>
    </row>
    <row r="1676" spans="1:1" ht="15.75" customHeight="1" thickBot="1" x14ac:dyDescent="0.3">
      <c r="A1676" s="9"/>
    </row>
    <row r="1677" spans="1:1" ht="15.75" customHeight="1" thickBot="1" x14ac:dyDescent="0.3">
      <c r="A1677" s="9"/>
    </row>
    <row r="1678" spans="1:1" ht="15.75" customHeight="1" thickBot="1" x14ac:dyDescent="0.3">
      <c r="A1678" s="9"/>
    </row>
    <row r="1679" spans="1:1" ht="15.75" customHeight="1" thickBot="1" x14ac:dyDescent="0.3">
      <c r="A1679" s="9"/>
    </row>
    <row r="1680" spans="1:1" ht="15.75" customHeight="1" thickBot="1" x14ac:dyDescent="0.3">
      <c r="A1680" s="9"/>
    </row>
    <row r="1681" spans="1:1" ht="15.75" customHeight="1" thickBot="1" x14ac:dyDescent="0.3">
      <c r="A1681" s="9"/>
    </row>
    <row r="1682" spans="1:1" ht="15.75" customHeight="1" thickBot="1" x14ac:dyDescent="0.3">
      <c r="A1682" s="9"/>
    </row>
    <row r="1683" spans="1:1" ht="15.75" customHeight="1" thickBot="1" x14ac:dyDescent="0.3">
      <c r="A1683" s="9"/>
    </row>
    <row r="1684" spans="1:1" ht="15.75" customHeight="1" thickBot="1" x14ac:dyDescent="0.3">
      <c r="A1684" s="9"/>
    </row>
    <row r="1685" spans="1:1" ht="15.75" customHeight="1" thickBot="1" x14ac:dyDescent="0.3">
      <c r="A1685" s="9"/>
    </row>
    <row r="1686" spans="1:1" ht="15.75" customHeight="1" thickBot="1" x14ac:dyDescent="0.3">
      <c r="A1686" s="9"/>
    </row>
    <row r="1687" spans="1:1" ht="15.75" customHeight="1" thickBot="1" x14ac:dyDescent="0.3">
      <c r="A1687" s="9"/>
    </row>
    <row r="1688" spans="1:1" ht="15.75" customHeight="1" thickBot="1" x14ac:dyDescent="0.3">
      <c r="A1688" s="9"/>
    </row>
    <row r="1689" spans="1:1" ht="15.75" customHeight="1" thickBot="1" x14ac:dyDescent="0.3">
      <c r="A1689" s="9"/>
    </row>
    <row r="1690" spans="1:1" ht="15.75" customHeight="1" thickBot="1" x14ac:dyDescent="0.3">
      <c r="A1690" s="9"/>
    </row>
    <row r="1691" spans="1:1" ht="15.75" customHeight="1" thickBot="1" x14ac:dyDescent="0.3">
      <c r="A1691" s="9"/>
    </row>
    <row r="1692" spans="1:1" ht="15.75" customHeight="1" thickBot="1" x14ac:dyDescent="0.3">
      <c r="A1692" s="9"/>
    </row>
    <row r="1693" spans="1:1" ht="15.75" customHeight="1" thickBot="1" x14ac:dyDescent="0.3">
      <c r="A1693" s="9"/>
    </row>
    <row r="1694" spans="1:1" ht="15.75" customHeight="1" thickBot="1" x14ac:dyDescent="0.3">
      <c r="A1694" s="9"/>
    </row>
    <row r="1695" spans="1:1" ht="15.75" customHeight="1" thickBot="1" x14ac:dyDescent="0.3">
      <c r="A1695" s="9"/>
    </row>
    <row r="1696" spans="1:1" ht="15.75" customHeight="1" thickBot="1" x14ac:dyDescent="0.3">
      <c r="A1696" s="9"/>
    </row>
    <row r="1697" spans="1:1" ht="15.75" customHeight="1" thickBot="1" x14ac:dyDescent="0.3">
      <c r="A1697" s="9"/>
    </row>
    <row r="1698" spans="1:1" ht="15.75" customHeight="1" thickBot="1" x14ac:dyDescent="0.3">
      <c r="A1698" s="9"/>
    </row>
    <row r="1699" spans="1:1" ht="15.75" customHeight="1" thickBot="1" x14ac:dyDescent="0.3">
      <c r="A1699" s="9"/>
    </row>
    <row r="1700" spans="1:1" ht="15.75" customHeight="1" thickBot="1" x14ac:dyDescent="0.3">
      <c r="A1700" s="9"/>
    </row>
    <row r="1701" spans="1:1" ht="15.75" customHeight="1" thickBot="1" x14ac:dyDescent="0.3">
      <c r="A1701" s="9"/>
    </row>
    <row r="1702" spans="1:1" ht="15.75" customHeight="1" thickBot="1" x14ac:dyDescent="0.3">
      <c r="A1702" s="9"/>
    </row>
    <row r="1703" spans="1:1" ht="15.75" customHeight="1" thickBot="1" x14ac:dyDescent="0.3">
      <c r="A1703" s="9"/>
    </row>
    <row r="1704" spans="1:1" ht="15.75" customHeight="1" thickBot="1" x14ac:dyDescent="0.3">
      <c r="A1704" s="9"/>
    </row>
    <row r="1705" spans="1:1" ht="15.75" customHeight="1" thickBot="1" x14ac:dyDescent="0.3">
      <c r="A1705" s="9"/>
    </row>
    <row r="1706" spans="1:1" ht="15.75" customHeight="1" thickBot="1" x14ac:dyDescent="0.3">
      <c r="A1706" s="9"/>
    </row>
    <row r="1707" spans="1:1" ht="15.75" customHeight="1" thickBot="1" x14ac:dyDescent="0.3">
      <c r="A1707" s="9"/>
    </row>
    <row r="1708" spans="1:1" ht="15.75" customHeight="1" thickBot="1" x14ac:dyDescent="0.3">
      <c r="A1708" s="9"/>
    </row>
    <row r="1709" spans="1:1" ht="15.75" customHeight="1" thickBot="1" x14ac:dyDescent="0.3">
      <c r="A1709" s="9"/>
    </row>
    <row r="1710" spans="1:1" ht="15.75" customHeight="1" thickBot="1" x14ac:dyDescent="0.3">
      <c r="A1710" s="9"/>
    </row>
    <row r="1711" spans="1:1" ht="15.75" customHeight="1" thickBot="1" x14ac:dyDescent="0.3">
      <c r="A1711" s="9"/>
    </row>
    <row r="1712" spans="1:1" ht="15.75" customHeight="1" thickBot="1" x14ac:dyDescent="0.3">
      <c r="A1712" s="9"/>
    </row>
    <row r="1713" spans="1:1" ht="15.75" customHeight="1" thickBot="1" x14ac:dyDescent="0.3">
      <c r="A1713" s="9"/>
    </row>
    <row r="1714" spans="1:1" ht="15.75" customHeight="1" thickBot="1" x14ac:dyDescent="0.3">
      <c r="A1714" s="9"/>
    </row>
    <row r="1715" spans="1:1" ht="15.75" customHeight="1" thickBot="1" x14ac:dyDescent="0.3">
      <c r="A1715" s="9"/>
    </row>
    <row r="1716" spans="1:1" ht="15.75" customHeight="1" thickBot="1" x14ac:dyDescent="0.3">
      <c r="A1716" s="9"/>
    </row>
    <row r="1717" spans="1:1" ht="15.75" customHeight="1" thickBot="1" x14ac:dyDescent="0.3">
      <c r="A1717" s="9"/>
    </row>
    <row r="1718" spans="1:1" ht="15.75" customHeight="1" thickBot="1" x14ac:dyDescent="0.3">
      <c r="A1718" s="9"/>
    </row>
    <row r="1719" spans="1:1" ht="15.75" customHeight="1" thickBot="1" x14ac:dyDescent="0.3">
      <c r="A1719" s="9"/>
    </row>
    <row r="1720" spans="1:1" ht="15.75" customHeight="1" thickBot="1" x14ac:dyDescent="0.3">
      <c r="A1720" s="9"/>
    </row>
    <row r="1721" spans="1:1" ht="15.75" customHeight="1" thickBot="1" x14ac:dyDescent="0.3">
      <c r="A1721" s="9"/>
    </row>
    <row r="1722" spans="1:1" ht="15.75" customHeight="1" thickBot="1" x14ac:dyDescent="0.3">
      <c r="A1722" s="9"/>
    </row>
    <row r="1723" spans="1:1" ht="15.75" customHeight="1" thickBot="1" x14ac:dyDescent="0.3">
      <c r="A1723" s="9"/>
    </row>
    <row r="1724" spans="1:1" ht="15.75" customHeight="1" thickBot="1" x14ac:dyDescent="0.3">
      <c r="A1724" s="9"/>
    </row>
    <row r="1725" spans="1:1" ht="15.75" customHeight="1" thickBot="1" x14ac:dyDescent="0.3">
      <c r="A1725" s="9"/>
    </row>
    <row r="1726" spans="1:1" ht="15.75" customHeight="1" thickBot="1" x14ac:dyDescent="0.3">
      <c r="A1726" s="9"/>
    </row>
    <row r="1727" spans="1:1" ht="15.75" customHeight="1" thickBot="1" x14ac:dyDescent="0.3">
      <c r="A1727" s="9"/>
    </row>
    <row r="1728" spans="1:1" ht="15.75" customHeight="1" thickBot="1" x14ac:dyDescent="0.3">
      <c r="A1728" s="9"/>
    </row>
    <row r="1729" spans="1:1" ht="15.75" customHeight="1" thickBot="1" x14ac:dyDescent="0.3">
      <c r="A1729" s="9"/>
    </row>
    <row r="1730" spans="1:1" ht="15.75" customHeight="1" thickBot="1" x14ac:dyDescent="0.3">
      <c r="A1730" s="9"/>
    </row>
    <row r="1731" spans="1:1" ht="15.75" customHeight="1" thickBot="1" x14ac:dyDescent="0.3">
      <c r="A1731" s="9"/>
    </row>
    <row r="1732" spans="1:1" ht="15.75" customHeight="1" thickBot="1" x14ac:dyDescent="0.3">
      <c r="A1732" s="9"/>
    </row>
    <row r="1733" spans="1:1" ht="15.75" customHeight="1" thickBot="1" x14ac:dyDescent="0.3">
      <c r="A1733" s="9"/>
    </row>
    <row r="1734" spans="1:1" ht="15.75" customHeight="1" thickBot="1" x14ac:dyDescent="0.3">
      <c r="A1734" s="9"/>
    </row>
    <row r="1735" spans="1:1" ht="15.75" customHeight="1" thickBot="1" x14ac:dyDescent="0.3">
      <c r="A1735" s="9"/>
    </row>
    <row r="1736" spans="1:1" ht="15.75" customHeight="1" thickBot="1" x14ac:dyDescent="0.3">
      <c r="A1736" s="9"/>
    </row>
    <row r="1737" spans="1:1" ht="15.75" customHeight="1" thickBot="1" x14ac:dyDescent="0.3">
      <c r="A1737" s="9"/>
    </row>
    <row r="1738" spans="1:1" ht="15.75" customHeight="1" thickBot="1" x14ac:dyDescent="0.3">
      <c r="A1738" s="9"/>
    </row>
    <row r="1739" spans="1:1" ht="15.75" customHeight="1" thickBot="1" x14ac:dyDescent="0.3">
      <c r="A1739" s="9"/>
    </row>
    <row r="1740" spans="1:1" ht="15.75" customHeight="1" thickBot="1" x14ac:dyDescent="0.3">
      <c r="A1740" s="9"/>
    </row>
    <row r="1741" spans="1:1" ht="15.75" customHeight="1" thickBot="1" x14ac:dyDescent="0.3">
      <c r="A1741" s="9"/>
    </row>
    <row r="1742" spans="1:1" ht="15.75" customHeight="1" thickBot="1" x14ac:dyDescent="0.3">
      <c r="A1742" s="9"/>
    </row>
    <row r="1743" spans="1:1" ht="15.75" customHeight="1" thickBot="1" x14ac:dyDescent="0.3">
      <c r="A1743" s="9"/>
    </row>
    <row r="1744" spans="1:1" ht="15.75" customHeight="1" thickBot="1" x14ac:dyDescent="0.3">
      <c r="A1744" s="9"/>
    </row>
    <row r="1745" spans="1:1" ht="15.75" customHeight="1" thickBot="1" x14ac:dyDescent="0.3">
      <c r="A1745" s="9"/>
    </row>
    <row r="1746" spans="1:1" ht="15.75" customHeight="1" thickBot="1" x14ac:dyDescent="0.3">
      <c r="A1746" s="9"/>
    </row>
    <row r="1747" spans="1:1" ht="15.75" customHeight="1" thickBot="1" x14ac:dyDescent="0.3">
      <c r="A1747" s="9"/>
    </row>
    <row r="1748" spans="1:1" ht="15.75" customHeight="1" thickBot="1" x14ac:dyDescent="0.3">
      <c r="A1748" s="9"/>
    </row>
    <row r="1749" spans="1:1" ht="15.75" customHeight="1" thickBot="1" x14ac:dyDescent="0.3">
      <c r="A1749" s="9"/>
    </row>
    <row r="1750" spans="1:1" ht="15.75" customHeight="1" thickBot="1" x14ac:dyDescent="0.3">
      <c r="A1750" s="9"/>
    </row>
    <row r="1751" spans="1:1" ht="15.75" customHeight="1" thickBot="1" x14ac:dyDescent="0.3">
      <c r="A1751" s="9"/>
    </row>
    <row r="1752" spans="1:1" ht="15.75" customHeight="1" thickBot="1" x14ac:dyDescent="0.3">
      <c r="A1752" s="9"/>
    </row>
    <row r="1753" spans="1:1" ht="15.75" customHeight="1" thickBot="1" x14ac:dyDescent="0.3">
      <c r="A1753" s="9"/>
    </row>
    <row r="1754" spans="1:1" ht="15.75" customHeight="1" thickBot="1" x14ac:dyDescent="0.3">
      <c r="A1754" s="9"/>
    </row>
    <row r="1755" spans="1:1" ht="15.75" customHeight="1" thickBot="1" x14ac:dyDescent="0.3">
      <c r="A1755" s="9"/>
    </row>
    <row r="1756" spans="1:1" ht="15.75" customHeight="1" thickBot="1" x14ac:dyDescent="0.3">
      <c r="A1756" s="9"/>
    </row>
    <row r="1757" spans="1:1" ht="15.75" customHeight="1" thickBot="1" x14ac:dyDescent="0.3">
      <c r="A1757" s="9"/>
    </row>
    <row r="1758" spans="1:1" ht="15.75" customHeight="1" thickBot="1" x14ac:dyDescent="0.3">
      <c r="A1758" s="9"/>
    </row>
    <row r="1759" spans="1:1" ht="15.75" customHeight="1" thickBot="1" x14ac:dyDescent="0.3">
      <c r="A1759" s="9"/>
    </row>
    <row r="1760" spans="1:1" ht="15.75" customHeight="1" thickBot="1" x14ac:dyDescent="0.3">
      <c r="A1760" s="9"/>
    </row>
    <row r="1761" spans="1:1" ht="15.75" customHeight="1" thickBot="1" x14ac:dyDescent="0.3">
      <c r="A1761" s="9"/>
    </row>
    <row r="1762" spans="1:1" ht="15.75" customHeight="1" thickBot="1" x14ac:dyDescent="0.3">
      <c r="A1762" s="9"/>
    </row>
    <row r="1763" spans="1:1" ht="15.75" customHeight="1" thickBot="1" x14ac:dyDescent="0.3">
      <c r="A1763" s="9"/>
    </row>
    <row r="1764" spans="1:1" ht="15.75" customHeight="1" thickBot="1" x14ac:dyDescent="0.3">
      <c r="A1764" s="9"/>
    </row>
    <row r="1765" spans="1:1" ht="15.75" customHeight="1" thickBot="1" x14ac:dyDescent="0.3">
      <c r="A1765" s="9"/>
    </row>
    <row r="1766" spans="1:1" ht="15.75" customHeight="1" thickBot="1" x14ac:dyDescent="0.3">
      <c r="A1766" s="9"/>
    </row>
    <row r="1767" spans="1:1" ht="15.75" customHeight="1" thickBot="1" x14ac:dyDescent="0.3">
      <c r="A1767" s="9"/>
    </row>
    <row r="1768" spans="1:1" ht="15.75" customHeight="1" thickBot="1" x14ac:dyDescent="0.3">
      <c r="A1768" s="9"/>
    </row>
    <row r="1769" spans="1:1" ht="15.75" customHeight="1" thickBot="1" x14ac:dyDescent="0.3">
      <c r="A1769" s="9"/>
    </row>
    <row r="1770" spans="1:1" ht="15.75" customHeight="1" thickBot="1" x14ac:dyDescent="0.3">
      <c r="A1770" s="9"/>
    </row>
    <row r="1771" spans="1:1" ht="15.75" customHeight="1" thickBot="1" x14ac:dyDescent="0.3">
      <c r="A1771" s="9"/>
    </row>
    <row r="1772" spans="1:1" ht="15.75" customHeight="1" thickBot="1" x14ac:dyDescent="0.3">
      <c r="A1772" s="9"/>
    </row>
    <row r="1773" spans="1:1" ht="15.75" customHeight="1" thickBot="1" x14ac:dyDescent="0.3">
      <c r="A1773" s="9"/>
    </row>
    <row r="1774" spans="1:1" ht="15.75" customHeight="1" thickBot="1" x14ac:dyDescent="0.3">
      <c r="A1774" s="9"/>
    </row>
    <row r="1775" spans="1:1" ht="15.75" customHeight="1" thickBot="1" x14ac:dyDescent="0.3">
      <c r="A1775" s="9"/>
    </row>
    <row r="1776" spans="1:1" ht="15.75" customHeight="1" thickBot="1" x14ac:dyDescent="0.3">
      <c r="A1776" s="9"/>
    </row>
    <row r="1777" spans="1:1" ht="15.75" customHeight="1" thickBot="1" x14ac:dyDescent="0.3">
      <c r="A1777" s="9"/>
    </row>
    <row r="1778" spans="1:1" ht="15.75" customHeight="1" thickBot="1" x14ac:dyDescent="0.3">
      <c r="A1778" s="9"/>
    </row>
    <row r="1779" spans="1:1" ht="15.75" customHeight="1" thickBot="1" x14ac:dyDescent="0.3">
      <c r="A1779" s="9"/>
    </row>
    <row r="1780" spans="1:1" ht="15.75" customHeight="1" thickBot="1" x14ac:dyDescent="0.3">
      <c r="A1780" s="9"/>
    </row>
    <row r="1781" spans="1:1" ht="15.75" customHeight="1" thickBot="1" x14ac:dyDescent="0.3">
      <c r="A1781" s="9"/>
    </row>
    <row r="1782" spans="1:1" ht="15.75" customHeight="1" thickBot="1" x14ac:dyDescent="0.3">
      <c r="A1782" s="9"/>
    </row>
    <row r="1783" spans="1:1" ht="15.75" customHeight="1" thickBot="1" x14ac:dyDescent="0.3">
      <c r="A1783" s="9"/>
    </row>
    <row r="1784" spans="1:1" ht="15.75" customHeight="1" thickBot="1" x14ac:dyDescent="0.3">
      <c r="A1784" s="9"/>
    </row>
    <row r="1785" spans="1:1" ht="15.75" customHeight="1" thickBot="1" x14ac:dyDescent="0.3">
      <c r="A1785" s="9"/>
    </row>
    <row r="1786" spans="1:1" ht="15.75" customHeight="1" thickBot="1" x14ac:dyDescent="0.3">
      <c r="A1786" s="9"/>
    </row>
    <row r="1787" spans="1:1" ht="15.75" customHeight="1" thickBot="1" x14ac:dyDescent="0.3">
      <c r="A1787" s="9"/>
    </row>
    <row r="1788" spans="1:1" ht="15.75" customHeight="1" thickBot="1" x14ac:dyDescent="0.3">
      <c r="A1788" s="9"/>
    </row>
    <row r="1789" spans="1:1" ht="15.75" customHeight="1" thickBot="1" x14ac:dyDescent="0.3">
      <c r="A1789" s="9"/>
    </row>
    <row r="1790" spans="1:1" ht="15.75" customHeight="1" thickBot="1" x14ac:dyDescent="0.3">
      <c r="A1790" s="9"/>
    </row>
    <row r="1791" spans="1:1" ht="15.75" customHeight="1" thickBot="1" x14ac:dyDescent="0.3">
      <c r="A1791" s="9"/>
    </row>
    <row r="1792" spans="1:1" ht="15.75" customHeight="1" thickBot="1" x14ac:dyDescent="0.3">
      <c r="A1792" s="9"/>
    </row>
    <row r="1793" spans="1:1" ht="15.75" customHeight="1" thickBot="1" x14ac:dyDescent="0.3">
      <c r="A1793" s="9"/>
    </row>
    <row r="1794" spans="1:1" ht="15.75" customHeight="1" thickBot="1" x14ac:dyDescent="0.3">
      <c r="A1794" s="9"/>
    </row>
    <row r="1795" spans="1:1" ht="15.75" customHeight="1" thickBot="1" x14ac:dyDescent="0.3">
      <c r="A1795" s="9"/>
    </row>
    <row r="1796" spans="1:1" ht="15.75" customHeight="1" thickBot="1" x14ac:dyDescent="0.3">
      <c r="A1796" s="9"/>
    </row>
    <row r="1797" spans="1:1" ht="15.75" customHeight="1" thickBot="1" x14ac:dyDescent="0.3">
      <c r="A1797" s="9"/>
    </row>
    <row r="1798" spans="1:1" ht="15.75" customHeight="1" thickBot="1" x14ac:dyDescent="0.3">
      <c r="A1798" s="9"/>
    </row>
    <row r="1799" spans="1:1" ht="15.75" customHeight="1" thickBot="1" x14ac:dyDescent="0.3">
      <c r="A1799" s="9"/>
    </row>
    <row r="1800" spans="1:1" ht="15.75" customHeight="1" thickBot="1" x14ac:dyDescent="0.3">
      <c r="A1800" s="9"/>
    </row>
    <row r="1801" spans="1:1" ht="15.75" customHeight="1" thickBot="1" x14ac:dyDescent="0.3">
      <c r="A1801" s="9"/>
    </row>
    <row r="1802" spans="1:1" ht="15.75" customHeight="1" thickBot="1" x14ac:dyDescent="0.3">
      <c r="A1802" s="9"/>
    </row>
    <row r="1803" spans="1:1" ht="15.75" customHeight="1" thickBot="1" x14ac:dyDescent="0.3">
      <c r="A1803" s="9"/>
    </row>
    <row r="1804" spans="1:1" ht="15.75" customHeight="1" thickBot="1" x14ac:dyDescent="0.3">
      <c r="A1804" s="9"/>
    </row>
    <row r="1805" spans="1:1" ht="15.75" customHeight="1" thickBot="1" x14ac:dyDescent="0.3">
      <c r="A1805" s="9"/>
    </row>
    <row r="1806" spans="1:1" ht="15.75" customHeight="1" thickBot="1" x14ac:dyDescent="0.3">
      <c r="A1806" s="9"/>
    </row>
    <row r="1807" spans="1:1" ht="15.75" customHeight="1" thickBot="1" x14ac:dyDescent="0.3">
      <c r="A1807" s="9"/>
    </row>
    <row r="1808" spans="1:1" ht="15.75" customHeight="1" thickBot="1" x14ac:dyDescent="0.3">
      <c r="A1808" s="9"/>
    </row>
    <row r="1809" spans="1:1" ht="15.75" customHeight="1" thickBot="1" x14ac:dyDescent="0.3">
      <c r="A1809" s="9"/>
    </row>
    <row r="1810" spans="1:1" ht="15.75" customHeight="1" thickBot="1" x14ac:dyDescent="0.3">
      <c r="A1810" s="9"/>
    </row>
    <row r="1811" spans="1:1" ht="15.75" customHeight="1" thickBot="1" x14ac:dyDescent="0.3">
      <c r="A1811" s="9"/>
    </row>
    <row r="1812" spans="1:1" ht="15.75" customHeight="1" thickBot="1" x14ac:dyDescent="0.3">
      <c r="A1812" s="9"/>
    </row>
    <row r="1813" spans="1:1" ht="15.75" customHeight="1" thickBot="1" x14ac:dyDescent="0.3">
      <c r="A1813" s="9"/>
    </row>
    <row r="1814" spans="1:1" ht="15.75" customHeight="1" thickBot="1" x14ac:dyDescent="0.3">
      <c r="A1814" s="9"/>
    </row>
    <row r="1815" spans="1:1" ht="15.75" customHeight="1" thickBot="1" x14ac:dyDescent="0.3">
      <c r="A1815" s="9"/>
    </row>
    <row r="1816" spans="1:1" ht="15.75" customHeight="1" thickBot="1" x14ac:dyDescent="0.3">
      <c r="A1816" s="9"/>
    </row>
    <row r="1817" spans="1:1" ht="15.75" customHeight="1" thickBot="1" x14ac:dyDescent="0.3">
      <c r="A1817" s="9"/>
    </row>
    <row r="1818" spans="1:1" ht="15.75" customHeight="1" thickBot="1" x14ac:dyDescent="0.3">
      <c r="A1818" s="9"/>
    </row>
    <row r="1819" spans="1:1" ht="15.75" customHeight="1" thickBot="1" x14ac:dyDescent="0.3">
      <c r="A1819" s="9"/>
    </row>
    <row r="1820" spans="1:1" ht="15.75" customHeight="1" thickBot="1" x14ac:dyDescent="0.3">
      <c r="A1820" s="9"/>
    </row>
    <row r="1821" spans="1:1" ht="15.75" customHeight="1" thickBot="1" x14ac:dyDescent="0.3">
      <c r="A1821" s="9"/>
    </row>
    <row r="1822" spans="1:1" ht="15.75" customHeight="1" thickBot="1" x14ac:dyDescent="0.3">
      <c r="A1822" s="9"/>
    </row>
    <row r="1823" spans="1:1" ht="15.75" customHeight="1" thickBot="1" x14ac:dyDescent="0.3">
      <c r="A1823" s="9"/>
    </row>
    <row r="1824" spans="1:1" ht="15.75" customHeight="1" thickBot="1" x14ac:dyDescent="0.3">
      <c r="A1824" s="9"/>
    </row>
    <row r="1825" spans="1:1" ht="15.75" customHeight="1" thickBot="1" x14ac:dyDescent="0.3">
      <c r="A1825" s="9"/>
    </row>
    <row r="1826" spans="1:1" ht="15.75" customHeight="1" thickBot="1" x14ac:dyDescent="0.3">
      <c r="A1826" s="9"/>
    </row>
    <row r="1827" spans="1:1" ht="15.75" customHeight="1" thickBot="1" x14ac:dyDescent="0.3">
      <c r="A1827" s="9"/>
    </row>
    <row r="1828" spans="1:1" ht="15.75" customHeight="1" thickBot="1" x14ac:dyDescent="0.3">
      <c r="A1828" s="9"/>
    </row>
    <row r="1829" spans="1:1" ht="15.75" customHeight="1" thickBot="1" x14ac:dyDescent="0.3">
      <c r="A1829" s="9"/>
    </row>
    <row r="1830" spans="1:1" ht="15.75" customHeight="1" thickBot="1" x14ac:dyDescent="0.3">
      <c r="A1830" s="9"/>
    </row>
    <row r="1831" spans="1:1" ht="15.75" customHeight="1" thickBot="1" x14ac:dyDescent="0.3">
      <c r="A1831" s="9"/>
    </row>
    <row r="1832" spans="1:1" ht="15.75" customHeight="1" thickBot="1" x14ac:dyDescent="0.3">
      <c r="A1832" s="9"/>
    </row>
    <row r="1833" spans="1:1" ht="15.75" customHeight="1" thickBot="1" x14ac:dyDescent="0.3">
      <c r="A1833" s="9"/>
    </row>
    <row r="1834" spans="1:1" ht="15.75" customHeight="1" thickBot="1" x14ac:dyDescent="0.3">
      <c r="A1834" s="9"/>
    </row>
    <row r="1835" spans="1:1" ht="15.75" customHeight="1" thickBot="1" x14ac:dyDescent="0.3">
      <c r="A1835" s="9"/>
    </row>
    <row r="1836" spans="1:1" ht="15.75" customHeight="1" thickBot="1" x14ac:dyDescent="0.3">
      <c r="A1836" s="9"/>
    </row>
    <row r="1837" spans="1:1" ht="15.75" customHeight="1" thickBot="1" x14ac:dyDescent="0.3">
      <c r="A1837" s="9"/>
    </row>
    <row r="1838" spans="1:1" ht="15.75" customHeight="1" thickBot="1" x14ac:dyDescent="0.3">
      <c r="A1838" s="9"/>
    </row>
    <row r="1839" spans="1:1" ht="15.75" customHeight="1" thickBot="1" x14ac:dyDescent="0.3">
      <c r="A1839" s="9"/>
    </row>
    <row r="1840" spans="1:1" ht="15.75" customHeight="1" thickBot="1" x14ac:dyDescent="0.3">
      <c r="A1840" s="9"/>
    </row>
    <row r="1841" spans="1:1" ht="15.75" customHeight="1" thickBot="1" x14ac:dyDescent="0.3">
      <c r="A1841" s="9"/>
    </row>
    <row r="1842" spans="1:1" ht="15.75" customHeight="1" thickBot="1" x14ac:dyDescent="0.3">
      <c r="A1842" s="9"/>
    </row>
    <row r="1843" spans="1:1" ht="15.75" customHeight="1" thickBot="1" x14ac:dyDescent="0.3">
      <c r="A1843" s="9"/>
    </row>
    <row r="1844" spans="1:1" ht="15.75" customHeight="1" thickBot="1" x14ac:dyDescent="0.3">
      <c r="A1844" s="9"/>
    </row>
    <row r="1845" spans="1:1" ht="15.75" customHeight="1" thickBot="1" x14ac:dyDescent="0.3">
      <c r="A1845" s="9"/>
    </row>
    <row r="1846" spans="1:1" ht="15.75" customHeight="1" thickBot="1" x14ac:dyDescent="0.3">
      <c r="A1846" s="9"/>
    </row>
    <row r="1847" spans="1:1" ht="15.75" customHeight="1" thickBot="1" x14ac:dyDescent="0.3">
      <c r="A1847" s="9"/>
    </row>
    <row r="1848" spans="1:1" ht="15.75" customHeight="1" thickBot="1" x14ac:dyDescent="0.3">
      <c r="A1848" s="9"/>
    </row>
    <row r="1849" spans="1:1" ht="15.75" customHeight="1" thickBot="1" x14ac:dyDescent="0.3">
      <c r="A1849" s="9"/>
    </row>
    <row r="1850" spans="1:1" ht="15.75" customHeight="1" thickBot="1" x14ac:dyDescent="0.3">
      <c r="A1850" s="9"/>
    </row>
    <row r="1851" spans="1:1" ht="15.75" customHeight="1" thickBot="1" x14ac:dyDescent="0.3">
      <c r="A1851" s="9"/>
    </row>
    <row r="1852" spans="1:1" ht="15.75" customHeight="1" thickBot="1" x14ac:dyDescent="0.3">
      <c r="A1852" s="9"/>
    </row>
    <row r="1853" spans="1:1" ht="15.75" customHeight="1" thickBot="1" x14ac:dyDescent="0.3">
      <c r="A1853" s="9"/>
    </row>
    <row r="1854" spans="1:1" ht="15.75" customHeight="1" thickBot="1" x14ac:dyDescent="0.3">
      <c r="A1854" s="9"/>
    </row>
    <row r="1855" spans="1:1" ht="15.75" customHeight="1" thickBot="1" x14ac:dyDescent="0.3">
      <c r="A1855" s="9"/>
    </row>
    <row r="1856" spans="1:1" ht="15.75" customHeight="1" thickBot="1" x14ac:dyDescent="0.3">
      <c r="A1856" s="9"/>
    </row>
    <row r="1857" spans="1:1" ht="15.75" customHeight="1" thickBot="1" x14ac:dyDescent="0.3">
      <c r="A1857" s="9"/>
    </row>
    <row r="1858" spans="1:1" ht="15.75" customHeight="1" thickBot="1" x14ac:dyDescent="0.3">
      <c r="A1858" s="9"/>
    </row>
    <row r="1859" spans="1:1" ht="15.75" customHeight="1" thickBot="1" x14ac:dyDescent="0.3">
      <c r="A1859" s="9"/>
    </row>
    <row r="1860" spans="1:1" ht="15.75" customHeight="1" thickBot="1" x14ac:dyDescent="0.3">
      <c r="A1860" s="9"/>
    </row>
    <row r="1861" spans="1:1" ht="15.75" customHeight="1" thickBot="1" x14ac:dyDescent="0.3">
      <c r="A1861" s="9"/>
    </row>
    <row r="1862" spans="1:1" ht="15.75" customHeight="1" thickBot="1" x14ac:dyDescent="0.3">
      <c r="A1862" s="9"/>
    </row>
    <row r="1863" spans="1:1" ht="15.75" customHeight="1" thickBot="1" x14ac:dyDescent="0.3">
      <c r="A1863" s="9"/>
    </row>
    <row r="1864" spans="1:1" ht="15.75" customHeight="1" thickBot="1" x14ac:dyDescent="0.3">
      <c r="A1864" s="9"/>
    </row>
    <row r="1865" spans="1:1" ht="15.75" customHeight="1" thickBot="1" x14ac:dyDescent="0.3">
      <c r="A1865" s="9"/>
    </row>
    <row r="1866" spans="1:1" ht="15.75" customHeight="1" thickBot="1" x14ac:dyDescent="0.3">
      <c r="A1866" s="9"/>
    </row>
    <row r="1867" spans="1:1" ht="15.75" customHeight="1" thickBot="1" x14ac:dyDescent="0.3">
      <c r="A1867" s="9"/>
    </row>
    <row r="1868" spans="1:1" ht="15.75" customHeight="1" thickBot="1" x14ac:dyDescent="0.3">
      <c r="A1868" s="9"/>
    </row>
    <row r="1869" spans="1:1" ht="15.75" customHeight="1" thickBot="1" x14ac:dyDescent="0.3">
      <c r="A1869" s="9"/>
    </row>
    <row r="1870" spans="1:1" ht="15.75" customHeight="1" thickBot="1" x14ac:dyDescent="0.3">
      <c r="A1870" s="9"/>
    </row>
    <row r="1871" spans="1:1" ht="15.75" customHeight="1" thickBot="1" x14ac:dyDescent="0.3">
      <c r="A1871" s="9"/>
    </row>
    <row r="1872" spans="1:1" ht="15.75" customHeight="1" thickBot="1" x14ac:dyDescent="0.3">
      <c r="A1872" s="9"/>
    </row>
    <row r="1873" spans="1:1" ht="15.75" customHeight="1" thickBot="1" x14ac:dyDescent="0.3">
      <c r="A1873" s="9"/>
    </row>
    <row r="1874" spans="1:1" ht="15.75" customHeight="1" thickBot="1" x14ac:dyDescent="0.3">
      <c r="A1874" s="9"/>
    </row>
    <row r="1875" spans="1:1" ht="15.75" customHeight="1" thickBot="1" x14ac:dyDescent="0.3">
      <c r="A1875" s="9"/>
    </row>
    <row r="1876" spans="1:1" ht="15.75" customHeight="1" thickBot="1" x14ac:dyDescent="0.3">
      <c r="A1876" s="9"/>
    </row>
    <row r="1877" spans="1:1" ht="15.75" customHeight="1" thickBot="1" x14ac:dyDescent="0.3">
      <c r="A1877" s="9"/>
    </row>
    <row r="1878" spans="1:1" ht="15.75" customHeight="1" thickBot="1" x14ac:dyDescent="0.3">
      <c r="A1878" s="9"/>
    </row>
    <row r="1879" spans="1:1" ht="15.75" customHeight="1" thickBot="1" x14ac:dyDescent="0.3">
      <c r="A1879" s="9"/>
    </row>
    <row r="1880" spans="1:1" ht="15.75" customHeight="1" thickBot="1" x14ac:dyDescent="0.3">
      <c r="A1880" s="9"/>
    </row>
    <row r="1881" spans="1:1" ht="15.75" customHeight="1" thickBot="1" x14ac:dyDescent="0.3">
      <c r="A1881" s="9"/>
    </row>
    <row r="1882" spans="1:1" ht="15.75" customHeight="1" thickBot="1" x14ac:dyDescent="0.3">
      <c r="A1882" s="9"/>
    </row>
    <row r="1883" spans="1:1" ht="15.75" customHeight="1" thickBot="1" x14ac:dyDescent="0.3">
      <c r="A1883" s="9"/>
    </row>
    <row r="1884" spans="1:1" ht="15.75" customHeight="1" thickBot="1" x14ac:dyDescent="0.3">
      <c r="A1884" s="9"/>
    </row>
    <row r="1885" spans="1:1" ht="15.75" customHeight="1" thickBot="1" x14ac:dyDescent="0.3">
      <c r="A1885" s="9"/>
    </row>
    <row r="1886" spans="1:1" ht="15.75" customHeight="1" thickBot="1" x14ac:dyDescent="0.3">
      <c r="A1886" s="9"/>
    </row>
    <row r="1887" spans="1:1" ht="15.75" customHeight="1" thickBot="1" x14ac:dyDescent="0.3">
      <c r="A1887" s="9"/>
    </row>
    <row r="1888" spans="1:1" ht="15.75" customHeight="1" thickBot="1" x14ac:dyDescent="0.3">
      <c r="A1888" s="9"/>
    </row>
    <row r="1889" spans="1:1" ht="15.75" customHeight="1" thickBot="1" x14ac:dyDescent="0.3">
      <c r="A1889" s="9"/>
    </row>
    <row r="1890" spans="1:1" ht="15.75" customHeight="1" thickBot="1" x14ac:dyDescent="0.3">
      <c r="A1890" s="9"/>
    </row>
    <row r="1891" spans="1:1" ht="15.75" customHeight="1" thickBot="1" x14ac:dyDescent="0.3">
      <c r="A1891" s="9"/>
    </row>
    <row r="1892" spans="1:1" ht="15.75" customHeight="1" thickBot="1" x14ac:dyDescent="0.3">
      <c r="A1892" s="9"/>
    </row>
    <row r="1893" spans="1:1" ht="15.75" customHeight="1" thickBot="1" x14ac:dyDescent="0.3">
      <c r="A1893" s="9"/>
    </row>
    <row r="1894" spans="1:1" ht="15.75" customHeight="1" thickBot="1" x14ac:dyDescent="0.3">
      <c r="A1894" s="9"/>
    </row>
    <row r="1895" spans="1:1" ht="15.75" customHeight="1" thickBot="1" x14ac:dyDescent="0.3">
      <c r="A1895" s="9"/>
    </row>
    <row r="1896" spans="1:1" ht="15.75" customHeight="1" thickBot="1" x14ac:dyDescent="0.3">
      <c r="A1896" s="9"/>
    </row>
    <row r="1897" spans="1:1" ht="15.75" customHeight="1" thickBot="1" x14ac:dyDescent="0.3">
      <c r="A1897" s="9"/>
    </row>
    <row r="1898" spans="1:1" ht="15.75" customHeight="1" thickBot="1" x14ac:dyDescent="0.3">
      <c r="A1898" s="9"/>
    </row>
    <row r="1899" spans="1:1" ht="15.75" customHeight="1" thickBot="1" x14ac:dyDescent="0.3">
      <c r="A1899" s="9"/>
    </row>
    <row r="1900" spans="1:1" ht="15.75" customHeight="1" thickBot="1" x14ac:dyDescent="0.3">
      <c r="A1900" s="9"/>
    </row>
    <row r="1901" spans="1:1" ht="15.75" customHeight="1" thickBot="1" x14ac:dyDescent="0.3">
      <c r="A1901" s="9"/>
    </row>
    <row r="1902" spans="1:1" ht="15.75" customHeight="1" thickBot="1" x14ac:dyDescent="0.3">
      <c r="A1902" s="9"/>
    </row>
    <row r="1903" spans="1:1" ht="15.75" customHeight="1" thickBot="1" x14ac:dyDescent="0.3">
      <c r="A1903" s="9"/>
    </row>
    <row r="1904" spans="1:1" ht="15.75" customHeight="1" thickBot="1" x14ac:dyDescent="0.3">
      <c r="A1904" s="9"/>
    </row>
    <row r="1905" spans="1:1" ht="15.75" customHeight="1" thickBot="1" x14ac:dyDescent="0.3">
      <c r="A1905" s="9"/>
    </row>
    <row r="1906" spans="1:1" ht="15.75" customHeight="1" thickBot="1" x14ac:dyDescent="0.3">
      <c r="A1906" s="9"/>
    </row>
    <row r="1907" spans="1:1" ht="15.75" customHeight="1" thickBot="1" x14ac:dyDescent="0.3">
      <c r="A1907" s="9"/>
    </row>
    <row r="1908" spans="1:1" ht="15.75" customHeight="1" thickBot="1" x14ac:dyDescent="0.3">
      <c r="A1908" s="9"/>
    </row>
    <row r="1909" spans="1:1" ht="15.75" customHeight="1" thickBot="1" x14ac:dyDescent="0.3">
      <c r="A1909" s="9"/>
    </row>
    <row r="1910" spans="1:1" ht="15.75" customHeight="1" thickBot="1" x14ac:dyDescent="0.3">
      <c r="A1910" s="9"/>
    </row>
    <row r="1911" spans="1:1" ht="15.75" customHeight="1" thickBot="1" x14ac:dyDescent="0.3">
      <c r="A1911" s="9"/>
    </row>
    <row r="1912" spans="1:1" ht="15.75" customHeight="1" thickBot="1" x14ac:dyDescent="0.3">
      <c r="A1912" s="9"/>
    </row>
    <row r="1913" spans="1:1" ht="15.75" customHeight="1" thickBot="1" x14ac:dyDescent="0.3">
      <c r="A1913" s="9"/>
    </row>
    <row r="1914" spans="1:1" ht="15.75" customHeight="1" thickBot="1" x14ac:dyDescent="0.3">
      <c r="A1914" s="9"/>
    </row>
    <row r="1915" spans="1:1" ht="15.75" customHeight="1" thickBot="1" x14ac:dyDescent="0.3">
      <c r="A1915" s="9"/>
    </row>
    <row r="1916" spans="1:1" ht="15.75" customHeight="1" thickBot="1" x14ac:dyDescent="0.3">
      <c r="A1916" s="9"/>
    </row>
    <row r="1917" spans="1:1" ht="15.75" customHeight="1" thickBot="1" x14ac:dyDescent="0.3">
      <c r="A1917" s="9"/>
    </row>
    <row r="1918" spans="1:1" ht="15.75" customHeight="1" thickBot="1" x14ac:dyDescent="0.3">
      <c r="A1918" s="9"/>
    </row>
    <row r="1919" spans="1:1" ht="15.75" customHeight="1" thickBot="1" x14ac:dyDescent="0.3">
      <c r="A1919" s="9"/>
    </row>
    <row r="1920" spans="1:1" ht="15.75" customHeight="1" thickBot="1" x14ac:dyDescent="0.3">
      <c r="A1920" s="9"/>
    </row>
    <row r="1921" spans="1:1" ht="15.75" customHeight="1" thickBot="1" x14ac:dyDescent="0.3">
      <c r="A1921" s="9"/>
    </row>
    <row r="1922" spans="1:1" ht="15.75" customHeight="1" thickBot="1" x14ac:dyDescent="0.3">
      <c r="A1922" s="9"/>
    </row>
    <row r="1923" spans="1:1" ht="15.75" customHeight="1" thickBot="1" x14ac:dyDescent="0.3">
      <c r="A1923" s="9"/>
    </row>
    <row r="1924" spans="1:1" ht="15.75" customHeight="1" thickBot="1" x14ac:dyDescent="0.3">
      <c r="A1924" s="9"/>
    </row>
    <row r="1925" spans="1:1" ht="15.75" customHeight="1" thickBot="1" x14ac:dyDescent="0.3">
      <c r="A1925" s="9"/>
    </row>
    <row r="1926" spans="1:1" ht="15.75" customHeight="1" thickBot="1" x14ac:dyDescent="0.3">
      <c r="A1926" s="9"/>
    </row>
    <row r="1927" spans="1:1" ht="15.75" customHeight="1" thickBot="1" x14ac:dyDescent="0.3">
      <c r="A1927" s="9"/>
    </row>
    <row r="1928" spans="1:1" ht="15.75" customHeight="1" thickBot="1" x14ac:dyDescent="0.3">
      <c r="A1928" s="9"/>
    </row>
    <row r="1929" spans="1:1" ht="15.75" customHeight="1" thickBot="1" x14ac:dyDescent="0.3">
      <c r="A1929" s="9"/>
    </row>
    <row r="1930" spans="1:1" ht="15.75" customHeight="1" thickBot="1" x14ac:dyDescent="0.3">
      <c r="A1930" s="9"/>
    </row>
    <row r="1931" spans="1:1" ht="15.75" customHeight="1" thickBot="1" x14ac:dyDescent="0.3">
      <c r="A1931" s="9"/>
    </row>
    <row r="1932" spans="1:1" ht="15.75" customHeight="1" thickBot="1" x14ac:dyDescent="0.3">
      <c r="A1932" s="9"/>
    </row>
    <row r="1933" spans="1:1" ht="15.75" customHeight="1" thickBot="1" x14ac:dyDescent="0.3">
      <c r="A1933" s="9"/>
    </row>
    <row r="1934" spans="1:1" ht="15.75" customHeight="1" thickBot="1" x14ac:dyDescent="0.3">
      <c r="A1934" s="9"/>
    </row>
    <row r="1935" spans="1:1" ht="15.75" customHeight="1" thickBot="1" x14ac:dyDescent="0.3">
      <c r="A1935" s="9"/>
    </row>
    <row r="1936" spans="1:1" ht="15.75" customHeight="1" thickBot="1" x14ac:dyDescent="0.3">
      <c r="A1936" s="9"/>
    </row>
    <row r="1937" spans="1:1" ht="15.75" customHeight="1" thickBot="1" x14ac:dyDescent="0.3">
      <c r="A1937" s="9"/>
    </row>
    <row r="1938" spans="1:1" ht="15.75" customHeight="1" thickBot="1" x14ac:dyDescent="0.3">
      <c r="A1938" s="9"/>
    </row>
    <row r="1939" spans="1:1" ht="15.75" customHeight="1" thickBot="1" x14ac:dyDescent="0.3">
      <c r="A1939" s="9"/>
    </row>
    <row r="1940" spans="1:1" ht="15.75" customHeight="1" thickBot="1" x14ac:dyDescent="0.3">
      <c r="A1940" s="9"/>
    </row>
    <row r="1941" spans="1:1" ht="15.75" customHeight="1" thickBot="1" x14ac:dyDescent="0.3">
      <c r="A1941" s="9"/>
    </row>
    <row r="1942" spans="1:1" ht="15.75" customHeight="1" thickBot="1" x14ac:dyDescent="0.3">
      <c r="A1942" s="9"/>
    </row>
    <row r="1943" spans="1:1" ht="15.75" customHeight="1" thickBot="1" x14ac:dyDescent="0.3">
      <c r="A1943" s="9"/>
    </row>
    <row r="1944" spans="1:1" ht="15.75" customHeight="1" thickBot="1" x14ac:dyDescent="0.3">
      <c r="A1944" s="9"/>
    </row>
    <row r="1945" spans="1:1" ht="15.75" customHeight="1" thickBot="1" x14ac:dyDescent="0.3">
      <c r="A1945" s="9"/>
    </row>
    <row r="1946" spans="1:1" ht="15.75" customHeight="1" thickBot="1" x14ac:dyDescent="0.3">
      <c r="A1946" s="9"/>
    </row>
    <row r="1947" spans="1:1" ht="15.75" customHeight="1" thickBot="1" x14ac:dyDescent="0.3">
      <c r="A1947" s="9"/>
    </row>
    <row r="1948" spans="1:1" ht="15.75" customHeight="1" thickBot="1" x14ac:dyDescent="0.3">
      <c r="A1948" s="9"/>
    </row>
    <row r="1949" spans="1:1" ht="15.75" customHeight="1" thickBot="1" x14ac:dyDescent="0.3">
      <c r="A1949" s="9"/>
    </row>
    <row r="1950" spans="1:1" ht="15.75" customHeight="1" thickBot="1" x14ac:dyDescent="0.3">
      <c r="A1950" s="9"/>
    </row>
    <row r="1951" spans="1:1" ht="15.75" customHeight="1" thickBot="1" x14ac:dyDescent="0.3">
      <c r="A1951" s="9"/>
    </row>
    <row r="1952" spans="1:1" ht="15.75" customHeight="1" thickBot="1" x14ac:dyDescent="0.3">
      <c r="A1952" s="9"/>
    </row>
    <row r="1953" spans="1:1" ht="15.75" customHeight="1" thickBot="1" x14ac:dyDescent="0.3">
      <c r="A1953" s="9"/>
    </row>
    <row r="1954" spans="1:1" ht="15.75" customHeight="1" thickBot="1" x14ac:dyDescent="0.3">
      <c r="A1954" s="9"/>
    </row>
    <row r="1955" spans="1:1" ht="15.75" customHeight="1" thickBot="1" x14ac:dyDescent="0.3">
      <c r="A1955" s="9"/>
    </row>
    <row r="1956" spans="1:1" ht="15.75" customHeight="1" thickBot="1" x14ac:dyDescent="0.3">
      <c r="A1956" s="9"/>
    </row>
    <row r="1957" spans="1:1" ht="15.75" customHeight="1" thickBot="1" x14ac:dyDescent="0.3">
      <c r="A1957" s="9"/>
    </row>
    <row r="1958" spans="1:1" ht="15.75" customHeight="1" thickBot="1" x14ac:dyDescent="0.3">
      <c r="A1958" s="9"/>
    </row>
    <row r="1959" spans="1:1" ht="15.75" customHeight="1" thickBot="1" x14ac:dyDescent="0.3">
      <c r="A1959" s="9"/>
    </row>
    <row r="1960" spans="1:1" ht="15.75" customHeight="1" thickBot="1" x14ac:dyDescent="0.3">
      <c r="A1960" s="9"/>
    </row>
    <row r="1961" spans="1:1" ht="15.75" customHeight="1" thickBot="1" x14ac:dyDescent="0.3">
      <c r="A1961" s="9"/>
    </row>
    <row r="1962" spans="1:1" ht="15.75" customHeight="1" thickBot="1" x14ac:dyDescent="0.3">
      <c r="A1962" s="9"/>
    </row>
    <row r="1963" spans="1:1" ht="15.75" customHeight="1" thickBot="1" x14ac:dyDescent="0.3">
      <c r="A1963" s="9"/>
    </row>
    <row r="1964" spans="1:1" ht="15.75" customHeight="1" thickBot="1" x14ac:dyDescent="0.3">
      <c r="A1964" s="9"/>
    </row>
    <row r="1965" spans="1:1" ht="15.75" customHeight="1" thickBot="1" x14ac:dyDescent="0.3">
      <c r="A1965" s="9"/>
    </row>
    <row r="1966" spans="1:1" ht="15.75" customHeight="1" thickBot="1" x14ac:dyDescent="0.3">
      <c r="A1966" s="9"/>
    </row>
    <row r="1967" spans="1:1" ht="15.75" customHeight="1" thickBot="1" x14ac:dyDescent="0.3">
      <c r="A1967" s="9"/>
    </row>
    <row r="1968" spans="1:1" ht="15.75" customHeight="1" thickBot="1" x14ac:dyDescent="0.3">
      <c r="A1968" s="9"/>
    </row>
    <row r="1969" spans="1:1" ht="15.75" customHeight="1" thickBot="1" x14ac:dyDescent="0.3">
      <c r="A1969" s="9"/>
    </row>
    <row r="1970" spans="1:1" ht="15.75" customHeight="1" thickBot="1" x14ac:dyDescent="0.3">
      <c r="A1970" s="9"/>
    </row>
    <row r="1971" spans="1:1" ht="15.75" customHeight="1" thickBot="1" x14ac:dyDescent="0.3">
      <c r="A1971" s="9"/>
    </row>
    <row r="1972" spans="1:1" ht="15.75" customHeight="1" thickBot="1" x14ac:dyDescent="0.3">
      <c r="A1972" s="9"/>
    </row>
    <row r="1973" spans="1:1" ht="15.75" customHeight="1" thickBot="1" x14ac:dyDescent="0.3">
      <c r="A1973" s="9"/>
    </row>
    <row r="1974" spans="1:1" ht="15.75" customHeight="1" thickBot="1" x14ac:dyDescent="0.3">
      <c r="A1974" s="9"/>
    </row>
    <row r="1975" spans="1:1" ht="15.75" customHeight="1" thickBot="1" x14ac:dyDescent="0.3">
      <c r="A1975" s="9"/>
    </row>
    <row r="1976" spans="1:1" ht="15.75" customHeight="1" thickBot="1" x14ac:dyDescent="0.3">
      <c r="A1976" s="9"/>
    </row>
    <row r="1977" spans="1:1" ht="15.75" customHeight="1" thickBot="1" x14ac:dyDescent="0.3">
      <c r="A1977" s="9"/>
    </row>
    <row r="1978" spans="1:1" ht="15.75" customHeight="1" thickBot="1" x14ac:dyDescent="0.3">
      <c r="A1978" s="9"/>
    </row>
    <row r="1979" spans="1:1" ht="15.75" customHeight="1" thickBot="1" x14ac:dyDescent="0.3">
      <c r="A1979" s="9"/>
    </row>
    <row r="1980" spans="1:1" ht="15.75" customHeight="1" thickBot="1" x14ac:dyDescent="0.3">
      <c r="A1980" s="9"/>
    </row>
    <row r="1981" spans="1:1" ht="15.75" customHeight="1" thickBot="1" x14ac:dyDescent="0.3">
      <c r="A1981" s="9"/>
    </row>
    <row r="1982" spans="1:1" ht="15.75" customHeight="1" thickBot="1" x14ac:dyDescent="0.3">
      <c r="A1982" s="9"/>
    </row>
    <row r="1983" spans="1:1" ht="15.75" customHeight="1" thickBot="1" x14ac:dyDescent="0.3">
      <c r="A1983" s="9"/>
    </row>
    <row r="1984" spans="1:1" ht="15.75" customHeight="1" thickBot="1" x14ac:dyDescent="0.3">
      <c r="A1984" s="9"/>
    </row>
    <row r="1985" spans="1:1" ht="15.75" customHeight="1" thickBot="1" x14ac:dyDescent="0.3">
      <c r="A1985" s="9"/>
    </row>
    <row r="1986" spans="1:1" ht="15.75" customHeight="1" thickBot="1" x14ac:dyDescent="0.3">
      <c r="A1986" s="9"/>
    </row>
    <row r="1987" spans="1:1" ht="15.75" customHeight="1" thickBot="1" x14ac:dyDescent="0.3">
      <c r="A1987" s="9"/>
    </row>
    <row r="1988" spans="1:1" ht="15.75" customHeight="1" thickBot="1" x14ac:dyDescent="0.3">
      <c r="A1988" s="9"/>
    </row>
    <row r="1989" spans="1:1" ht="15.75" customHeight="1" thickBot="1" x14ac:dyDescent="0.3">
      <c r="A1989" s="9"/>
    </row>
    <row r="1990" spans="1:1" ht="15.75" customHeight="1" thickBot="1" x14ac:dyDescent="0.3">
      <c r="A1990" s="9"/>
    </row>
    <row r="1991" spans="1:1" ht="15.75" customHeight="1" thickBot="1" x14ac:dyDescent="0.3">
      <c r="A1991" s="9"/>
    </row>
    <row r="1992" spans="1:1" ht="15.75" customHeight="1" thickBot="1" x14ac:dyDescent="0.3">
      <c r="A1992" s="9"/>
    </row>
    <row r="1993" spans="1:1" ht="15.75" customHeight="1" thickBot="1" x14ac:dyDescent="0.3">
      <c r="A1993" s="9"/>
    </row>
    <row r="1994" spans="1:1" ht="15.75" customHeight="1" thickBot="1" x14ac:dyDescent="0.3">
      <c r="A1994" s="9"/>
    </row>
    <row r="1995" spans="1:1" ht="15.75" customHeight="1" thickBot="1" x14ac:dyDescent="0.3">
      <c r="A1995" s="9"/>
    </row>
    <row r="1996" spans="1:1" ht="15.75" customHeight="1" thickBot="1" x14ac:dyDescent="0.3">
      <c r="A1996" s="9"/>
    </row>
    <row r="1997" spans="1:1" ht="15.75" customHeight="1" thickBot="1" x14ac:dyDescent="0.3">
      <c r="A1997" s="9"/>
    </row>
    <row r="1998" spans="1:1" ht="15.75" customHeight="1" thickBot="1" x14ac:dyDescent="0.3">
      <c r="A1998" s="9"/>
    </row>
    <row r="1999" spans="1:1" ht="15.75" customHeight="1" thickBot="1" x14ac:dyDescent="0.3">
      <c r="A1999" s="9"/>
    </row>
    <row r="2000" spans="1:1" ht="15.75" customHeight="1" thickBot="1" x14ac:dyDescent="0.3">
      <c r="A2000" s="9"/>
    </row>
    <row r="2001" spans="1:1" ht="15.75" customHeight="1" thickBot="1" x14ac:dyDescent="0.3">
      <c r="A2001" s="9"/>
    </row>
    <row r="2002" spans="1:1" ht="15.75" customHeight="1" thickBot="1" x14ac:dyDescent="0.3">
      <c r="A2002" s="9"/>
    </row>
    <row r="2003" spans="1:1" ht="15.75" customHeight="1" thickBot="1" x14ac:dyDescent="0.3">
      <c r="A2003" s="9"/>
    </row>
    <row r="2004" spans="1:1" ht="15.75" customHeight="1" thickBot="1" x14ac:dyDescent="0.3">
      <c r="A2004" s="9"/>
    </row>
    <row r="2005" spans="1:1" ht="15.75" customHeight="1" thickBot="1" x14ac:dyDescent="0.3">
      <c r="A2005" s="9"/>
    </row>
    <row r="2006" spans="1:1" ht="15.75" customHeight="1" thickBot="1" x14ac:dyDescent="0.3">
      <c r="A2006" s="9"/>
    </row>
    <row r="2007" spans="1:1" ht="15.75" customHeight="1" thickBot="1" x14ac:dyDescent="0.3">
      <c r="A2007" s="9"/>
    </row>
    <row r="2008" spans="1:1" ht="15.75" customHeight="1" thickBot="1" x14ac:dyDescent="0.3">
      <c r="A2008" s="9"/>
    </row>
    <row r="2009" spans="1:1" ht="15.75" customHeight="1" thickBot="1" x14ac:dyDescent="0.3">
      <c r="A2009" s="9"/>
    </row>
    <row r="2010" spans="1:1" ht="15.75" customHeight="1" thickBot="1" x14ac:dyDescent="0.3">
      <c r="A2010" s="9"/>
    </row>
    <row r="2011" spans="1:1" ht="15.75" customHeight="1" thickBot="1" x14ac:dyDescent="0.3">
      <c r="A2011" s="9"/>
    </row>
    <row r="2012" spans="1:1" ht="15.75" customHeight="1" thickBot="1" x14ac:dyDescent="0.3">
      <c r="A2012" s="9"/>
    </row>
    <row r="2013" spans="1:1" ht="15.75" customHeight="1" thickBot="1" x14ac:dyDescent="0.3">
      <c r="A2013" s="9"/>
    </row>
    <row r="2014" spans="1:1" ht="15.75" customHeight="1" thickBot="1" x14ac:dyDescent="0.3">
      <c r="A2014" s="9"/>
    </row>
    <row r="2015" spans="1:1" ht="15.75" customHeight="1" thickBot="1" x14ac:dyDescent="0.3">
      <c r="A2015" s="9"/>
    </row>
    <row r="2016" spans="1:1" ht="15.75" customHeight="1" thickBot="1" x14ac:dyDescent="0.3">
      <c r="A2016" s="9"/>
    </row>
    <row r="2017" spans="1:1" ht="15.75" customHeight="1" thickBot="1" x14ac:dyDescent="0.3">
      <c r="A2017" s="9"/>
    </row>
    <row r="2018" spans="1:1" ht="15.75" customHeight="1" thickBot="1" x14ac:dyDescent="0.3">
      <c r="A2018" s="9"/>
    </row>
    <row r="2019" spans="1:1" ht="15.75" customHeight="1" thickBot="1" x14ac:dyDescent="0.3">
      <c r="A2019" s="9"/>
    </row>
    <row r="2020" spans="1:1" ht="15.75" customHeight="1" thickBot="1" x14ac:dyDescent="0.3">
      <c r="A2020" s="9"/>
    </row>
    <row r="2021" spans="1:1" ht="15.75" customHeight="1" thickBot="1" x14ac:dyDescent="0.3">
      <c r="A2021" s="9"/>
    </row>
    <row r="2022" spans="1:1" ht="15.75" customHeight="1" thickBot="1" x14ac:dyDescent="0.3">
      <c r="A2022" s="9"/>
    </row>
    <row r="2023" spans="1:1" ht="15.75" customHeight="1" thickBot="1" x14ac:dyDescent="0.3">
      <c r="A2023" s="9"/>
    </row>
    <row r="2024" spans="1:1" ht="15.75" customHeight="1" thickBot="1" x14ac:dyDescent="0.3">
      <c r="A2024" s="9"/>
    </row>
    <row r="2025" spans="1:1" ht="15.75" customHeight="1" thickBot="1" x14ac:dyDescent="0.3">
      <c r="A2025" s="9"/>
    </row>
    <row r="2026" spans="1:1" ht="15.75" customHeight="1" thickBot="1" x14ac:dyDescent="0.3">
      <c r="A2026" s="9"/>
    </row>
    <row r="2027" spans="1:1" ht="15.75" customHeight="1" thickBot="1" x14ac:dyDescent="0.3">
      <c r="A2027" s="9"/>
    </row>
    <row r="2028" spans="1:1" ht="15.75" customHeight="1" thickBot="1" x14ac:dyDescent="0.3">
      <c r="A2028" s="9"/>
    </row>
    <row r="2029" spans="1:1" ht="15.75" customHeight="1" thickBot="1" x14ac:dyDescent="0.3">
      <c r="A2029" s="9"/>
    </row>
    <row r="2030" spans="1:1" ht="15.75" customHeight="1" thickBot="1" x14ac:dyDescent="0.3">
      <c r="A2030" s="9"/>
    </row>
    <row r="2031" spans="1:1" ht="15.75" customHeight="1" thickBot="1" x14ac:dyDescent="0.3">
      <c r="A2031" s="9"/>
    </row>
    <row r="2032" spans="1:1" ht="15.75" customHeight="1" thickBot="1" x14ac:dyDescent="0.3">
      <c r="A2032" s="9"/>
    </row>
    <row r="2033" spans="1:1" ht="15.75" customHeight="1" thickBot="1" x14ac:dyDescent="0.3">
      <c r="A2033" s="9"/>
    </row>
    <row r="2034" spans="1:1" ht="15.75" customHeight="1" thickBot="1" x14ac:dyDescent="0.3">
      <c r="A2034" s="9"/>
    </row>
    <row r="2035" spans="1:1" ht="15.75" customHeight="1" thickBot="1" x14ac:dyDescent="0.3">
      <c r="A2035" s="9"/>
    </row>
    <row r="2036" spans="1:1" ht="15.75" customHeight="1" thickBot="1" x14ac:dyDescent="0.3">
      <c r="A2036" s="9"/>
    </row>
    <row r="2037" spans="1:1" ht="15.75" customHeight="1" thickBot="1" x14ac:dyDescent="0.3">
      <c r="A2037" s="9"/>
    </row>
    <row r="2038" spans="1:1" ht="15.75" customHeight="1" thickBot="1" x14ac:dyDescent="0.3">
      <c r="A2038" s="9"/>
    </row>
    <row r="2039" spans="1:1" ht="15.75" customHeight="1" thickBot="1" x14ac:dyDescent="0.3">
      <c r="A2039" s="9"/>
    </row>
    <row r="2040" spans="1:1" ht="15.75" customHeight="1" thickBot="1" x14ac:dyDescent="0.3">
      <c r="A2040" s="9"/>
    </row>
    <row r="2041" spans="1:1" ht="15.75" customHeight="1" thickBot="1" x14ac:dyDescent="0.3">
      <c r="A2041" s="9"/>
    </row>
    <row r="2042" spans="1:1" ht="15.75" customHeight="1" thickBot="1" x14ac:dyDescent="0.3">
      <c r="A2042" s="9"/>
    </row>
    <row r="2043" spans="1:1" ht="15.75" customHeight="1" thickBot="1" x14ac:dyDescent="0.3">
      <c r="A2043" s="9"/>
    </row>
    <row r="2044" spans="1:1" ht="15.75" customHeight="1" thickBot="1" x14ac:dyDescent="0.3">
      <c r="A2044" s="9"/>
    </row>
    <row r="2045" spans="1:1" ht="15.75" customHeight="1" thickBot="1" x14ac:dyDescent="0.3">
      <c r="A2045" s="9"/>
    </row>
    <row r="2046" spans="1:1" ht="15.75" customHeight="1" thickBot="1" x14ac:dyDescent="0.3">
      <c r="A2046" s="9"/>
    </row>
    <row r="2047" spans="1:1" ht="15.75" customHeight="1" thickBot="1" x14ac:dyDescent="0.3">
      <c r="A2047" s="9"/>
    </row>
    <row r="2048" spans="1:1" ht="15.75" customHeight="1" thickBot="1" x14ac:dyDescent="0.3">
      <c r="A2048" s="9"/>
    </row>
    <row r="2049" spans="1:1" ht="15.75" customHeight="1" thickBot="1" x14ac:dyDescent="0.3">
      <c r="A2049" s="9"/>
    </row>
    <row r="2050" spans="1:1" ht="15.75" customHeight="1" thickBot="1" x14ac:dyDescent="0.3">
      <c r="A2050" s="9"/>
    </row>
    <row r="2051" spans="1:1" ht="15.75" customHeight="1" thickBot="1" x14ac:dyDescent="0.3">
      <c r="A2051" s="9"/>
    </row>
    <row r="2052" spans="1:1" ht="15.75" customHeight="1" thickBot="1" x14ac:dyDescent="0.3">
      <c r="A2052" s="9"/>
    </row>
    <row r="2053" spans="1:1" ht="15.75" customHeight="1" thickBot="1" x14ac:dyDescent="0.3">
      <c r="A2053" s="9"/>
    </row>
    <row r="2054" spans="1:1" ht="15.75" customHeight="1" thickBot="1" x14ac:dyDescent="0.3">
      <c r="A2054" s="9"/>
    </row>
    <row r="2055" spans="1:1" ht="15.75" customHeight="1" thickBot="1" x14ac:dyDescent="0.3">
      <c r="A2055" s="9"/>
    </row>
    <row r="2056" spans="1:1" ht="15.75" customHeight="1" thickBot="1" x14ac:dyDescent="0.3">
      <c r="A2056" s="9"/>
    </row>
    <row r="2057" spans="1:1" ht="15.75" customHeight="1" thickBot="1" x14ac:dyDescent="0.3">
      <c r="A2057" s="9"/>
    </row>
    <row r="2058" spans="1:1" ht="15.75" customHeight="1" thickBot="1" x14ac:dyDescent="0.3">
      <c r="A2058" s="9"/>
    </row>
    <row r="2059" spans="1:1" ht="15.75" customHeight="1" thickBot="1" x14ac:dyDescent="0.3">
      <c r="A2059" s="9"/>
    </row>
    <row r="2060" spans="1:1" ht="15.75" customHeight="1" thickBot="1" x14ac:dyDescent="0.3">
      <c r="A2060" s="9"/>
    </row>
    <row r="2061" spans="1:1" ht="15.75" customHeight="1" thickBot="1" x14ac:dyDescent="0.3">
      <c r="A2061" s="9"/>
    </row>
    <row r="2062" spans="1:1" ht="15.75" customHeight="1" thickBot="1" x14ac:dyDescent="0.3">
      <c r="A2062" s="9"/>
    </row>
    <row r="2063" spans="1:1" ht="15.75" customHeight="1" thickBot="1" x14ac:dyDescent="0.3">
      <c r="A2063" s="9"/>
    </row>
    <row r="2064" spans="1:1" ht="15.75" customHeight="1" thickBot="1" x14ac:dyDescent="0.3">
      <c r="A2064" s="9"/>
    </row>
    <row r="2065" spans="1:1" ht="15.75" customHeight="1" thickBot="1" x14ac:dyDescent="0.3">
      <c r="A2065" s="9"/>
    </row>
    <row r="2066" spans="1:1" ht="15.75" customHeight="1" thickBot="1" x14ac:dyDescent="0.3">
      <c r="A2066" s="9"/>
    </row>
    <row r="2067" spans="1:1" ht="15.75" customHeight="1" thickBot="1" x14ac:dyDescent="0.3">
      <c r="A2067" s="9"/>
    </row>
    <row r="2068" spans="1:1" ht="15.75" customHeight="1" thickBot="1" x14ac:dyDescent="0.3">
      <c r="A2068" s="9"/>
    </row>
    <row r="2069" spans="1:1" ht="15.75" customHeight="1" thickBot="1" x14ac:dyDescent="0.3">
      <c r="A2069" s="9"/>
    </row>
    <row r="2070" spans="1:1" ht="15.75" customHeight="1" thickBot="1" x14ac:dyDescent="0.3">
      <c r="A2070" s="9"/>
    </row>
    <row r="2071" spans="1:1" ht="15.75" customHeight="1" thickBot="1" x14ac:dyDescent="0.3">
      <c r="A2071" s="9"/>
    </row>
    <row r="2072" spans="1:1" ht="15.75" customHeight="1" thickBot="1" x14ac:dyDescent="0.3">
      <c r="A2072" s="9"/>
    </row>
    <row r="2073" spans="1:1" ht="15.75" customHeight="1" thickBot="1" x14ac:dyDescent="0.3">
      <c r="A2073" s="9"/>
    </row>
    <row r="2074" spans="1:1" ht="15.75" customHeight="1" thickBot="1" x14ac:dyDescent="0.3">
      <c r="A2074" s="9"/>
    </row>
    <row r="2075" spans="1:1" ht="15.75" customHeight="1" thickBot="1" x14ac:dyDescent="0.3">
      <c r="A2075" s="9"/>
    </row>
    <row r="2076" spans="1:1" ht="15.75" customHeight="1" thickBot="1" x14ac:dyDescent="0.3">
      <c r="A2076" s="9"/>
    </row>
    <row r="2077" spans="1:1" ht="15.75" customHeight="1" thickBot="1" x14ac:dyDescent="0.3">
      <c r="A2077" s="9"/>
    </row>
    <row r="2078" spans="1:1" ht="15.75" customHeight="1" thickBot="1" x14ac:dyDescent="0.3">
      <c r="A2078" s="9"/>
    </row>
    <row r="2079" spans="1:1" ht="15.75" customHeight="1" thickBot="1" x14ac:dyDescent="0.3">
      <c r="A2079" s="9"/>
    </row>
    <row r="2080" spans="1:1" ht="15.75" customHeight="1" thickBot="1" x14ac:dyDescent="0.3">
      <c r="A2080" s="9"/>
    </row>
    <row r="2081" spans="1:1" ht="15.75" customHeight="1" thickBot="1" x14ac:dyDescent="0.3">
      <c r="A2081" s="9"/>
    </row>
    <row r="2082" spans="1:1" ht="15.75" customHeight="1" thickBot="1" x14ac:dyDescent="0.3">
      <c r="A2082" s="9"/>
    </row>
    <row r="2083" spans="1:1" ht="15.75" customHeight="1" thickBot="1" x14ac:dyDescent="0.3">
      <c r="A2083" s="9"/>
    </row>
    <row r="2084" spans="1:1" ht="15.75" customHeight="1" thickBot="1" x14ac:dyDescent="0.3">
      <c r="A2084" s="9"/>
    </row>
    <row r="2085" spans="1:1" ht="15.75" customHeight="1" thickBot="1" x14ac:dyDescent="0.3">
      <c r="A2085" s="9"/>
    </row>
    <row r="2086" spans="1:1" ht="15.75" customHeight="1" thickBot="1" x14ac:dyDescent="0.3">
      <c r="A2086" s="9"/>
    </row>
    <row r="2087" spans="1:1" ht="15.75" customHeight="1" thickBot="1" x14ac:dyDescent="0.3">
      <c r="A2087" s="9"/>
    </row>
    <row r="2088" spans="1:1" ht="15.75" customHeight="1" thickBot="1" x14ac:dyDescent="0.3">
      <c r="A2088" s="9"/>
    </row>
    <row r="2089" spans="1:1" ht="15.75" customHeight="1" thickBot="1" x14ac:dyDescent="0.3">
      <c r="A2089" s="9"/>
    </row>
    <row r="2090" spans="1:1" ht="15.75" customHeight="1" thickBot="1" x14ac:dyDescent="0.3">
      <c r="A2090" s="9"/>
    </row>
    <row r="2091" spans="1:1" ht="15.75" customHeight="1" thickBot="1" x14ac:dyDescent="0.3">
      <c r="A2091" s="9"/>
    </row>
    <row r="2092" spans="1:1" ht="15.75" customHeight="1" thickBot="1" x14ac:dyDescent="0.3">
      <c r="A2092" s="9"/>
    </row>
    <row r="2093" spans="1:1" ht="15.75" customHeight="1" thickBot="1" x14ac:dyDescent="0.3">
      <c r="A2093" s="9"/>
    </row>
    <row r="2094" spans="1:1" ht="15.75" customHeight="1" thickBot="1" x14ac:dyDescent="0.3">
      <c r="A2094" s="9"/>
    </row>
    <row r="2095" spans="1:1" ht="15.75" customHeight="1" thickBot="1" x14ac:dyDescent="0.3">
      <c r="A2095" s="9"/>
    </row>
    <row r="2096" spans="1:1" ht="15.75" customHeight="1" thickBot="1" x14ac:dyDescent="0.3">
      <c r="A2096" s="9"/>
    </row>
    <row r="2097" spans="1:1" ht="15.75" customHeight="1" thickBot="1" x14ac:dyDescent="0.3">
      <c r="A2097" s="9"/>
    </row>
    <row r="2098" spans="1:1" ht="15.75" customHeight="1" thickBot="1" x14ac:dyDescent="0.3">
      <c r="A2098" s="9"/>
    </row>
    <row r="2099" spans="1:1" ht="15.75" customHeight="1" thickBot="1" x14ac:dyDescent="0.3">
      <c r="A2099" s="9"/>
    </row>
    <row r="2100" spans="1:1" ht="15.75" customHeight="1" thickBot="1" x14ac:dyDescent="0.3">
      <c r="A2100" s="9"/>
    </row>
    <row r="2101" spans="1:1" ht="15.75" customHeight="1" thickBot="1" x14ac:dyDescent="0.3">
      <c r="A2101" s="9"/>
    </row>
    <row r="2102" spans="1:1" ht="15.75" customHeight="1" thickBot="1" x14ac:dyDescent="0.3">
      <c r="A2102" s="9"/>
    </row>
    <row r="2103" spans="1:1" ht="15.75" customHeight="1" thickBot="1" x14ac:dyDescent="0.3">
      <c r="A2103" s="9"/>
    </row>
    <row r="2104" spans="1:1" ht="15.75" customHeight="1" thickBot="1" x14ac:dyDescent="0.3">
      <c r="A2104" s="9"/>
    </row>
    <row r="2105" spans="1:1" ht="15.75" customHeight="1" thickBot="1" x14ac:dyDescent="0.3">
      <c r="A2105" s="9"/>
    </row>
    <row r="2106" spans="1:1" ht="15.75" customHeight="1" thickBot="1" x14ac:dyDescent="0.3">
      <c r="A2106" s="9"/>
    </row>
    <row r="2107" spans="1:1" ht="15.75" customHeight="1" thickBot="1" x14ac:dyDescent="0.3">
      <c r="A2107" s="9"/>
    </row>
    <row r="2108" spans="1:1" ht="15.75" customHeight="1" thickBot="1" x14ac:dyDescent="0.3">
      <c r="A2108" s="9"/>
    </row>
    <row r="2109" spans="1:1" ht="15.75" customHeight="1" thickBot="1" x14ac:dyDescent="0.3">
      <c r="A2109" s="9"/>
    </row>
    <row r="2110" spans="1:1" ht="15.75" customHeight="1" thickBot="1" x14ac:dyDescent="0.3">
      <c r="A2110" s="9"/>
    </row>
    <row r="2111" spans="1:1" ht="15.75" customHeight="1" thickBot="1" x14ac:dyDescent="0.3">
      <c r="A2111" s="9"/>
    </row>
    <row r="2112" spans="1:1" ht="15.75" customHeight="1" thickBot="1" x14ac:dyDescent="0.3">
      <c r="A2112" s="9"/>
    </row>
    <row r="2113" spans="1:1" ht="15.75" customHeight="1" thickBot="1" x14ac:dyDescent="0.3">
      <c r="A2113" s="9"/>
    </row>
    <row r="2114" spans="1:1" ht="15.75" customHeight="1" thickBot="1" x14ac:dyDescent="0.3">
      <c r="A2114" s="9"/>
    </row>
    <row r="2115" spans="1:1" ht="15.75" customHeight="1" thickBot="1" x14ac:dyDescent="0.3">
      <c r="A2115" s="9"/>
    </row>
    <row r="2116" spans="1:1" ht="15.75" customHeight="1" thickBot="1" x14ac:dyDescent="0.3">
      <c r="A2116" s="9"/>
    </row>
    <row r="2117" spans="1:1" ht="15.75" customHeight="1" thickBot="1" x14ac:dyDescent="0.3">
      <c r="A2117" s="9"/>
    </row>
    <row r="2118" spans="1:1" ht="15.75" customHeight="1" thickBot="1" x14ac:dyDescent="0.3">
      <c r="A2118" s="9"/>
    </row>
    <row r="2119" spans="1:1" ht="15.75" customHeight="1" thickBot="1" x14ac:dyDescent="0.3">
      <c r="A2119" s="9"/>
    </row>
    <row r="2120" spans="1:1" ht="15.75" customHeight="1" thickBot="1" x14ac:dyDescent="0.3">
      <c r="A2120" s="9"/>
    </row>
    <row r="2121" spans="1:1" ht="15.75" customHeight="1" thickBot="1" x14ac:dyDescent="0.3">
      <c r="A2121" s="9"/>
    </row>
    <row r="2122" spans="1:1" ht="15.75" customHeight="1" thickBot="1" x14ac:dyDescent="0.3">
      <c r="A2122" s="9"/>
    </row>
    <row r="2123" spans="1:1" ht="15.75" customHeight="1" thickBot="1" x14ac:dyDescent="0.3">
      <c r="A2123" s="9"/>
    </row>
    <row r="2124" spans="1:1" ht="15.75" customHeight="1" thickBot="1" x14ac:dyDescent="0.3">
      <c r="A2124" s="9"/>
    </row>
    <row r="2125" spans="1:1" ht="15.75" customHeight="1" thickBot="1" x14ac:dyDescent="0.3">
      <c r="A2125" s="9"/>
    </row>
    <row r="2126" spans="1:1" ht="15.75" customHeight="1" thickBot="1" x14ac:dyDescent="0.3">
      <c r="A2126" s="9"/>
    </row>
    <row r="2127" spans="1:1" ht="15.75" customHeight="1" thickBot="1" x14ac:dyDescent="0.3">
      <c r="A2127" s="9"/>
    </row>
    <row r="2128" spans="1:1" ht="15.75" customHeight="1" thickBot="1" x14ac:dyDescent="0.3">
      <c r="A2128" s="9"/>
    </row>
    <row r="2129" spans="1:1" ht="15.75" customHeight="1" thickBot="1" x14ac:dyDescent="0.3">
      <c r="A2129" s="9"/>
    </row>
    <row r="2130" spans="1:1" ht="15.75" customHeight="1" thickBot="1" x14ac:dyDescent="0.3">
      <c r="A2130" s="9"/>
    </row>
    <row r="2131" spans="1:1" ht="15.75" customHeight="1" thickBot="1" x14ac:dyDescent="0.3">
      <c r="A2131" s="9"/>
    </row>
    <row r="2132" spans="1:1" ht="15.75" customHeight="1" thickBot="1" x14ac:dyDescent="0.3">
      <c r="A2132" s="9"/>
    </row>
    <row r="2133" spans="1:1" ht="15.75" customHeight="1" thickBot="1" x14ac:dyDescent="0.3">
      <c r="A2133" s="9"/>
    </row>
    <row r="2134" spans="1:1" ht="15.75" customHeight="1" thickBot="1" x14ac:dyDescent="0.3">
      <c r="A2134" s="9"/>
    </row>
    <row r="2135" spans="1:1" ht="15.75" customHeight="1" thickBot="1" x14ac:dyDescent="0.3">
      <c r="A2135" s="9"/>
    </row>
    <row r="2136" spans="1:1" ht="15.75" customHeight="1" thickBot="1" x14ac:dyDescent="0.3">
      <c r="A2136" s="9"/>
    </row>
    <row r="2137" spans="1:1" ht="15.75" customHeight="1" thickBot="1" x14ac:dyDescent="0.3">
      <c r="A2137" s="9"/>
    </row>
    <row r="2138" spans="1:1" ht="15.75" customHeight="1" thickBot="1" x14ac:dyDescent="0.3">
      <c r="A2138" s="9"/>
    </row>
    <row r="2139" spans="1:1" ht="15.75" customHeight="1" thickBot="1" x14ac:dyDescent="0.3">
      <c r="A2139" s="9"/>
    </row>
    <row r="2140" spans="1:1" ht="15.75" customHeight="1" thickBot="1" x14ac:dyDescent="0.3">
      <c r="A2140" s="9"/>
    </row>
    <row r="2141" spans="1:1" ht="15.75" customHeight="1" thickBot="1" x14ac:dyDescent="0.3">
      <c r="A2141" s="9"/>
    </row>
    <row r="2142" spans="1:1" ht="15.75" customHeight="1" thickBot="1" x14ac:dyDescent="0.3">
      <c r="A2142" s="9"/>
    </row>
    <row r="2143" spans="1:1" ht="15.75" customHeight="1" thickBot="1" x14ac:dyDescent="0.3">
      <c r="A2143" s="9"/>
    </row>
    <row r="2144" spans="1:1" ht="15.75" customHeight="1" thickBot="1" x14ac:dyDescent="0.3">
      <c r="A2144" s="9"/>
    </row>
    <row r="2145" spans="1:1" ht="15.75" customHeight="1" thickBot="1" x14ac:dyDescent="0.3">
      <c r="A2145" s="9"/>
    </row>
    <row r="2146" spans="1:1" ht="15.75" customHeight="1" thickBot="1" x14ac:dyDescent="0.3">
      <c r="A2146" s="9"/>
    </row>
    <row r="2147" spans="1:1" ht="15.75" customHeight="1" thickBot="1" x14ac:dyDescent="0.3">
      <c r="A2147" s="9"/>
    </row>
    <row r="2148" spans="1:1" ht="15.75" customHeight="1" thickBot="1" x14ac:dyDescent="0.3">
      <c r="A2148" s="9"/>
    </row>
    <row r="2149" spans="1:1" ht="15.75" customHeight="1" thickBot="1" x14ac:dyDescent="0.3">
      <c r="A2149" s="9"/>
    </row>
    <row r="2150" spans="1:1" ht="15.75" customHeight="1" thickBot="1" x14ac:dyDescent="0.3">
      <c r="A2150" s="9"/>
    </row>
    <row r="2151" spans="1:1" ht="15.75" customHeight="1" thickBot="1" x14ac:dyDescent="0.3">
      <c r="A2151" s="9"/>
    </row>
    <row r="2152" spans="1:1" ht="15.75" customHeight="1" thickBot="1" x14ac:dyDescent="0.3">
      <c r="A2152" s="9"/>
    </row>
    <row r="2153" spans="1:1" ht="15.75" customHeight="1" thickBot="1" x14ac:dyDescent="0.3">
      <c r="A2153" s="9"/>
    </row>
    <row r="2154" spans="1:1" ht="15.75" customHeight="1" thickBot="1" x14ac:dyDescent="0.3">
      <c r="A2154" s="9"/>
    </row>
    <row r="2155" spans="1:1" ht="15.75" customHeight="1" thickBot="1" x14ac:dyDescent="0.3">
      <c r="A2155" s="9"/>
    </row>
    <row r="2156" spans="1:1" ht="15.75" customHeight="1" thickBot="1" x14ac:dyDescent="0.3">
      <c r="A2156" s="9"/>
    </row>
    <row r="2157" spans="1:1" ht="15.75" customHeight="1" thickBot="1" x14ac:dyDescent="0.3">
      <c r="A2157" s="9"/>
    </row>
    <row r="2158" spans="1:1" ht="15.75" customHeight="1" thickBot="1" x14ac:dyDescent="0.3">
      <c r="A2158" s="9"/>
    </row>
    <row r="2159" spans="1:1" ht="15.75" customHeight="1" thickBot="1" x14ac:dyDescent="0.3">
      <c r="A2159" s="9"/>
    </row>
    <row r="2160" spans="1:1" ht="15.75" customHeight="1" thickBot="1" x14ac:dyDescent="0.3">
      <c r="A2160" s="9"/>
    </row>
    <row r="2161" spans="1:1" ht="15.75" customHeight="1" thickBot="1" x14ac:dyDescent="0.3">
      <c r="A2161" s="9"/>
    </row>
    <row r="2162" spans="1:1" ht="15.75" customHeight="1" thickBot="1" x14ac:dyDescent="0.3">
      <c r="A2162" s="9"/>
    </row>
    <row r="2163" spans="1:1" ht="15.75" customHeight="1" thickBot="1" x14ac:dyDescent="0.3">
      <c r="A2163" s="9"/>
    </row>
    <row r="2164" spans="1:1" ht="15.75" customHeight="1" thickBot="1" x14ac:dyDescent="0.3">
      <c r="A2164" s="9"/>
    </row>
    <row r="2165" spans="1:1" ht="15.75" customHeight="1" thickBot="1" x14ac:dyDescent="0.3">
      <c r="A2165" s="9"/>
    </row>
    <row r="2166" spans="1:1" ht="15.75" customHeight="1" thickBot="1" x14ac:dyDescent="0.3">
      <c r="A2166" s="9"/>
    </row>
    <row r="2167" spans="1:1" ht="15.75" customHeight="1" thickBot="1" x14ac:dyDescent="0.3">
      <c r="A2167" s="9"/>
    </row>
    <row r="2168" spans="1:1" ht="15.75" customHeight="1" thickBot="1" x14ac:dyDescent="0.3">
      <c r="A2168" s="9"/>
    </row>
    <row r="2169" spans="1:1" ht="15.75" customHeight="1" thickBot="1" x14ac:dyDescent="0.3">
      <c r="A2169" s="9"/>
    </row>
    <row r="2170" spans="1:1" ht="15.75" customHeight="1" thickBot="1" x14ac:dyDescent="0.3">
      <c r="A2170" s="9"/>
    </row>
    <row r="2171" spans="1:1" ht="15.75" customHeight="1" thickBot="1" x14ac:dyDescent="0.3">
      <c r="A2171" s="9"/>
    </row>
    <row r="2172" spans="1:1" ht="15.75" customHeight="1" thickBot="1" x14ac:dyDescent="0.3">
      <c r="A2172" s="9"/>
    </row>
    <row r="2173" spans="1:1" ht="15.75" customHeight="1" thickBot="1" x14ac:dyDescent="0.3">
      <c r="A2173" s="9"/>
    </row>
    <row r="2174" spans="1:1" ht="15.75" customHeight="1" thickBot="1" x14ac:dyDescent="0.3">
      <c r="A2174" s="9"/>
    </row>
    <row r="2175" spans="1:1" ht="15.75" customHeight="1" thickBot="1" x14ac:dyDescent="0.3">
      <c r="A2175" s="9"/>
    </row>
    <row r="2176" spans="1:1" ht="15.75" customHeight="1" thickBot="1" x14ac:dyDescent="0.3">
      <c r="A2176" s="9"/>
    </row>
    <row r="2177" spans="1:1" ht="15.75" customHeight="1" thickBot="1" x14ac:dyDescent="0.3">
      <c r="A2177" s="9"/>
    </row>
    <row r="2178" spans="1:1" ht="15.75" customHeight="1" thickBot="1" x14ac:dyDescent="0.3">
      <c r="A2178" s="9"/>
    </row>
    <row r="2179" spans="1:1" ht="15.75" customHeight="1" thickBot="1" x14ac:dyDescent="0.3">
      <c r="A2179" s="9"/>
    </row>
    <row r="2180" spans="1:1" ht="15.75" customHeight="1" thickBot="1" x14ac:dyDescent="0.3">
      <c r="A2180" s="9"/>
    </row>
    <row r="2181" spans="1:1" ht="15.75" customHeight="1" thickBot="1" x14ac:dyDescent="0.3">
      <c r="A2181" s="9"/>
    </row>
    <row r="2182" spans="1:1" ht="15.75" customHeight="1" thickBot="1" x14ac:dyDescent="0.3">
      <c r="A2182" s="9"/>
    </row>
    <row r="2183" spans="1:1" ht="15.75" customHeight="1" thickBot="1" x14ac:dyDescent="0.3">
      <c r="A2183" s="9"/>
    </row>
    <row r="2184" spans="1:1" ht="15.75" customHeight="1" thickBot="1" x14ac:dyDescent="0.3">
      <c r="A2184" s="9"/>
    </row>
    <row r="2185" spans="1:1" ht="15.75" customHeight="1" thickBot="1" x14ac:dyDescent="0.3">
      <c r="A2185" s="9"/>
    </row>
    <row r="2186" spans="1:1" ht="15.75" customHeight="1" thickBot="1" x14ac:dyDescent="0.3">
      <c r="A2186" s="9"/>
    </row>
    <row r="2187" spans="1:1" ht="15.75" customHeight="1" thickBot="1" x14ac:dyDescent="0.3">
      <c r="A2187" s="9"/>
    </row>
    <row r="2188" spans="1:1" ht="15.75" customHeight="1" thickBot="1" x14ac:dyDescent="0.3">
      <c r="A2188" s="9"/>
    </row>
    <row r="2189" spans="1:1" ht="15.75" customHeight="1" thickBot="1" x14ac:dyDescent="0.3">
      <c r="A2189" s="9"/>
    </row>
    <row r="2190" spans="1:1" ht="15.75" customHeight="1" thickBot="1" x14ac:dyDescent="0.3">
      <c r="A2190" s="9"/>
    </row>
    <row r="2191" spans="1:1" ht="15.75" customHeight="1" thickBot="1" x14ac:dyDescent="0.3">
      <c r="A2191" s="9"/>
    </row>
    <row r="2192" spans="1:1" ht="15.75" customHeight="1" thickBot="1" x14ac:dyDescent="0.3">
      <c r="A2192" s="9"/>
    </row>
    <row r="2193" spans="1:1" ht="15.75" customHeight="1" thickBot="1" x14ac:dyDescent="0.3">
      <c r="A2193" s="9"/>
    </row>
    <row r="2194" spans="1:1" ht="15.75" customHeight="1" thickBot="1" x14ac:dyDescent="0.3">
      <c r="A2194" s="9"/>
    </row>
    <row r="2195" spans="1:1" ht="15.75" customHeight="1" thickBot="1" x14ac:dyDescent="0.3">
      <c r="A2195" s="9"/>
    </row>
    <row r="2196" spans="1:1" ht="15.75" customHeight="1" thickBot="1" x14ac:dyDescent="0.3">
      <c r="A2196" s="9"/>
    </row>
    <row r="2197" spans="1:1" ht="15.75" customHeight="1" thickBot="1" x14ac:dyDescent="0.3">
      <c r="A2197" s="9"/>
    </row>
    <row r="2198" spans="1:1" ht="15.75" customHeight="1" thickBot="1" x14ac:dyDescent="0.3">
      <c r="A2198" s="9"/>
    </row>
    <row r="2199" spans="1:1" ht="15.75" customHeight="1" thickBot="1" x14ac:dyDescent="0.3">
      <c r="A2199" s="9"/>
    </row>
    <row r="2200" spans="1:1" ht="15.75" customHeight="1" thickBot="1" x14ac:dyDescent="0.3">
      <c r="A2200" s="9"/>
    </row>
    <row r="2201" spans="1:1" ht="15.75" customHeight="1" thickBot="1" x14ac:dyDescent="0.3">
      <c r="A2201" s="9"/>
    </row>
    <row r="2202" spans="1:1" ht="15.75" customHeight="1" thickBot="1" x14ac:dyDescent="0.3">
      <c r="A2202" s="9"/>
    </row>
    <row r="2203" spans="1:1" ht="15.75" customHeight="1" thickBot="1" x14ac:dyDescent="0.3">
      <c r="A2203" s="9"/>
    </row>
    <row r="2204" spans="1:1" ht="15.75" customHeight="1" thickBot="1" x14ac:dyDescent="0.3">
      <c r="A2204" s="9"/>
    </row>
    <row r="2205" spans="1:1" ht="15.75" customHeight="1" thickBot="1" x14ac:dyDescent="0.3">
      <c r="A2205" s="9"/>
    </row>
    <row r="2206" spans="1:1" ht="15.75" customHeight="1" thickBot="1" x14ac:dyDescent="0.3">
      <c r="A2206" s="9"/>
    </row>
    <row r="2207" spans="1:1" ht="15.75" customHeight="1" thickBot="1" x14ac:dyDescent="0.3">
      <c r="A2207" s="9"/>
    </row>
    <row r="2208" spans="1:1" ht="15.75" customHeight="1" thickBot="1" x14ac:dyDescent="0.3">
      <c r="A2208" s="9"/>
    </row>
    <row r="2209" spans="1:1" ht="15.75" customHeight="1" thickBot="1" x14ac:dyDescent="0.3">
      <c r="A2209" s="9"/>
    </row>
    <row r="2210" spans="1:1" ht="15.75" customHeight="1" thickBot="1" x14ac:dyDescent="0.3">
      <c r="A2210" s="9"/>
    </row>
    <row r="2211" spans="1:1" ht="15.75" customHeight="1" thickBot="1" x14ac:dyDescent="0.3">
      <c r="A2211" s="9"/>
    </row>
    <row r="2212" spans="1:1" ht="15.75" customHeight="1" thickBot="1" x14ac:dyDescent="0.3">
      <c r="A2212" s="9"/>
    </row>
    <row r="2213" spans="1:1" ht="15.75" customHeight="1" thickBot="1" x14ac:dyDescent="0.3">
      <c r="A2213" s="9"/>
    </row>
    <row r="2214" spans="1:1" ht="15.75" customHeight="1" thickBot="1" x14ac:dyDescent="0.3">
      <c r="A2214" s="9"/>
    </row>
    <row r="2215" spans="1:1" ht="15.75" customHeight="1" thickBot="1" x14ac:dyDescent="0.3">
      <c r="A2215" s="9"/>
    </row>
    <row r="2216" spans="1:1" ht="15.75" customHeight="1" thickBot="1" x14ac:dyDescent="0.3">
      <c r="A2216" s="9"/>
    </row>
    <row r="2217" spans="1:1" ht="15.75" customHeight="1" thickBot="1" x14ac:dyDescent="0.3">
      <c r="A2217" s="9"/>
    </row>
    <row r="2218" spans="1:1" ht="15.75" customHeight="1" thickBot="1" x14ac:dyDescent="0.3">
      <c r="A2218" s="9"/>
    </row>
    <row r="2219" spans="1:1" ht="15.75" customHeight="1" thickBot="1" x14ac:dyDescent="0.3">
      <c r="A2219" s="9"/>
    </row>
    <row r="2220" spans="1:1" ht="15.75" customHeight="1" thickBot="1" x14ac:dyDescent="0.3">
      <c r="A2220" s="9"/>
    </row>
    <row r="2221" spans="1:1" ht="15.75" customHeight="1" thickBot="1" x14ac:dyDescent="0.3">
      <c r="A2221" s="9"/>
    </row>
    <row r="2222" spans="1:1" ht="15.75" customHeight="1" thickBot="1" x14ac:dyDescent="0.3">
      <c r="A2222" s="9"/>
    </row>
    <row r="2223" spans="1:1" ht="15.75" customHeight="1" thickBot="1" x14ac:dyDescent="0.3">
      <c r="A2223" s="9"/>
    </row>
    <row r="2224" spans="1:1" ht="15.75" customHeight="1" thickBot="1" x14ac:dyDescent="0.3">
      <c r="A2224" s="9"/>
    </row>
    <row r="2225" spans="1:1" ht="15.75" customHeight="1" thickBot="1" x14ac:dyDescent="0.3">
      <c r="A2225" s="9"/>
    </row>
    <row r="2226" spans="1:1" ht="15.75" customHeight="1" thickBot="1" x14ac:dyDescent="0.3">
      <c r="A2226" s="9"/>
    </row>
    <row r="2227" spans="1:1" ht="15.75" customHeight="1" thickBot="1" x14ac:dyDescent="0.3">
      <c r="A2227" s="9"/>
    </row>
    <row r="2228" spans="1:1" ht="15.75" customHeight="1" thickBot="1" x14ac:dyDescent="0.3">
      <c r="A2228" s="9"/>
    </row>
    <row r="2229" spans="1:1" ht="15.75" customHeight="1" thickBot="1" x14ac:dyDescent="0.3">
      <c r="A2229" s="9"/>
    </row>
    <row r="2230" spans="1:1" ht="15.75" customHeight="1" thickBot="1" x14ac:dyDescent="0.3">
      <c r="A2230" s="9"/>
    </row>
    <row r="2231" spans="1:1" ht="15.75" customHeight="1" thickBot="1" x14ac:dyDescent="0.3">
      <c r="A2231" s="9"/>
    </row>
    <row r="2232" spans="1:1" ht="15.75" customHeight="1" thickBot="1" x14ac:dyDescent="0.3">
      <c r="A2232" s="9"/>
    </row>
    <row r="2233" spans="1:1" ht="15.75" customHeight="1" thickBot="1" x14ac:dyDescent="0.3">
      <c r="A2233" s="9"/>
    </row>
    <row r="2234" spans="1:1" ht="15.75" customHeight="1" thickBot="1" x14ac:dyDescent="0.3">
      <c r="A2234" s="9"/>
    </row>
    <row r="2235" spans="1:1" ht="15.75" customHeight="1" thickBot="1" x14ac:dyDescent="0.3">
      <c r="A2235" s="9"/>
    </row>
    <row r="2236" spans="1:1" ht="15.75" customHeight="1" thickBot="1" x14ac:dyDescent="0.3">
      <c r="A2236" s="9"/>
    </row>
    <row r="2237" spans="1:1" ht="15.75" customHeight="1" thickBot="1" x14ac:dyDescent="0.3">
      <c r="A2237" s="9"/>
    </row>
    <row r="2238" spans="1:1" ht="15.75" customHeight="1" thickBot="1" x14ac:dyDescent="0.3">
      <c r="A2238" s="9"/>
    </row>
    <row r="2239" spans="1:1" ht="15.75" customHeight="1" thickBot="1" x14ac:dyDescent="0.3">
      <c r="A2239" s="9"/>
    </row>
    <row r="2240" spans="1:1" ht="15.75" customHeight="1" thickBot="1" x14ac:dyDescent="0.3">
      <c r="A2240" s="9"/>
    </row>
    <row r="2241" spans="1:1" ht="15.75" customHeight="1" thickBot="1" x14ac:dyDescent="0.3">
      <c r="A2241" s="9"/>
    </row>
    <row r="2242" spans="1:1" ht="15.75" customHeight="1" thickBot="1" x14ac:dyDescent="0.3">
      <c r="A2242" s="9"/>
    </row>
    <row r="2243" spans="1:1" ht="15.75" customHeight="1" thickBot="1" x14ac:dyDescent="0.3">
      <c r="A2243" s="9"/>
    </row>
    <row r="2244" spans="1:1" ht="15.75" customHeight="1" thickBot="1" x14ac:dyDescent="0.3">
      <c r="A2244" s="9"/>
    </row>
    <row r="2245" spans="1:1" ht="15.75" customHeight="1" thickBot="1" x14ac:dyDescent="0.3">
      <c r="A2245" s="9"/>
    </row>
    <row r="2246" spans="1:1" ht="15.75" customHeight="1" thickBot="1" x14ac:dyDescent="0.3">
      <c r="A2246" s="9"/>
    </row>
    <row r="2247" spans="1:1" ht="15.75" customHeight="1" thickBot="1" x14ac:dyDescent="0.3">
      <c r="A2247" s="9"/>
    </row>
    <row r="2248" spans="1:1" ht="15.75" customHeight="1" thickBot="1" x14ac:dyDescent="0.3">
      <c r="A2248" s="9"/>
    </row>
    <row r="2249" spans="1:1" ht="15.75" customHeight="1" thickBot="1" x14ac:dyDescent="0.3">
      <c r="A2249" s="9"/>
    </row>
    <row r="2250" spans="1:1" ht="15.75" customHeight="1" thickBot="1" x14ac:dyDescent="0.3">
      <c r="A2250" s="9"/>
    </row>
    <row r="2251" spans="1:1" ht="15.75" customHeight="1" thickBot="1" x14ac:dyDescent="0.3">
      <c r="A2251" s="9"/>
    </row>
    <row r="2252" spans="1:1" ht="15.75" customHeight="1" thickBot="1" x14ac:dyDescent="0.3">
      <c r="A2252" s="9"/>
    </row>
    <row r="2253" spans="1:1" ht="15.75" customHeight="1" thickBot="1" x14ac:dyDescent="0.3">
      <c r="A2253" s="9"/>
    </row>
    <row r="2254" spans="1:1" ht="15.75" customHeight="1" thickBot="1" x14ac:dyDescent="0.3">
      <c r="A2254" s="9"/>
    </row>
    <row r="2255" spans="1:1" ht="15.75" customHeight="1" thickBot="1" x14ac:dyDescent="0.3">
      <c r="A2255" s="9"/>
    </row>
    <row r="2256" spans="1:1" ht="15.75" customHeight="1" thickBot="1" x14ac:dyDescent="0.3">
      <c r="A2256" s="9"/>
    </row>
    <row r="2257" spans="1:1" ht="15.75" customHeight="1" thickBot="1" x14ac:dyDescent="0.3">
      <c r="A2257" s="9"/>
    </row>
    <row r="2258" spans="1:1" ht="15.75" customHeight="1" thickBot="1" x14ac:dyDescent="0.3">
      <c r="A2258" s="9"/>
    </row>
    <row r="2259" spans="1:1" ht="15.75" customHeight="1" thickBot="1" x14ac:dyDescent="0.3">
      <c r="A2259" s="9"/>
    </row>
    <row r="2260" spans="1:1" ht="15.75" customHeight="1" thickBot="1" x14ac:dyDescent="0.3">
      <c r="A2260" s="9"/>
    </row>
    <row r="2261" spans="1:1" ht="15.75" customHeight="1" thickBot="1" x14ac:dyDescent="0.3">
      <c r="A2261" s="9"/>
    </row>
    <row r="2262" spans="1:1" ht="15.75" customHeight="1" thickBot="1" x14ac:dyDescent="0.3">
      <c r="A2262" s="9"/>
    </row>
    <row r="2263" spans="1:1" ht="15.75" customHeight="1" thickBot="1" x14ac:dyDescent="0.3">
      <c r="A2263" s="9"/>
    </row>
    <row r="2264" spans="1:1" ht="15.75" customHeight="1" thickBot="1" x14ac:dyDescent="0.3">
      <c r="A2264" s="9"/>
    </row>
    <row r="2265" spans="1:1" ht="15.75" customHeight="1" thickBot="1" x14ac:dyDescent="0.3">
      <c r="A2265" s="9"/>
    </row>
    <row r="2266" spans="1:1" ht="15.75" customHeight="1" thickBot="1" x14ac:dyDescent="0.3">
      <c r="A2266" s="9"/>
    </row>
    <row r="2267" spans="1:1" ht="15.75" customHeight="1" thickBot="1" x14ac:dyDescent="0.3">
      <c r="A2267" s="9"/>
    </row>
    <row r="2268" spans="1:1" ht="15.75" customHeight="1" thickBot="1" x14ac:dyDescent="0.3">
      <c r="A2268" s="9"/>
    </row>
    <row r="2269" spans="1:1" ht="15.75" customHeight="1" thickBot="1" x14ac:dyDescent="0.3">
      <c r="A2269" s="9"/>
    </row>
    <row r="2270" spans="1:1" ht="15.75" customHeight="1" thickBot="1" x14ac:dyDescent="0.3">
      <c r="A2270" s="9"/>
    </row>
    <row r="2271" spans="1:1" ht="15.75" customHeight="1" thickBot="1" x14ac:dyDescent="0.3">
      <c r="A2271" s="9"/>
    </row>
    <row r="2272" spans="1:1" ht="15.75" customHeight="1" thickBot="1" x14ac:dyDescent="0.3">
      <c r="A2272" s="9"/>
    </row>
    <row r="2273" spans="1:1" ht="15.75" customHeight="1" thickBot="1" x14ac:dyDescent="0.3">
      <c r="A2273" s="9"/>
    </row>
    <row r="2274" spans="1:1" ht="15.75" customHeight="1" thickBot="1" x14ac:dyDescent="0.3">
      <c r="A2274" s="9"/>
    </row>
    <row r="2275" spans="1:1" ht="15.75" customHeight="1" thickBot="1" x14ac:dyDescent="0.3">
      <c r="A2275" s="9"/>
    </row>
    <row r="2276" spans="1:1" ht="15.75" customHeight="1" thickBot="1" x14ac:dyDescent="0.3">
      <c r="A2276" s="9"/>
    </row>
    <row r="2277" spans="1:1" ht="15.75" customHeight="1" thickBot="1" x14ac:dyDescent="0.3">
      <c r="A2277" s="9"/>
    </row>
    <row r="2278" spans="1:1" ht="15.75" customHeight="1" thickBot="1" x14ac:dyDescent="0.3">
      <c r="A2278" s="9"/>
    </row>
    <row r="2279" spans="1:1" ht="15.75" customHeight="1" thickBot="1" x14ac:dyDescent="0.3">
      <c r="A2279" s="9"/>
    </row>
    <row r="2280" spans="1:1" ht="15.75" customHeight="1" thickBot="1" x14ac:dyDescent="0.3">
      <c r="A2280" s="9"/>
    </row>
    <row r="2281" spans="1:1" ht="15.75" customHeight="1" thickBot="1" x14ac:dyDescent="0.3">
      <c r="A2281" s="9"/>
    </row>
    <row r="2282" spans="1:1" ht="15.75" customHeight="1" thickBot="1" x14ac:dyDescent="0.3">
      <c r="A2282" s="9"/>
    </row>
    <row r="2283" spans="1:1" ht="15.75" customHeight="1" thickBot="1" x14ac:dyDescent="0.3">
      <c r="A2283" s="9"/>
    </row>
    <row r="2284" spans="1:1" ht="15.75" customHeight="1" thickBot="1" x14ac:dyDescent="0.3">
      <c r="A2284" s="9"/>
    </row>
    <row r="2285" spans="1:1" ht="15.75" customHeight="1" thickBot="1" x14ac:dyDescent="0.3">
      <c r="A2285" s="9"/>
    </row>
    <row r="2286" spans="1:1" ht="15.75" customHeight="1" thickBot="1" x14ac:dyDescent="0.3">
      <c r="A2286" s="9"/>
    </row>
    <row r="2287" spans="1:1" ht="15.75" customHeight="1" thickBot="1" x14ac:dyDescent="0.3">
      <c r="A2287" s="9"/>
    </row>
    <row r="2288" spans="1:1" ht="15.75" customHeight="1" thickBot="1" x14ac:dyDescent="0.3">
      <c r="A2288" s="9"/>
    </row>
    <row r="2289" spans="1:1" ht="15.75" customHeight="1" thickBot="1" x14ac:dyDescent="0.3">
      <c r="A2289" s="9"/>
    </row>
    <row r="2290" spans="1:1" ht="15.75" customHeight="1" thickBot="1" x14ac:dyDescent="0.3">
      <c r="A2290" s="9"/>
    </row>
    <row r="2291" spans="1:1" ht="15.75" customHeight="1" thickBot="1" x14ac:dyDescent="0.3">
      <c r="A2291" s="9"/>
    </row>
    <row r="2292" spans="1:1" ht="15.75" customHeight="1" thickBot="1" x14ac:dyDescent="0.3">
      <c r="A2292" s="9"/>
    </row>
    <row r="2293" spans="1:1" ht="15.75" customHeight="1" thickBot="1" x14ac:dyDescent="0.3">
      <c r="A2293" s="9"/>
    </row>
    <row r="2294" spans="1:1" ht="15.75" customHeight="1" thickBot="1" x14ac:dyDescent="0.3">
      <c r="A2294" s="9"/>
    </row>
    <row r="2295" spans="1:1" ht="15.75" customHeight="1" thickBot="1" x14ac:dyDescent="0.3">
      <c r="A2295" s="9"/>
    </row>
    <row r="2296" spans="1:1" ht="15.75" customHeight="1" thickBot="1" x14ac:dyDescent="0.3">
      <c r="A2296" s="9"/>
    </row>
    <row r="2297" spans="1:1" ht="15.75" customHeight="1" thickBot="1" x14ac:dyDescent="0.3">
      <c r="A2297" s="9"/>
    </row>
    <row r="2298" spans="1:1" ht="15.75" customHeight="1" thickBot="1" x14ac:dyDescent="0.3">
      <c r="A2298" s="9"/>
    </row>
    <row r="2299" spans="1:1" ht="15.75" customHeight="1" thickBot="1" x14ac:dyDescent="0.3">
      <c r="A2299" s="9"/>
    </row>
    <row r="2300" spans="1:1" ht="15.75" customHeight="1" thickBot="1" x14ac:dyDescent="0.3">
      <c r="A2300" s="9"/>
    </row>
    <row r="2301" spans="1:1" ht="15.75" customHeight="1" thickBot="1" x14ac:dyDescent="0.3">
      <c r="A2301" s="9"/>
    </row>
    <row r="2302" spans="1:1" ht="15.75" customHeight="1" thickBot="1" x14ac:dyDescent="0.3">
      <c r="A2302" s="9"/>
    </row>
    <row r="2303" spans="1:1" ht="15.75" customHeight="1" thickBot="1" x14ac:dyDescent="0.3">
      <c r="A2303" s="9"/>
    </row>
    <row r="2304" spans="1:1" ht="15.75" customHeight="1" thickBot="1" x14ac:dyDescent="0.3">
      <c r="A2304" s="9"/>
    </row>
    <row r="2305" spans="1:1" ht="15.75" customHeight="1" thickBot="1" x14ac:dyDescent="0.3">
      <c r="A2305" s="9"/>
    </row>
    <row r="2306" spans="1:1" ht="15.75" customHeight="1" thickBot="1" x14ac:dyDescent="0.3">
      <c r="A2306" s="9"/>
    </row>
    <row r="2307" spans="1:1" ht="15.75" customHeight="1" thickBot="1" x14ac:dyDescent="0.3">
      <c r="A2307" s="9"/>
    </row>
    <row r="2308" spans="1:1" ht="15.75" customHeight="1" thickBot="1" x14ac:dyDescent="0.3">
      <c r="A2308" s="9"/>
    </row>
    <row r="2309" spans="1:1" ht="15.75" customHeight="1" thickBot="1" x14ac:dyDescent="0.3">
      <c r="A2309" s="9"/>
    </row>
    <row r="2310" spans="1:1" ht="15.75" customHeight="1" thickBot="1" x14ac:dyDescent="0.3">
      <c r="A2310" s="9"/>
    </row>
    <row r="2311" spans="1:1" ht="15.75" customHeight="1" thickBot="1" x14ac:dyDescent="0.3">
      <c r="A2311" s="9"/>
    </row>
    <row r="2312" spans="1:1" ht="15.75" customHeight="1" thickBot="1" x14ac:dyDescent="0.3">
      <c r="A2312" s="9"/>
    </row>
    <row r="2313" spans="1:1" ht="15.75" customHeight="1" thickBot="1" x14ac:dyDescent="0.3">
      <c r="A2313" s="9"/>
    </row>
    <row r="2314" spans="1:1" ht="15.75" customHeight="1" thickBot="1" x14ac:dyDescent="0.3">
      <c r="A2314" s="9"/>
    </row>
    <row r="2315" spans="1:1" ht="15.75" customHeight="1" thickBot="1" x14ac:dyDescent="0.3">
      <c r="A2315" s="9"/>
    </row>
    <row r="2316" spans="1:1" ht="15.75" customHeight="1" thickBot="1" x14ac:dyDescent="0.3">
      <c r="A2316" s="9"/>
    </row>
    <row r="2317" spans="1:1" ht="15.75" customHeight="1" thickBot="1" x14ac:dyDescent="0.3">
      <c r="A2317" s="9"/>
    </row>
    <row r="2318" spans="1:1" ht="15.75" customHeight="1" thickBot="1" x14ac:dyDescent="0.3">
      <c r="A2318" s="9"/>
    </row>
    <row r="2319" spans="1:1" ht="15.75" customHeight="1" thickBot="1" x14ac:dyDescent="0.3">
      <c r="A2319" s="9"/>
    </row>
    <row r="2320" spans="1:1" ht="15.75" customHeight="1" thickBot="1" x14ac:dyDescent="0.3">
      <c r="A2320" s="9"/>
    </row>
    <row r="2321" spans="1:1" ht="15.75" customHeight="1" thickBot="1" x14ac:dyDescent="0.3">
      <c r="A2321" s="9"/>
    </row>
    <row r="2322" spans="1:1" ht="15.75" customHeight="1" thickBot="1" x14ac:dyDescent="0.3">
      <c r="A2322" s="9"/>
    </row>
    <row r="2323" spans="1:1" ht="15.75" customHeight="1" thickBot="1" x14ac:dyDescent="0.3">
      <c r="A2323" s="9"/>
    </row>
    <row r="2324" spans="1:1" ht="15.75" customHeight="1" thickBot="1" x14ac:dyDescent="0.3">
      <c r="A2324" s="9"/>
    </row>
    <row r="2325" spans="1:1" ht="15.75" customHeight="1" thickBot="1" x14ac:dyDescent="0.3">
      <c r="A2325" s="9"/>
    </row>
    <row r="2326" spans="1:1" ht="15.75" customHeight="1" thickBot="1" x14ac:dyDescent="0.3">
      <c r="A2326" s="9"/>
    </row>
    <row r="2327" spans="1:1" ht="15.75" customHeight="1" thickBot="1" x14ac:dyDescent="0.3">
      <c r="A2327" s="9"/>
    </row>
    <row r="2328" spans="1:1" ht="15.75" customHeight="1" thickBot="1" x14ac:dyDescent="0.3">
      <c r="A2328" s="9"/>
    </row>
    <row r="2329" spans="1:1" ht="15.75" customHeight="1" thickBot="1" x14ac:dyDescent="0.3">
      <c r="A2329" s="9"/>
    </row>
    <row r="2330" spans="1:1" ht="15.75" customHeight="1" thickBot="1" x14ac:dyDescent="0.3">
      <c r="A2330" s="9"/>
    </row>
    <row r="2331" spans="1:1" ht="15.75" customHeight="1" thickBot="1" x14ac:dyDescent="0.3">
      <c r="A2331" s="9"/>
    </row>
    <row r="2332" spans="1:1" ht="15.75" customHeight="1" thickBot="1" x14ac:dyDescent="0.3">
      <c r="A2332" s="9"/>
    </row>
    <row r="2333" spans="1:1" ht="15.75" customHeight="1" thickBot="1" x14ac:dyDescent="0.3">
      <c r="A2333" s="9"/>
    </row>
    <row r="2334" spans="1:1" ht="15.75" customHeight="1" thickBot="1" x14ac:dyDescent="0.3">
      <c r="A2334" s="9"/>
    </row>
    <row r="2335" spans="1:1" ht="15.75" customHeight="1" thickBot="1" x14ac:dyDescent="0.3">
      <c r="A2335" s="9"/>
    </row>
    <row r="2336" spans="1:1" ht="15.75" customHeight="1" thickBot="1" x14ac:dyDescent="0.3">
      <c r="A2336" s="9"/>
    </row>
    <row r="2337" spans="1:1" ht="15.75" customHeight="1" thickBot="1" x14ac:dyDescent="0.3">
      <c r="A2337" s="9"/>
    </row>
    <row r="2338" spans="1:1" ht="15.75" customHeight="1" thickBot="1" x14ac:dyDescent="0.3">
      <c r="A2338" s="9"/>
    </row>
    <row r="2339" spans="1:1" ht="15.75" customHeight="1" thickBot="1" x14ac:dyDescent="0.3">
      <c r="A2339" s="9"/>
    </row>
    <row r="2340" spans="1:1" ht="15.75" customHeight="1" thickBot="1" x14ac:dyDescent="0.3">
      <c r="A2340" s="9"/>
    </row>
    <row r="2341" spans="1:1" ht="15.75" customHeight="1" thickBot="1" x14ac:dyDescent="0.3">
      <c r="A2341" s="9"/>
    </row>
    <row r="2342" spans="1:1" ht="15.75" customHeight="1" thickBot="1" x14ac:dyDescent="0.3">
      <c r="A2342" s="9"/>
    </row>
    <row r="2343" spans="1:1" ht="15.75" customHeight="1" thickBot="1" x14ac:dyDescent="0.3">
      <c r="A2343" s="9"/>
    </row>
    <row r="2344" spans="1:1" ht="15.75" customHeight="1" thickBot="1" x14ac:dyDescent="0.3">
      <c r="A2344" s="9"/>
    </row>
    <row r="2345" spans="1:1" ht="15.75" customHeight="1" thickBot="1" x14ac:dyDescent="0.3">
      <c r="A2345" s="9"/>
    </row>
    <row r="2346" spans="1:1" ht="15.75" customHeight="1" thickBot="1" x14ac:dyDescent="0.3">
      <c r="A2346" s="9"/>
    </row>
    <row r="2347" spans="1:1" ht="15.75" customHeight="1" thickBot="1" x14ac:dyDescent="0.3">
      <c r="A2347" s="9"/>
    </row>
    <row r="2348" spans="1:1" ht="15.75" customHeight="1" thickBot="1" x14ac:dyDescent="0.3">
      <c r="A2348" s="9"/>
    </row>
    <row r="2349" spans="1:1" ht="15.75" customHeight="1" thickBot="1" x14ac:dyDescent="0.3">
      <c r="A2349" s="9"/>
    </row>
    <row r="2350" spans="1:1" ht="15.75" customHeight="1" thickBot="1" x14ac:dyDescent="0.3">
      <c r="A2350" s="9"/>
    </row>
    <row r="2351" spans="1:1" ht="15.75" customHeight="1" thickBot="1" x14ac:dyDescent="0.3">
      <c r="A2351" s="9"/>
    </row>
    <row r="2352" spans="1:1" ht="15.75" customHeight="1" thickBot="1" x14ac:dyDescent="0.3">
      <c r="A2352" s="9"/>
    </row>
    <row r="2353" spans="1:1" ht="15.75" customHeight="1" thickBot="1" x14ac:dyDescent="0.3">
      <c r="A2353" s="9"/>
    </row>
    <row r="2354" spans="1:1" ht="15.75" customHeight="1" thickBot="1" x14ac:dyDescent="0.3">
      <c r="A2354" s="9"/>
    </row>
    <row r="2355" spans="1:1" ht="15.75" customHeight="1" thickBot="1" x14ac:dyDescent="0.3">
      <c r="A2355" s="9"/>
    </row>
    <row r="2356" spans="1:1" ht="15.75" customHeight="1" thickBot="1" x14ac:dyDescent="0.3">
      <c r="A2356" s="9"/>
    </row>
    <row r="2357" spans="1:1" ht="15.75" customHeight="1" thickBot="1" x14ac:dyDescent="0.3">
      <c r="A2357" s="9"/>
    </row>
    <row r="2358" spans="1:1" ht="15.75" customHeight="1" thickBot="1" x14ac:dyDescent="0.3">
      <c r="A2358" s="9"/>
    </row>
    <row r="2359" spans="1:1" ht="15.75" customHeight="1" thickBot="1" x14ac:dyDescent="0.3">
      <c r="A2359" s="9"/>
    </row>
    <row r="2360" spans="1:1" ht="15.75" customHeight="1" thickBot="1" x14ac:dyDescent="0.3">
      <c r="A2360" s="9"/>
    </row>
    <row r="2361" spans="1:1" ht="15.75" customHeight="1" thickBot="1" x14ac:dyDescent="0.3">
      <c r="A2361" s="9"/>
    </row>
    <row r="2362" spans="1:1" ht="15.75" customHeight="1" thickBot="1" x14ac:dyDescent="0.3">
      <c r="A2362" s="9"/>
    </row>
    <row r="2363" spans="1:1" ht="15.75" customHeight="1" thickBot="1" x14ac:dyDescent="0.3">
      <c r="A2363" s="9"/>
    </row>
    <row r="2364" spans="1:1" ht="15.75" customHeight="1" thickBot="1" x14ac:dyDescent="0.3">
      <c r="A2364" s="9"/>
    </row>
    <row r="2365" spans="1:1" ht="15.75" customHeight="1" thickBot="1" x14ac:dyDescent="0.3">
      <c r="A2365" s="9"/>
    </row>
    <row r="2366" spans="1:1" ht="15.75" customHeight="1" thickBot="1" x14ac:dyDescent="0.3">
      <c r="A2366" s="9"/>
    </row>
    <row r="2367" spans="1:1" ht="15.75" customHeight="1" thickBot="1" x14ac:dyDescent="0.3">
      <c r="A2367" s="9"/>
    </row>
    <row r="2368" spans="1:1" ht="15.75" customHeight="1" thickBot="1" x14ac:dyDescent="0.3">
      <c r="A2368" s="9"/>
    </row>
    <row r="2369" spans="1:1" ht="15.75" customHeight="1" thickBot="1" x14ac:dyDescent="0.3">
      <c r="A2369" s="9"/>
    </row>
    <row r="2370" spans="1:1" ht="15.75" customHeight="1" thickBot="1" x14ac:dyDescent="0.3">
      <c r="A2370" s="9"/>
    </row>
    <row r="2371" spans="1:1" ht="15.75" customHeight="1" thickBot="1" x14ac:dyDescent="0.3">
      <c r="A2371" s="9"/>
    </row>
    <row r="2372" spans="1:1" ht="15.75" customHeight="1" thickBot="1" x14ac:dyDescent="0.3">
      <c r="A2372" s="9"/>
    </row>
    <row r="2373" spans="1:1" ht="15.75" customHeight="1" thickBot="1" x14ac:dyDescent="0.3">
      <c r="A2373" s="9"/>
    </row>
    <row r="2374" spans="1:1" ht="15.75" customHeight="1" thickBot="1" x14ac:dyDescent="0.3">
      <c r="A2374" s="9"/>
    </row>
    <row r="2375" spans="1:1" ht="15.75" customHeight="1" thickBot="1" x14ac:dyDescent="0.3">
      <c r="A2375" s="9"/>
    </row>
    <row r="2376" spans="1:1" ht="15.75" customHeight="1" thickBot="1" x14ac:dyDescent="0.3">
      <c r="A2376" s="9"/>
    </row>
    <row r="2377" spans="1:1" ht="15.75" customHeight="1" thickBot="1" x14ac:dyDescent="0.3">
      <c r="A2377" s="9"/>
    </row>
    <row r="2378" spans="1:1" ht="15.75" customHeight="1" thickBot="1" x14ac:dyDescent="0.3">
      <c r="A2378" s="9"/>
    </row>
    <row r="2379" spans="1:1" ht="15.75" customHeight="1" thickBot="1" x14ac:dyDescent="0.3">
      <c r="A2379" s="9"/>
    </row>
    <row r="2380" spans="1:1" ht="15.75" customHeight="1" thickBot="1" x14ac:dyDescent="0.3">
      <c r="A2380" s="9"/>
    </row>
    <row r="2381" spans="1:1" ht="15.75" customHeight="1" thickBot="1" x14ac:dyDescent="0.3">
      <c r="A2381" s="9"/>
    </row>
    <row r="2382" spans="1:1" ht="15.75" customHeight="1" thickBot="1" x14ac:dyDescent="0.3">
      <c r="A2382" s="9"/>
    </row>
    <row r="2383" spans="1:1" ht="15.75" customHeight="1" thickBot="1" x14ac:dyDescent="0.3">
      <c r="A2383" s="9"/>
    </row>
    <row r="2384" spans="1:1" ht="15.75" customHeight="1" thickBot="1" x14ac:dyDescent="0.3">
      <c r="A2384" s="9"/>
    </row>
    <row r="2385" spans="1:1" ht="15.75" customHeight="1" thickBot="1" x14ac:dyDescent="0.3">
      <c r="A2385" s="9"/>
    </row>
    <row r="2386" spans="1:1" ht="15.75" customHeight="1" thickBot="1" x14ac:dyDescent="0.3">
      <c r="A2386" s="9"/>
    </row>
    <row r="2387" spans="1:1" ht="15.75" customHeight="1" thickBot="1" x14ac:dyDescent="0.3">
      <c r="A2387" s="9"/>
    </row>
    <row r="2388" spans="1:1" ht="15.75" customHeight="1" thickBot="1" x14ac:dyDescent="0.3">
      <c r="A2388" s="9"/>
    </row>
    <row r="2389" spans="1:1" ht="15.75" customHeight="1" thickBot="1" x14ac:dyDescent="0.3">
      <c r="A2389" s="9"/>
    </row>
    <row r="2390" spans="1:1" ht="15.75" customHeight="1" thickBot="1" x14ac:dyDescent="0.3">
      <c r="A2390" s="9"/>
    </row>
    <row r="2391" spans="1:1" ht="15.75" customHeight="1" thickBot="1" x14ac:dyDescent="0.3">
      <c r="A2391" s="9"/>
    </row>
    <row r="2392" spans="1:1" ht="15.75" customHeight="1" thickBot="1" x14ac:dyDescent="0.3">
      <c r="A2392" s="9"/>
    </row>
    <row r="2393" spans="1:1" ht="15.75" customHeight="1" thickBot="1" x14ac:dyDescent="0.3">
      <c r="A2393" s="9"/>
    </row>
    <row r="2394" spans="1:1" ht="15.75" customHeight="1" thickBot="1" x14ac:dyDescent="0.3">
      <c r="A2394" s="9"/>
    </row>
    <row r="2395" spans="1:1" ht="15.75" customHeight="1" thickBot="1" x14ac:dyDescent="0.3">
      <c r="A2395" s="9"/>
    </row>
    <row r="2396" spans="1:1" ht="15.75" customHeight="1" thickBot="1" x14ac:dyDescent="0.3">
      <c r="A2396" s="9"/>
    </row>
    <row r="2397" spans="1:1" ht="15.75" customHeight="1" thickBot="1" x14ac:dyDescent="0.3">
      <c r="A2397" s="9"/>
    </row>
    <row r="2398" spans="1:1" ht="15.75" customHeight="1" thickBot="1" x14ac:dyDescent="0.3">
      <c r="A2398" s="9"/>
    </row>
    <row r="2399" spans="1:1" ht="15.75" customHeight="1" thickBot="1" x14ac:dyDescent="0.3">
      <c r="A2399" s="9"/>
    </row>
    <row r="2400" spans="1:1" ht="15.75" customHeight="1" thickBot="1" x14ac:dyDescent="0.3">
      <c r="A2400" s="9"/>
    </row>
    <row r="2401" spans="1:1" ht="15.75" customHeight="1" thickBot="1" x14ac:dyDescent="0.3">
      <c r="A2401" s="9"/>
    </row>
    <row r="2402" spans="1:1" ht="15.75" customHeight="1" thickBot="1" x14ac:dyDescent="0.3">
      <c r="A2402" s="9"/>
    </row>
    <row r="2403" spans="1:1" ht="15.75" customHeight="1" thickBot="1" x14ac:dyDescent="0.3">
      <c r="A2403" s="9"/>
    </row>
    <row r="2404" spans="1:1" ht="15.75" customHeight="1" thickBot="1" x14ac:dyDescent="0.3">
      <c r="A2404" s="9"/>
    </row>
    <row r="2405" spans="1:1" ht="15.75" customHeight="1" thickBot="1" x14ac:dyDescent="0.3">
      <c r="A2405" s="9"/>
    </row>
    <row r="2406" spans="1:1" ht="15.75" customHeight="1" thickBot="1" x14ac:dyDescent="0.3">
      <c r="A2406" s="9"/>
    </row>
    <row r="2407" spans="1:1" ht="15.75" customHeight="1" thickBot="1" x14ac:dyDescent="0.3">
      <c r="A2407" s="9"/>
    </row>
    <row r="2408" spans="1:1" ht="15.75" customHeight="1" thickBot="1" x14ac:dyDescent="0.3">
      <c r="A2408" s="9"/>
    </row>
    <row r="2409" spans="1:1" ht="15.75" customHeight="1" thickBot="1" x14ac:dyDescent="0.3">
      <c r="A2409" s="9"/>
    </row>
    <row r="2410" spans="1:1" ht="15.75" customHeight="1" thickBot="1" x14ac:dyDescent="0.3">
      <c r="A2410" s="9"/>
    </row>
    <row r="2411" spans="1:1" ht="15.75" customHeight="1" thickBot="1" x14ac:dyDescent="0.3">
      <c r="A2411" s="9"/>
    </row>
    <row r="2412" spans="1:1" ht="15.75" customHeight="1" thickBot="1" x14ac:dyDescent="0.3">
      <c r="A2412" s="9"/>
    </row>
    <row r="2413" spans="1:1" ht="15.75" customHeight="1" thickBot="1" x14ac:dyDescent="0.3">
      <c r="A2413" s="9"/>
    </row>
    <row r="2414" spans="1:1" ht="15.75" customHeight="1" thickBot="1" x14ac:dyDescent="0.3">
      <c r="A2414" s="9"/>
    </row>
    <row r="2415" spans="1:1" ht="15.75" customHeight="1" thickBot="1" x14ac:dyDescent="0.3">
      <c r="A2415" s="9"/>
    </row>
    <row r="2416" spans="1:1" ht="15.75" customHeight="1" thickBot="1" x14ac:dyDescent="0.3">
      <c r="A2416" s="9"/>
    </row>
    <row r="2417" spans="1:1" ht="15.75" customHeight="1" thickBot="1" x14ac:dyDescent="0.3">
      <c r="A2417" s="9"/>
    </row>
    <row r="2418" spans="1:1" ht="15.75" customHeight="1" thickBot="1" x14ac:dyDescent="0.3">
      <c r="A2418" s="9"/>
    </row>
    <row r="2419" spans="1:1" ht="15.75" customHeight="1" thickBot="1" x14ac:dyDescent="0.3">
      <c r="A2419" s="9"/>
    </row>
    <row r="2420" spans="1:1" ht="15.75" customHeight="1" thickBot="1" x14ac:dyDescent="0.3">
      <c r="A2420" s="9"/>
    </row>
    <row r="2421" spans="1:1" ht="15.75" customHeight="1" thickBot="1" x14ac:dyDescent="0.3">
      <c r="A2421" s="9"/>
    </row>
    <row r="2422" spans="1:1" ht="15.75" customHeight="1" thickBot="1" x14ac:dyDescent="0.3">
      <c r="A2422" s="9"/>
    </row>
    <row r="2423" spans="1:1" ht="15.75" customHeight="1" thickBot="1" x14ac:dyDescent="0.3">
      <c r="A2423" s="9"/>
    </row>
    <row r="2424" spans="1:1" ht="15.75" customHeight="1" thickBot="1" x14ac:dyDescent="0.3">
      <c r="A2424" s="9"/>
    </row>
    <row r="2425" spans="1:1" ht="15.75" customHeight="1" thickBot="1" x14ac:dyDescent="0.3">
      <c r="A2425" s="9"/>
    </row>
    <row r="2426" spans="1:1" ht="15.75" customHeight="1" thickBot="1" x14ac:dyDescent="0.3">
      <c r="A2426" s="9"/>
    </row>
    <row r="2427" spans="1:1" ht="15.75" customHeight="1" thickBot="1" x14ac:dyDescent="0.3">
      <c r="A2427" s="9"/>
    </row>
    <row r="2428" spans="1:1" ht="15.75" customHeight="1" thickBot="1" x14ac:dyDescent="0.3">
      <c r="A2428" s="9"/>
    </row>
    <row r="2429" spans="1:1" ht="15.75" customHeight="1" thickBot="1" x14ac:dyDescent="0.3">
      <c r="A2429" s="9"/>
    </row>
    <row r="2430" spans="1:1" ht="15.75" customHeight="1" thickBot="1" x14ac:dyDescent="0.3">
      <c r="A2430" s="9"/>
    </row>
    <row r="2431" spans="1:1" ht="15.75" customHeight="1" thickBot="1" x14ac:dyDescent="0.3">
      <c r="A2431" s="9"/>
    </row>
    <row r="2432" spans="1:1" ht="15.75" customHeight="1" thickBot="1" x14ac:dyDescent="0.3">
      <c r="A2432" s="9"/>
    </row>
    <row r="2433" spans="1:1" ht="15.75" customHeight="1" thickBot="1" x14ac:dyDescent="0.3">
      <c r="A2433" s="9"/>
    </row>
    <row r="2434" spans="1:1" ht="15.75" customHeight="1" thickBot="1" x14ac:dyDescent="0.3">
      <c r="A2434" s="9"/>
    </row>
    <row r="2435" spans="1:1" ht="15.75" customHeight="1" thickBot="1" x14ac:dyDescent="0.3">
      <c r="A2435" s="9"/>
    </row>
    <row r="2436" spans="1:1" ht="15.75" customHeight="1" thickBot="1" x14ac:dyDescent="0.3">
      <c r="A2436" s="9"/>
    </row>
    <row r="2437" spans="1:1" ht="15.75" customHeight="1" thickBot="1" x14ac:dyDescent="0.3">
      <c r="A2437" s="9"/>
    </row>
    <row r="2438" spans="1:1" ht="15.75" customHeight="1" thickBot="1" x14ac:dyDescent="0.3">
      <c r="A2438" s="9"/>
    </row>
    <row r="2439" spans="1:1" ht="15.75" customHeight="1" thickBot="1" x14ac:dyDescent="0.3">
      <c r="A2439" s="9"/>
    </row>
    <row r="2440" spans="1:1" ht="15.75" customHeight="1" thickBot="1" x14ac:dyDescent="0.3">
      <c r="A2440" s="9"/>
    </row>
    <row r="2441" spans="1:1" ht="15.75" customHeight="1" thickBot="1" x14ac:dyDescent="0.3">
      <c r="A2441" s="9"/>
    </row>
    <row r="2442" spans="1:1" ht="15.75" customHeight="1" thickBot="1" x14ac:dyDescent="0.3">
      <c r="A2442" s="9"/>
    </row>
    <row r="2443" spans="1:1" ht="15.75" customHeight="1" thickBot="1" x14ac:dyDescent="0.3">
      <c r="A2443" s="9"/>
    </row>
    <row r="2444" spans="1:1" ht="15.75" customHeight="1" thickBot="1" x14ac:dyDescent="0.3">
      <c r="A2444" s="9"/>
    </row>
    <row r="2445" spans="1:1" ht="15.75" customHeight="1" thickBot="1" x14ac:dyDescent="0.3">
      <c r="A2445" s="9"/>
    </row>
    <row r="2446" spans="1:1" ht="15.75" customHeight="1" thickBot="1" x14ac:dyDescent="0.3">
      <c r="A2446" s="9"/>
    </row>
    <row r="2447" spans="1:1" ht="15.75" customHeight="1" thickBot="1" x14ac:dyDescent="0.3">
      <c r="A2447" s="9"/>
    </row>
    <row r="2448" spans="1:1" ht="15.75" customHeight="1" thickBot="1" x14ac:dyDescent="0.3">
      <c r="A2448" s="9"/>
    </row>
    <row r="2449" spans="1:1" ht="15.75" customHeight="1" thickBot="1" x14ac:dyDescent="0.3">
      <c r="A2449" s="9"/>
    </row>
    <row r="2450" spans="1:1" ht="15.75" customHeight="1" thickBot="1" x14ac:dyDescent="0.3">
      <c r="A2450" s="9"/>
    </row>
    <row r="2451" spans="1:1" ht="15.75" customHeight="1" thickBot="1" x14ac:dyDescent="0.3">
      <c r="A2451" s="9"/>
    </row>
    <row r="2452" spans="1:1" ht="15.75" customHeight="1" thickBot="1" x14ac:dyDescent="0.3">
      <c r="A2452" s="9"/>
    </row>
    <row r="2453" spans="1:1" ht="15.75" customHeight="1" thickBot="1" x14ac:dyDescent="0.3">
      <c r="A2453" s="9"/>
    </row>
    <row r="2454" spans="1:1" ht="15.75" customHeight="1" thickBot="1" x14ac:dyDescent="0.3">
      <c r="A2454" s="9"/>
    </row>
    <row r="2455" spans="1:1" ht="15.75" customHeight="1" thickBot="1" x14ac:dyDescent="0.3">
      <c r="A2455" s="9"/>
    </row>
    <row r="2456" spans="1:1" ht="15.75" customHeight="1" thickBot="1" x14ac:dyDescent="0.3">
      <c r="A2456" s="9"/>
    </row>
    <row r="2457" spans="1:1" ht="15.75" customHeight="1" thickBot="1" x14ac:dyDescent="0.3">
      <c r="A2457" s="9"/>
    </row>
    <row r="2458" spans="1:1" ht="15.75" customHeight="1" thickBot="1" x14ac:dyDescent="0.3">
      <c r="A2458" s="9"/>
    </row>
    <row r="2459" spans="1:1" ht="15.75" customHeight="1" thickBot="1" x14ac:dyDescent="0.3">
      <c r="A2459" s="9"/>
    </row>
    <row r="2460" spans="1:1" ht="15.75" customHeight="1" thickBot="1" x14ac:dyDescent="0.3">
      <c r="A2460" s="9"/>
    </row>
    <row r="2461" spans="1:1" ht="15.75" customHeight="1" thickBot="1" x14ac:dyDescent="0.3">
      <c r="A2461" s="9"/>
    </row>
    <row r="2462" spans="1:1" ht="15.75" customHeight="1" thickBot="1" x14ac:dyDescent="0.3">
      <c r="A2462" s="9"/>
    </row>
    <row r="2463" spans="1:1" ht="15.75" customHeight="1" thickBot="1" x14ac:dyDescent="0.3">
      <c r="A2463" s="9"/>
    </row>
    <row r="2464" spans="1:1" ht="15.75" customHeight="1" thickBot="1" x14ac:dyDescent="0.3">
      <c r="A2464" s="9"/>
    </row>
    <row r="2465" spans="1:1" ht="15.75" customHeight="1" thickBot="1" x14ac:dyDescent="0.3">
      <c r="A2465" s="9"/>
    </row>
    <row r="2466" spans="1:1" ht="15.75" customHeight="1" thickBot="1" x14ac:dyDescent="0.3">
      <c r="A2466" s="9"/>
    </row>
    <row r="2467" spans="1:1" ht="15.75" customHeight="1" thickBot="1" x14ac:dyDescent="0.3">
      <c r="A2467" s="9"/>
    </row>
    <row r="2468" spans="1:1" ht="15.75" customHeight="1" thickBot="1" x14ac:dyDescent="0.3">
      <c r="A2468" s="9"/>
    </row>
    <row r="2469" spans="1:1" ht="15.75" customHeight="1" thickBot="1" x14ac:dyDescent="0.3">
      <c r="A2469" s="9"/>
    </row>
    <row r="2470" spans="1:1" ht="15.75" customHeight="1" thickBot="1" x14ac:dyDescent="0.3">
      <c r="A2470" s="9"/>
    </row>
    <row r="2471" spans="1:1" ht="15.75" customHeight="1" thickBot="1" x14ac:dyDescent="0.3">
      <c r="A2471" s="9"/>
    </row>
    <row r="2472" spans="1:1" ht="15.75" customHeight="1" thickBot="1" x14ac:dyDescent="0.3">
      <c r="A2472" s="9"/>
    </row>
    <row r="2473" spans="1:1" ht="15.75" customHeight="1" thickBot="1" x14ac:dyDescent="0.3">
      <c r="A2473" s="9"/>
    </row>
    <row r="2474" spans="1:1" ht="15.75" customHeight="1" thickBot="1" x14ac:dyDescent="0.3">
      <c r="A2474" s="9"/>
    </row>
    <row r="2475" spans="1:1" ht="15.75" customHeight="1" thickBot="1" x14ac:dyDescent="0.3">
      <c r="A2475" s="9"/>
    </row>
    <row r="2476" spans="1:1" ht="15.75" customHeight="1" thickBot="1" x14ac:dyDescent="0.3">
      <c r="A2476" s="9"/>
    </row>
    <row r="2477" spans="1:1" ht="15.75" customHeight="1" thickBot="1" x14ac:dyDescent="0.3">
      <c r="A2477" s="9"/>
    </row>
    <row r="2478" spans="1:1" ht="15.75" customHeight="1" thickBot="1" x14ac:dyDescent="0.3">
      <c r="A2478" s="9"/>
    </row>
    <row r="2479" spans="1:1" ht="15.75" customHeight="1" thickBot="1" x14ac:dyDescent="0.3">
      <c r="A2479" s="9"/>
    </row>
    <row r="2480" spans="1:1" ht="15.75" customHeight="1" thickBot="1" x14ac:dyDescent="0.3">
      <c r="A2480" s="9"/>
    </row>
    <row r="2481" spans="1:1" ht="15.75" customHeight="1" thickBot="1" x14ac:dyDescent="0.3">
      <c r="A2481" s="9"/>
    </row>
    <row r="2482" spans="1:1" ht="15.75" customHeight="1" thickBot="1" x14ac:dyDescent="0.3">
      <c r="A2482" s="9"/>
    </row>
    <row r="2483" spans="1:1" ht="15.75" customHeight="1" thickBot="1" x14ac:dyDescent="0.3">
      <c r="A2483" s="9"/>
    </row>
    <row r="2484" spans="1:1" ht="15.75" customHeight="1" thickBot="1" x14ac:dyDescent="0.3">
      <c r="A2484" s="9"/>
    </row>
    <row r="2485" spans="1:1" ht="15.75" customHeight="1" thickBot="1" x14ac:dyDescent="0.3">
      <c r="A2485" s="9"/>
    </row>
    <row r="2486" spans="1:1" ht="15.75" customHeight="1" thickBot="1" x14ac:dyDescent="0.3">
      <c r="A2486" s="9"/>
    </row>
    <row r="2487" spans="1:1" ht="15.75" customHeight="1" thickBot="1" x14ac:dyDescent="0.3">
      <c r="A2487" s="9"/>
    </row>
    <row r="2488" spans="1:1" ht="15.75" customHeight="1" thickBot="1" x14ac:dyDescent="0.3">
      <c r="A2488" s="9"/>
    </row>
    <row r="2489" spans="1:1" ht="15.75" customHeight="1" thickBot="1" x14ac:dyDescent="0.3">
      <c r="A2489" s="9"/>
    </row>
    <row r="2490" spans="1:1" ht="15.75" customHeight="1" thickBot="1" x14ac:dyDescent="0.3">
      <c r="A2490" s="9"/>
    </row>
    <row r="2491" spans="1:1" ht="15.75" customHeight="1" thickBot="1" x14ac:dyDescent="0.3">
      <c r="A2491" s="9"/>
    </row>
    <row r="2492" spans="1:1" ht="15.75" customHeight="1" thickBot="1" x14ac:dyDescent="0.3">
      <c r="A2492" s="9"/>
    </row>
    <row r="2493" spans="1:1" ht="15.75" customHeight="1" thickBot="1" x14ac:dyDescent="0.3">
      <c r="A2493" s="9"/>
    </row>
    <row r="2494" spans="1:1" ht="15.75" customHeight="1" thickBot="1" x14ac:dyDescent="0.3">
      <c r="A2494" s="9"/>
    </row>
    <row r="2495" spans="1:1" ht="15.75" customHeight="1" thickBot="1" x14ac:dyDescent="0.3">
      <c r="A2495" s="9"/>
    </row>
    <row r="2496" spans="1:1" ht="15.75" customHeight="1" thickBot="1" x14ac:dyDescent="0.3">
      <c r="A2496" s="9"/>
    </row>
    <row r="2497" spans="1:1" ht="15.75" customHeight="1" thickBot="1" x14ac:dyDescent="0.3">
      <c r="A2497" s="9"/>
    </row>
    <row r="2498" spans="1:1" ht="15.75" customHeight="1" thickBot="1" x14ac:dyDescent="0.3">
      <c r="A2498" s="9"/>
    </row>
    <row r="2499" spans="1:1" ht="15.75" customHeight="1" thickBot="1" x14ac:dyDescent="0.3">
      <c r="A2499" s="9"/>
    </row>
    <row r="2500" spans="1:1" ht="15.75" customHeight="1" thickBot="1" x14ac:dyDescent="0.3">
      <c r="A2500" s="9"/>
    </row>
    <row r="2501" spans="1:1" ht="15.75" customHeight="1" thickBot="1" x14ac:dyDescent="0.3">
      <c r="A2501" s="9"/>
    </row>
    <row r="2502" spans="1:1" ht="15.75" customHeight="1" thickBot="1" x14ac:dyDescent="0.3">
      <c r="A2502" s="9"/>
    </row>
    <row r="2503" spans="1:1" ht="15.75" customHeight="1" thickBot="1" x14ac:dyDescent="0.3">
      <c r="A2503" s="9"/>
    </row>
    <row r="2504" spans="1:1" ht="15.75" customHeight="1" thickBot="1" x14ac:dyDescent="0.3">
      <c r="A2504" s="9"/>
    </row>
    <row r="2505" spans="1:1" ht="15.75" customHeight="1" thickBot="1" x14ac:dyDescent="0.3">
      <c r="A2505" s="9"/>
    </row>
    <row r="2506" spans="1:1" ht="15.75" customHeight="1" thickBot="1" x14ac:dyDescent="0.3">
      <c r="A2506" s="9"/>
    </row>
    <row r="2507" spans="1:1" ht="15.75" customHeight="1" thickBot="1" x14ac:dyDescent="0.3">
      <c r="A2507" s="9"/>
    </row>
    <row r="2508" spans="1:1" ht="15.75" customHeight="1" thickBot="1" x14ac:dyDescent="0.3">
      <c r="A2508" s="9"/>
    </row>
    <row r="2509" spans="1:1" ht="15.75" customHeight="1" thickBot="1" x14ac:dyDescent="0.3">
      <c r="A2509" s="9"/>
    </row>
    <row r="2510" spans="1:1" ht="15.75" customHeight="1" thickBot="1" x14ac:dyDescent="0.3">
      <c r="A2510" s="9"/>
    </row>
    <row r="2511" spans="1:1" ht="15.75" customHeight="1" thickBot="1" x14ac:dyDescent="0.3">
      <c r="A2511" s="9"/>
    </row>
    <row r="2512" spans="1:1" ht="15.75" customHeight="1" thickBot="1" x14ac:dyDescent="0.3">
      <c r="A2512" s="9"/>
    </row>
    <row r="2513" spans="1:1" ht="15.75" customHeight="1" thickBot="1" x14ac:dyDescent="0.3">
      <c r="A2513" s="9"/>
    </row>
    <row r="2514" spans="1:1" ht="15.75" customHeight="1" thickBot="1" x14ac:dyDescent="0.3">
      <c r="A2514" s="9"/>
    </row>
    <row r="2515" spans="1:1" ht="15.75" customHeight="1" thickBot="1" x14ac:dyDescent="0.3">
      <c r="A2515" s="9"/>
    </row>
    <row r="2516" spans="1:1" ht="15.75" customHeight="1" thickBot="1" x14ac:dyDescent="0.3">
      <c r="A2516" s="9"/>
    </row>
    <row r="2517" spans="1:1" ht="15.75" customHeight="1" thickBot="1" x14ac:dyDescent="0.3">
      <c r="A2517" s="9"/>
    </row>
    <row r="2518" spans="1:1" ht="15.75" customHeight="1" thickBot="1" x14ac:dyDescent="0.3">
      <c r="A2518" s="9"/>
    </row>
    <row r="2519" spans="1:1" ht="15.75" customHeight="1" thickBot="1" x14ac:dyDescent="0.3">
      <c r="A2519" s="9"/>
    </row>
    <row r="2520" spans="1:1" ht="15.75" customHeight="1" thickBot="1" x14ac:dyDescent="0.3">
      <c r="A2520" s="9"/>
    </row>
    <row r="2521" spans="1:1" ht="15.75" customHeight="1" thickBot="1" x14ac:dyDescent="0.3">
      <c r="A2521" s="9"/>
    </row>
    <row r="2522" spans="1:1" ht="15.75" customHeight="1" thickBot="1" x14ac:dyDescent="0.3">
      <c r="A2522" s="9"/>
    </row>
    <row r="2523" spans="1:1" ht="15.75" customHeight="1" thickBot="1" x14ac:dyDescent="0.3">
      <c r="A2523" s="9"/>
    </row>
    <row r="2524" spans="1:1" ht="15.75" customHeight="1" thickBot="1" x14ac:dyDescent="0.3">
      <c r="A2524" s="9"/>
    </row>
    <row r="2525" spans="1:1" ht="15.75" customHeight="1" thickBot="1" x14ac:dyDescent="0.3">
      <c r="A2525" s="9"/>
    </row>
    <row r="2526" spans="1:1" ht="15.75" customHeight="1" thickBot="1" x14ac:dyDescent="0.3">
      <c r="A2526" s="9"/>
    </row>
    <row r="2527" spans="1:1" ht="15.75" customHeight="1" thickBot="1" x14ac:dyDescent="0.3">
      <c r="A2527" s="9"/>
    </row>
    <row r="2528" spans="1:1" ht="15.75" customHeight="1" thickBot="1" x14ac:dyDescent="0.3">
      <c r="A2528" s="9"/>
    </row>
    <row r="2529" spans="1:1" ht="15.75" customHeight="1" thickBot="1" x14ac:dyDescent="0.3">
      <c r="A2529" s="9"/>
    </row>
    <row r="2530" spans="1:1" ht="15.75" customHeight="1" thickBot="1" x14ac:dyDescent="0.3">
      <c r="A2530" s="9"/>
    </row>
    <row r="2531" spans="1:1" ht="15.75" customHeight="1" thickBot="1" x14ac:dyDescent="0.3">
      <c r="A2531" s="9"/>
    </row>
    <row r="2532" spans="1:1" ht="15.75" customHeight="1" thickBot="1" x14ac:dyDescent="0.3">
      <c r="A2532" s="9"/>
    </row>
    <row r="2533" spans="1:1" ht="15.75" customHeight="1" thickBot="1" x14ac:dyDescent="0.3">
      <c r="A2533" s="9"/>
    </row>
    <row r="2534" spans="1:1" ht="15.75" customHeight="1" thickBot="1" x14ac:dyDescent="0.3">
      <c r="A2534" s="9"/>
    </row>
    <row r="2535" spans="1:1" ht="15.75" customHeight="1" thickBot="1" x14ac:dyDescent="0.3">
      <c r="A2535" s="9"/>
    </row>
    <row r="2536" spans="1:1" ht="15.75" customHeight="1" thickBot="1" x14ac:dyDescent="0.3">
      <c r="A2536" s="9"/>
    </row>
    <row r="2537" spans="1:1" ht="15.75" customHeight="1" thickBot="1" x14ac:dyDescent="0.3">
      <c r="A2537" s="9"/>
    </row>
    <row r="2538" spans="1:1" ht="15.75" customHeight="1" thickBot="1" x14ac:dyDescent="0.3">
      <c r="A2538" s="9"/>
    </row>
    <row r="2539" spans="1:1" ht="15.75" customHeight="1" thickBot="1" x14ac:dyDescent="0.3">
      <c r="A2539" s="9"/>
    </row>
    <row r="2540" spans="1:1" ht="15.75" customHeight="1" thickBot="1" x14ac:dyDescent="0.3">
      <c r="A2540" s="9"/>
    </row>
    <row r="2541" spans="1:1" ht="15.75" customHeight="1" thickBot="1" x14ac:dyDescent="0.3">
      <c r="A2541" s="9"/>
    </row>
    <row r="2542" spans="1:1" ht="15.75" customHeight="1" thickBot="1" x14ac:dyDescent="0.3">
      <c r="A2542" s="9"/>
    </row>
    <row r="2543" spans="1:1" ht="15.75" customHeight="1" thickBot="1" x14ac:dyDescent="0.3">
      <c r="A2543" s="9"/>
    </row>
    <row r="2544" spans="1:1" ht="15.75" customHeight="1" thickBot="1" x14ac:dyDescent="0.3">
      <c r="A2544" s="9"/>
    </row>
    <row r="2545" spans="1:1" ht="15.75" customHeight="1" thickBot="1" x14ac:dyDescent="0.3">
      <c r="A2545" s="9"/>
    </row>
    <row r="2546" spans="1:1" ht="15.75" customHeight="1" thickBot="1" x14ac:dyDescent="0.3">
      <c r="A2546" s="9"/>
    </row>
    <row r="2547" spans="1:1" ht="15.75" customHeight="1" thickBot="1" x14ac:dyDescent="0.3">
      <c r="A2547" s="9"/>
    </row>
    <row r="2548" spans="1:1" ht="15.75" customHeight="1" thickBot="1" x14ac:dyDescent="0.3">
      <c r="A2548" s="9"/>
    </row>
    <row r="2549" spans="1:1" ht="15.75" customHeight="1" thickBot="1" x14ac:dyDescent="0.3">
      <c r="A2549" s="9"/>
    </row>
    <row r="2550" spans="1:1" ht="15.75" customHeight="1" thickBot="1" x14ac:dyDescent="0.3">
      <c r="A2550" s="9"/>
    </row>
    <row r="2551" spans="1:1" ht="15.75" customHeight="1" thickBot="1" x14ac:dyDescent="0.3">
      <c r="A2551" s="9"/>
    </row>
    <row r="2552" spans="1:1" ht="15.75" customHeight="1" thickBot="1" x14ac:dyDescent="0.3">
      <c r="A2552" s="9"/>
    </row>
    <row r="2553" spans="1:1" ht="15.75" customHeight="1" thickBot="1" x14ac:dyDescent="0.3">
      <c r="A2553" s="9"/>
    </row>
    <row r="2554" spans="1:1" ht="15.75" customHeight="1" thickBot="1" x14ac:dyDescent="0.3">
      <c r="A2554" s="9"/>
    </row>
    <row r="2555" spans="1:1" ht="15.75" customHeight="1" thickBot="1" x14ac:dyDescent="0.3">
      <c r="A2555" s="9"/>
    </row>
    <row r="2556" spans="1:1" ht="15.75" customHeight="1" thickBot="1" x14ac:dyDescent="0.3">
      <c r="A2556" s="9"/>
    </row>
    <row r="2557" spans="1:1" ht="15.75" customHeight="1" thickBot="1" x14ac:dyDescent="0.3">
      <c r="A2557" s="9"/>
    </row>
    <row r="2558" spans="1:1" ht="15.75" customHeight="1" thickBot="1" x14ac:dyDescent="0.3">
      <c r="A2558" s="9"/>
    </row>
    <row r="2559" spans="1:1" ht="15.75" customHeight="1" thickBot="1" x14ac:dyDescent="0.3">
      <c r="A2559" s="9"/>
    </row>
    <row r="2560" spans="1:1" ht="15.75" customHeight="1" thickBot="1" x14ac:dyDescent="0.3">
      <c r="A2560" s="9"/>
    </row>
    <row r="2561" spans="1:1" ht="15.75" customHeight="1" thickBot="1" x14ac:dyDescent="0.3">
      <c r="A2561" s="9"/>
    </row>
    <row r="2562" spans="1:1" ht="15.75" customHeight="1" thickBot="1" x14ac:dyDescent="0.3">
      <c r="A2562" s="9"/>
    </row>
    <row r="2563" spans="1:1" ht="15.75" customHeight="1" thickBot="1" x14ac:dyDescent="0.3">
      <c r="A2563" s="9"/>
    </row>
    <row r="2564" spans="1:1" ht="15.75" customHeight="1" thickBot="1" x14ac:dyDescent="0.3">
      <c r="A2564" s="9"/>
    </row>
    <row r="2565" spans="1:1" ht="15.75" customHeight="1" thickBot="1" x14ac:dyDescent="0.3">
      <c r="A2565" s="9"/>
    </row>
    <row r="2566" spans="1:1" ht="15.75" customHeight="1" thickBot="1" x14ac:dyDescent="0.3">
      <c r="A2566" s="9"/>
    </row>
    <row r="2567" spans="1:1" ht="15.75" customHeight="1" thickBot="1" x14ac:dyDescent="0.3">
      <c r="A2567" s="9"/>
    </row>
    <row r="2568" spans="1:1" ht="15.75" customHeight="1" thickBot="1" x14ac:dyDescent="0.3">
      <c r="A2568" s="9"/>
    </row>
    <row r="2569" spans="1:1" ht="15.75" customHeight="1" thickBot="1" x14ac:dyDescent="0.3">
      <c r="A2569" s="9"/>
    </row>
    <row r="2570" spans="1:1" ht="15.75" customHeight="1" thickBot="1" x14ac:dyDescent="0.3">
      <c r="A2570" s="9"/>
    </row>
    <row r="2571" spans="1:1" ht="15.75" customHeight="1" thickBot="1" x14ac:dyDescent="0.3">
      <c r="A2571" s="9"/>
    </row>
    <row r="2572" spans="1:1" ht="15.75" customHeight="1" thickBot="1" x14ac:dyDescent="0.3">
      <c r="A2572" s="9"/>
    </row>
    <row r="2573" spans="1:1" ht="15.75" customHeight="1" thickBot="1" x14ac:dyDescent="0.3">
      <c r="A2573" s="9"/>
    </row>
    <row r="2574" spans="1:1" ht="15.75" customHeight="1" thickBot="1" x14ac:dyDescent="0.3">
      <c r="A2574" s="9"/>
    </row>
    <row r="2575" spans="1:1" ht="15.75" customHeight="1" thickBot="1" x14ac:dyDescent="0.3">
      <c r="A2575" s="9"/>
    </row>
    <row r="2576" spans="1:1" ht="15.75" customHeight="1" thickBot="1" x14ac:dyDescent="0.3">
      <c r="A2576" s="9"/>
    </row>
    <row r="2577" spans="1:1" ht="15.75" customHeight="1" thickBot="1" x14ac:dyDescent="0.3">
      <c r="A2577" s="9"/>
    </row>
    <row r="2578" spans="1:1" ht="15.75" customHeight="1" thickBot="1" x14ac:dyDescent="0.3">
      <c r="A2578" s="9"/>
    </row>
    <row r="2579" spans="1:1" ht="15.75" customHeight="1" thickBot="1" x14ac:dyDescent="0.3">
      <c r="A2579" s="9"/>
    </row>
    <row r="2580" spans="1:1" ht="15.75" customHeight="1" thickBot="1" x14ac:dyDescent="0.3">
      <c r="A2580" s="9"/>
    </row>
    <row r="2581" spans="1:1" ht="15.75" customHeight="1" thickBot="1" x14ac:dyDescent="0.3">
      <c r="A2581" s="9"/>
    </row>
    <row r="2582" spans="1:1" ht="15.75" customHeight="1" thickBot="1" x14ac:dyDescent="0.3">
      <c r="A2582" s="9"/>
    </row>
    <row r="2583" spans="1:1" ht="15.75" customHeight="1" thickBot="1" x14ac:dyDescent="0.3">
      <c r="A2583" s="9"/>
    </row>
    <row r="2584" spans="1:1" ht="15.75" customHeight="1" thickBot="1" x14ac:dyDescent="0.3">
      <c r="A2584" s="9"/>
    </row>
    <row r="2585" spans="1:1" ht="15.75" customHeight="1" thickBot="1" x14ac:dyDescent="0.3">
      <c r="A2585" s="9"/>
    </row>
    <row r="2586" spans="1:1" ht="15.75" customHeight="1" thickBot="1" x14ac:dyDescent="0.3">
      <c r="A2586" s="9"/>
    </row>
    <row r="2587" spans="1:1" ht="15.75" customHeight="1" thickBot="1" x14ac:dyDescent="0.3">
      <c r="A2587" s="9"/>
    </row>
    <row r="2588" spans="1:1" ht="15.75" customHeight="1" thickBot="1" x14ac:dyDescent="0.3">
      <c r="A2588" s="9"/>
    </row>
    <row r="2589" spans="1:1" ht="15.75" customHeight="1" thickBot="1" x14ac:dyDescent="0.3">
      <c r="A2589" s="9"/>
    </row>
    <row r="2590" spans="1:1" ht="15.75" customHeight="1" thickBot="1" x14ac:dyDescent="0.3">
      <c r="A2590" s="9"/>
    </row>
    <row r="2591" spans="1:1" ht="15.75" customHeight="1" thickBot="1" x14ac:dyDescent="0.3">
      <c r="A2591" s="9"/>
    </row>
    <row r="2592" spans="1:1" ht="15.75" customHeight="1" thickBot="1" x14ac:dyDescent="0.3">
      <c r="A2592" s="9"/>
    </row>
    <row r="2593" spans="1:1" ht="15.75" customHeight="1" thickBot="1" x14ac:dyDescent="0.3">
      <c r="A2593" s="9"/>
    </row>
    <row r="2594" spans="1:1" ht="15.75" customHeight="1" thickBot="1" x14ac:dyDescent="0.3">
      <c r="A2594" s="9"/>
    </row>
    <row r="2595" spans="1:1" ht="15.75" customHeight="1" thickBot="1" x14ac:dyDescent="0.3">
      <c r="A2595" s="9"/>
    </row>
    <row r="2596" spans="1:1" ht="15.75" customHeight="1" thickBot="1" x14ac:dyDescent="0.3">
      <c r="A2596" s="9"/>
    </row>
    <row r="2597" spans="1:1" ht="15.75" customHeight="1" thickBot="1" x14ac:dyDescent="0.3">
      <c r="A2597" s="9"/>
    </row>
    <row r="2598" spans="1:1" ht="15.75" customHeight="1" thickBot="1" x14ac:dyDescent="0.3">
      <c r="A2598" s="9"/>
    </row>
    <row r="2599" spans="1:1" ht="15.75" customHeight="1" thickBot="1" x14ac:dyDescent="0.3">
      <c r="A2599" s="9"/>
    </row>
    <row r="2600" spans="1:1" ht="15.75" customHeight="1" thickBot="1" x14ac:dyDescent="0.3">
      <c r="A2600" s="9"/>
    </row>
    <row r="2601" spans="1:1" ht="15.75" customHeight="1" thickBot="1" x14ac:dyDescent="0.3">
      <c r="A2601" s="9"/>
    </row>
    <row r="2602" spans="1:1" ht="15.75" customHeight="1" thickBot="1" x14ac:dyDescent="0.3">
      <c r="A2602" s="9"/>
    </row>
    <row r="2603" spans="1:1" ht="15.75" customHeight="1" thickBot="1" x14ac:dyDescent="0.3">
      <c r="A2603" s="9"/>
    </row>
    <row r="2604" spans="1:1" ht="15.75" customHeight="1" thickBot="1" x14ac:dyDescent="0.3">
      <c r="A2604" s="9"/>
    </row>
    <row r="2605" spans="1:1" ht="15.75" customHeight="1" thickBot="1" x14ac:dyDescent="0.3">
      <c r="A2605" s="9"/>
    </row>
    <row r="2606" spans="1:1" ht="15.75" customHeight="1" thickBot="1" x14ac:dyDescent="0.3">
      <c r="A2606" s="9"/>
    </row>
    <row r="2607" spans="1:1" ht="15.75" customHeight="1" thickBot="1" x14ac:dyDescent="0.3">
      <c r="A2607" s="9"/>
    </row>
    <row r="2608" spans="1:1" ht="15.75" customHeight="1" thickBot="1" x14ac:dyDescent="0.3">
      <c r="A2608" s="9"/>
    </row>
    <row r="2609" spans="1:1" ht="15.75" customHeight="1" thickBot="1" x14ac:dyDescent="0.3">
      <c r="A2609" s="9"/>
    </row>
    <row r="2610" spans="1:1" ht="15.75" customHeight="1" thickBot="1" x14ac:dyDescent="0.3">
      <c r="A2610" s="9"/>
    </row>
    <row r="2611" spans="1:1" ht="15.75" customHeight="1" thickBot="1" x14ac:dyDescent="0.3">
      <c r="A2611" s="9"/>
    </row>
    <row r="2612" spans="1:1" ht="15.75" customHeight="1" thickBot="1" x14ac:dyDescent="0.3">
      <c r="A2612" s="9"/>
    </row>
    <row r="2613" spans="1:1" ht="15.75" customHeight="1" thickBot="1" x14ac:dyDescent="0.3">
      <c r="A2613" s="9"/>
    </row>
    <row r="2614" spans="1:1" ht="15.75" customHeight="1" thickBot="1" x14ac:dyDescent="0.3">
      <c r="A2614" s="9"/>
    </row>
    <row r="2615" spans="1:1" ht="15.75" customHeight="1" thickBot="1" x14ac:dyDescent="0.3">
      <c r="A2615" s="9"/>
    </row>
    <row r="2616" spans="1:1" ht="15.75" customHeight="1" thickBot="1" x14ac:dyDescent="0.3">
      <c r="A2616" s="9"/>
    </row>
    <row r="2617" spans="1:1" ht="15.75" customHeight="1" thickBot="1" x14ac:dyDescent="0.3">
      <c r="A2617" s="9"/>
    </row>
    <row r="2618" spans="1:1" ht="15.75" customHeight="1" thickBot="1" x14ac:dyDescent="0.3">
      <c r="A2618" s="9"/>
    </row>
    <row r="2619" spans="1:1" ht="15.75" customHeight="1" thickBot="1" x14ac:dyDescent="0.3">
      <c r="A2619" s="9"/>
    </row>
    <row r="2620" spans="1:1" ht="15.75" customHeight="1" thickBot="1" x14ac:dyDescent="0.3">
      <c r="A2620" s="9"/>
    </row>
    <row r="2621" spans="1:1" ht="15.75" customHeight="1" thickBot="1" x14ac:dyDescent="0.3">
      <c r="A2621" s="9"/>
    </row>
    <row r="2622" spans="1:1" ht="15.75" customHeight="1" thickBot="1" x14ac:dyDescent="0.3">
      <c r="A2622" s="9"/>
    </row>
    <row r="2623" spans="1:1" ht="15.75" customHeight="1" thickBot="1" x14ac:dyDescent="0.3">
      <c r="A2623" s="9"/>
    </row>
    <row r="2624" spans="1:1" ht="15.75" customHeight="1" thickBot="1" x14ac:dyDescent="0.3">
      <c r="A2624" s="9"/>
    </row>
    <row r="2625" spans="1:1" ht="15.75" customHeight="1" thickBot="1" x14ac:dyDescent="0.3">
      <c r="A2625" s="9"/>
    </row>
    <row r="2626" spans="1:1" ht="15.75" customHeight="1" thickBot="1" x14ac:dyDescent="0.3">
      <c r="A2626" s="9"/>
    </row>
    <row r="2627" spans="1:1" ht="15.75" customHeight="1" thickBot="1" x14ac:dyDescent="0.3">
      <c r="A2627" s="9"/>
    </row>
    <row r="2628" spans="1:1" ht="15.75" customHeight="1" thickBot="1" x14ac:dyDescent="0.3">
      <c r="A2628" s="9"/>
    </row>
    <row r="2629" spans="1:1" ht="15.75" customHeight="1" thickBot="1" x14ac:dyDescent="0.3">
      <c r="A2629" s="9"/>
    </row>
    <row r="2630" spans="1:1" ht="15.75" customHeight="1" thickBot="1" x14ac:dyDescent="0.3">
      <c r="A2630" s="9"/>
    </row>
    <row r="2631" spans="1:1" ht="15.75" customHeight="1" thickBot="1" x14ac:dyDescent="0.3">
      <c r="A2631" s="9"/>
    </row>
    <row r="2632" spans="1:1" ht="15.75" customHeight="1" thickBot="1" x14ac:dyDescent="0.3">
      <c r="A2632" s="9"/>
    </row>
    <row r="2633" spans="1:1" ht="15.75" customHeight="1" thickBot="1" x14ac:dyDescent="0.3">
      <c r="A2633" s="9"/>
    </row>
    <row r="2634" spans="1:1" ht="15.75" customHeight="1" thickBot="1" x14ac:dyDescent="0.3">
      <c r="A2634" s="9"/>
    </row>
    <row r="2635" spans="1:1" ht="15.75" customHeight="1" thickBot="1" x14ac:dyDescent="0.3">
      <c r="A2635" s="9"/>
    </row>
    <row r="2636" spans="1:1" ht="15.75" customHeight="1" thickBot="1" x14ac:dyDescent="0.3">
      <c r="A2636" s="9"/>
    </row>
    <row r="2637" spans="1:1" ht="15.75" customHeight="1" thickBot="1" x14ac:dyDescent="0.3">
      <c r="A2637" s="9"/>
    </row>
    <row r="2638" spans="1:1" ht="15.75" customHeight="1" thickBot="1" x14ac:dyDescent="0.3">
      <c r="A2638" s="9"/>
    </row>
    <row r="2639" spans="1:1" ht="15.75" customHeight="1" thickBot="1" x14ac:dyDescent="0.3">
      <c r="A2639" s="9"/>
    </row>
    <row r="2640" spans="1:1" ht="15.75" customHeight="1" thickBot="1" x14ac:dyDescent="0.3">
      <c r="A2640" s="9"/>
    </row>
    <row r="2641" spans="1:1" ht="15.75" customHeight="1" thickBot="1" x14ac:dyDescent="0.3">
      <c r="A2641" s="9"/>
    </row>
    <row r="2642" spans="1:1" ht="15.75" customHeight="1" thickBot="1" x14ac:dyDescent="0.3">
      <c r="A2642" s="9"/>
    </row>
    <row r="2643" spans="1:1" ht="15.75" customHeight="1" thickBot="1" x14ac:dyDescent="0.3">
      <c r="A2643" s="9"/>
    </row>
    <row r="2644" spans="1:1" ht="15.75" customHeight="1" thickBot="1" x14ac:dyDescent="0.3">
      <c r="A2644" s="9"/>
    </row>
    <row r="2645" spans="1:1" ht="15.75" customHeight="1" thickBot="1" x14ac:dyDescent="0.3">
      <c r="A2645" s="9"/>
    </row>
    <row r="2646" spans="1:1" ht="15.75" customHeight="1" thickBot="1" x14ac:dyDescent="0.3">
      <c r="A2646" s="9"/>
    </row>
    <row r="2647" spans="1:1" ht="15.75" customHeight="1" thickBot="1" x14ac:dyDescent="0.3">
      <c r="A2647" s="9"/>
    </row>
    <row r="2648" spans="1:1" ht="15.75" customHeight="1" thickBot="1" x14ac:dyDescent="0.3">
      <c r="A2648" s="9"/>
    </row>
    <row r="2649" spans="1:1" ht="15.75" customHeight="1" thickBot="1" x14ac:dyDescent="0.3">
      <c r="A2649" s="9"/>
    </row>
    <row r="2650" spans="1:1" ht="15.75" customHeight="1" thickBot="1" x14ac:dyDescent="0.3">
      <c r="A2650" s="9"/>
    </row>
    <row r="2651" spans="1:1" ht="15.75" customHeight="1" thickBot="1" x14ac:dyDescent="0.3">
      <c r="A2651" s="9"/>
    </row>
    <row r="2652" spans="1:1" ht="15.75" customHeight="1" thickBot="1" x14ac:dyDescent="0.3">
      <c r="A2652" s="9"/>
    </row>
    <row r="2653" spans="1:1" ht="15.75" customHeight="1" thickBot="1" x14ac:dyDescent="0.3">
      <c r="A2653" s="9"/>
    </row>
    <row r="2654" spans="1:1" ht="15.75" customHeight="1" thickBot="1" x14ac:dyDescent="0.3">
      <c r="A2654" s="9"/>
    </row>
    <row r="2655" spans="1:1" ht="15.75" customHeight="1" thickBot="1" x14ac:dyDescent="0.3">
      <c r="A2655" s="9"/>
    </row>
    <row r="2656" spans="1:1" ht="15.75" customHeight="1" thickBot="1" x14ac:dyDescent="0.3">
      <c r="A2656" s="9"/>
    </row>
    <row r="2657" spans="1:1" ht="15.75" customHeight="1" thickBot="1" x14ac:dyDescent="0.3">
      <c r="A2657" s="9"/>
    </row>
    <row r="2658" spans="1:1" ht="15.75" customHeight="1" thickBot="1" x14ac:dyDescent="0.3">
      <c r="A2658" s="9"/>
    </row>
    <row r="2659" spans="1:1" ht="15.75" customHeight="1" thickBot="1" x14ac:dyDescent="0.3">
      <c r="A2659" s="9"/>
    </row>
    <row r="2660" spans="1:1" ht="15.75" customHeight="1" thickBot="1" x14ac:dyDescent="0.3">
      <c r="A2660" s="9"/>
    </row>
    <row r="2661" spans="1:1" ht="15.75" customHeight="1" thickBot="1" x14ac:dyDescent="0.3">
      <c r="A2661" s="9"/>
    </row>
    <row r="2662" spans="1:1" ht="15.75" customHeight="1" thickBot="1" x14ac:dyDescent="0.3">
      <c r="A2662" s="9"/>
    </row>
    <row r="2663" spans="1:1" ht="15.75" customHeight="1" thickBot="1" x14ac:dyDescent="0.3">
      <c r="A2663" s="9"/>
    </row>
    <row r="2664" spans="1:1" ht="15.75" customHeight="1" thickBot="1" x14ac:dyDescent="0.3">
      <c r="A2664" s="9"/>
    </row>
    <row r="2665" spans="1:1" ht="15.75" customHeight="1" thickBot="1" x14ac:dyDescent="0.3">
      <c r="A2665" s="9"/>
    </row>
    <row r="2666" spans="1:1" ht="15.75" customHeight="1" thickBot="1" x14ac:dyDescent="0.3">
      <c r="A2666" s="9"/>
    </row>
    <row r="2667" spans="1:1" ht="15.75" customHeight="1" thickBot="1" x14ac:dyDescent="0.3">
      <c r="A2667" s="9"/>
    </row>
    <row r="2668" spans="1:1" ht="15.75" customHeight="1" thickBot="1" x14ac:dyDescent="0.3">
      <c r="A2668" s="9"/>
    </row>
    <row r="2669" spans="1:1" ht="15.75" customHeight="1" thickBot="1" x14ac:dyDescent="0.3">
      <c r="A2669" s="9"/>
    </row>
    <row r="2670" spans="1:1" ht="15.75" customHeight="1" thickBot="1" x14ac:dyDescent="0.3">
      <c r="A2670" s="9"/>
    </row>
    <row r="2671" spans="1:1" ht="15.75" customHeight="1" thickBot="1" x14ac:dyDescent="0.3">
      <c r="A2671" s="9"/>
    </row>
    <row r="2672" spans="1:1" ht="15.75" customHeight="1" thickBot="1" x14ac:dyDescent="0.3">
      <c r="A2672" s="9"/>
    </row>
    <row r="2673" spans="1:1" ht="15.75" customHeight="1" thickBot="1" x14ac:dyDescent="0.3">
      <c r="A2673" s="9"/>
    </row>
    <row r="2674" spans="1:1" ht="15.75" customHeight="1" thickBot="1" x14ac:dyDescent="0.3">
      <c r="A2674" s="9"/>
    </row>
    <row r="2675" spans="1:1" ht="15.75" customHeight="1" thickBot="1" x14ac:dyDescent="0.3">
      <c r="A2675" s="9"/>
    </row>
    <row r="2676" spans="1:1" ht="15.75" customHeight="1" thickBot="1" x14ac:dyDescent="0.3">
      <c r="A2676" s="9"/>
    </row>
    <row r="2677" spans="1:1" ht="15.75" customHeight="1" thickBot="1" x14ac:dyDescent="0.3">
      <c r="A2677" s="9"/>
    </row>
    <row r="2678" spans="1:1" ht="15.75" customHeight="1" thickBot="1" x14ac:dyDescent="0.3">
      <c r="A2678" s="9"/>
    </row>
    <row r="2679" spans="1:1" ht="15.75" customHeight="1" thickBot="1" x14ac:dyDescent="0.3">
      <c r="A2679" s="9"/>
    </row>
    <row r="2680" spans="1:1" ht="15.75" customHeight="1" thickBot="1" x14ac:dyDescent="0.3">
      <c r="A2680" s="9"/>
    </row>
    <row r="2681" spans="1:1" ht="15.75" customHeight="1" thickBot="1" x14ac:dyDescent="0.3">
      <c r="A2681" s="9"/>
    </row>
    <row r="2682" spans="1:1" ht="15.75" customHeight="1" thickBot="1" x14ac:dyDescent="0.3">
      <c r="A2682" s="9"/>
    </row>
    <row r="2683" spans="1:1" ht="15.75" customHeight="1" thickBot="1" x14ac:dyDescent="0.3">
      <c r="A2683" s="9"/>
    </row>
    <row r="2684" spans="1:1" ht="15.75" customHeight="1" thickBot="1" x14ac:dyDescent="0.3">
      <c r="A2684" s="9"/>
    </row>
    <row r="2685" spans="1:1" ht="15.75" customHeight="1" thickBot="1" x14ac:dyDescent="0.3">
      <c r="A2685" s="9"/>
    </row>
    <row r="2686" spans="1:1" ht="15.75" customHeight="1" thickBot="1" x14ac:dyDescent="0.3">
      <c r="A2686" s="9"/>
    </row>
    <row r="2687" spans="1:1" ht="15.75" customHeight="1" thickBot="1" x14ac:dyDescent="0.3">
      <c r="A2687" s="9"/>
    </row>
    <row r="2688" spans="1:1" ht="15.75" customHeight="1" thickBot="1" x14ac:dyDescent="0.3">
      <c r="A2688" s="9"/>
    </row>
    <row r="2689" spans="1:1" ht="15.75" customHeight="1" thickBot="1" x14ac:dyDescent="0.3">
      <c r="A2689" s="9"/>
    </row>
    <row r="2690" spans="1:1" ht="15.75" customHeight="1" thickBot="1" x14ac:dyDescent="0.3">
      <c r="A2690" s="9"/>
    </row>
    <row r="2691" spans="1:1" ht="15.75" customHeight="1" thickBot="1" x14ac:dyDescent="0.3">
      <c r="A2691" s="9"/>
    </row>
    <row r="2692" spans="1:1" ht="15.75" customHeight="1" thickBot="1" x14ac:dyDescent="0.3">
      <c r="A2692" s="9"/>
    </row>
    <row r="2693" spans="1:1" ht="15.75" customHeight="1" thickBot="1" x14ac:dyDescent="0.3">
      <c r="A2693" s="9"/>
    </row>
    <row r="2694" spans="1:1" ht="15.75" customHeight="1" thickBot="1" x14ac:dyDescent="0.3">
      <c r="A2694" s="9"/>
    </row>
    <row r="2695" spans="1:1" ht="15.75" customHeight="1" thickBot="1" x14ac:dyDescent="0.3">
      <c r="A2695" s="9"/>
    </row>
    <row r="2696" spans="1:1" ht="15.75" customHeight="1" thickBot="1" x14ac:dyDescent="0.3">
      <c r="A2696" s="9"/>
    </row>
    <row r="2697" spans="1:1" ht="15.75" customHeight="1" thickBot="1" x14ac:dyDescent="0.3">
      <c r="A2697" s="9"/>
    </row>
    <row r="2698" spans="1:1" ht="15.75" customHeight="1" thickBot="1" x14ac:dyDescent="0.3">
      <c r="A2698" s="9"/>
    </row>
    <row r="2699" spans="1:1" ht="15.75" customHeight="1" thickBot="1" x14ac:dyDescent="0.3">
      <c r="A2699" s="9"/>
    </row>
    <row r="2700" spans="1:1" ht="15.75" customHeight="1" thickBot="1" x14ac:dyDescent="0.3">
      <c r="A2700" s="9"/>
    </row>
    <row r="2701" spans="1:1" ht="15.75" customHeight="1" thickBot="1" x14ac:dyDescent="0.3">
      <c r="A2701" s="9"/>
    </row>
    <row r="2702" spans="1:1" ht="15.75" customHeight="1" thickBot="1" x14ac:dyDescent="0.3">
      <c r="A2702" s="9"/>
    </row>
    <row r="2703" spans="1:1" ht="15.75" customHeight="1" thickBot="1" x14ac:dyDescent="0.3">
      <c r="A2703" s="9"/>
    </row>
    <row r="2704" spans="1:1" ht="15.75" customHeight="1" thickBot="1" x14ac:dyDescent="0.3">
      <c r="A2704" s="9"/>
    </row>
    <row r="2705" spans="1:1" ht="15.75" customHeight="1" thickBot="1" x14ac:dyDescent="0.3">
      <c r="A2705" s="9"/>
    </row>
    <row r="2706" spans="1:1" ht="15.75" customHeight="1" thickBot="1" x14ac:dyDescent="0.3">
      <c r="A2706" s="9"/>
    </row>
    <row r="2707" spans="1:1" ht="15.75" customHeight="1" thickBot="1" x14ac:dyDescent="0.3">
      <c r="A2707" s="9"/>
    </row>
    <row r="2708" spans="1:1" ht="15.75" customHeight="1" thickBot="1" x14ac:dyDescent="0.3">
      <c r="A2708" s="9"/>
    </row>
    <row r="2709" spans="1:1" ht="15.75" customHeight="1" thickBot="1" x14ac:dyDescent="0.3">
      <c r="A2709" s="9"/>
    </row>
    <row r="2710" spans="1:1" ht="15.75" customHeight="1" thickBot="1" x14ac:dyDescent="0.3">
      <c r="A2710" s="9"/>
    </row>
    <row r="2711" spans="1:1" ht="15.75" customHeight="1" thickBot="1" x14ac:dyDescent="0.3">
      <c r="A2711" s="9"/>
    </row>
    <row r="2712" spans="1:1" ht="15.75" customHeight="1" thickBot="1" x14ac:dyDescent="0.3">
      <c r="A2712" s="9"/>
    </row>
    <row r="2713" spans="1:1" ht="15.75" customHeight="1" thickBot="1" x14ac:dyDescent="0.3">
      <c r="A2713" s="9"/>
    </row>
    <row r="2714" spans="1:1" ht="15.75" customHeight="1" thickBot="1" x14ac:dyDescent="0.3">
      <c r="A2714" s="9"/>
    </row>
    <row r="2715" spans="1:1" ht="15.75" customHeight="1" thickBot="1" x14ac:dyDescent="0.3">
      <c r="A2715" s="9"/>
    </row>
    <row r="2716" spans="1:1" ht="15.75" customHeight="1" thickBot="1" x14ac:dyDescent="0.3">
      <c r="A2716" s="9"/>
    </row>
    <row r="2717" spans="1:1" ht="15.75" customHeight="1" thickBot="1" x14ac:dyDescent="0.3">
      <c r="A2717" s="9"/>
    </row>
    <row r="2718" spans="1:1" ht="15.75" customHeight="1" thickBot="1" x14ac:dyDescent="0.3">
      <c r="A2718" s="9"/>
    </row>
    <row r="2719" spans="1:1" ht="15.75" customHeight="1" thickBot="1" x14ac:dyDescent="0.3">
      <c r="A2719" s="9"/>
    </row>
    <row r="2720" spans="1:1" ht="15.75" customHeight="1" thickBot="1" x14ac:dyDescent="0.3">
      <c r="A2720" s="9"/>
    </row>
    <row r="2721" spans="1:1" ht="15.75" customHeight="1" thickBot="1" x14ac:dyDescent="0.3">
      <c r="A2721" s="9"/>
    </row>
    <row r="2722" spans="1:1" ht="15.75" customHeight="1" thickBot="1" x14ac:dyDescent="0.3">
      <c r="A2722" s="9"/>
    </row>
    <row r="2723" spans="1:1" ht="15.75" customHeight="1" thickBot="1" x14ac:dyDescent="0.3">
      <c r="A2723" s="9"/>
    </row>
    <row r="2724" spans="1:1" ht="15.75" customHeight="1" thickBot="1" x14ac:dyDescent="0.3">
      <c r="A2724" s="9"/>
    </row>
    <row r="2725" spans="1:1" ht="15.75" customHeight="1" thickBot="1" x14ac:dyDescent="0.3">
      <c r="A2725" s="9"/>
    </row>
    <row r="2726" spans="1:1" ht="15.75" customHeight="1" thickBot="1" x14ac:dyDescent="0.3">
      <c r="A2726" s="9"/>
    </row>
    <row r="2727" spans="1:1" ht="15.75" customHeight="1" thickBot="1" x14ac:dyDescent="0.3">
      <c r="A2727" s="9"/>
    </row>
    <row r="2728" spans="1:1" ht="15.75" customHeight="1" thickBot="1" x14ac:dyDescent="0.3">
      <c r="A2728" s="9"/>
    </row>
    <row r="2729" spans="1:1" ht="15.75" customHeight="1" thickBot="1" x14ac:dyDescent="0.3">
      <c r="A2729" s="9"/>
    </row>
    <row r="2730" spans="1:1" ht="15.75" customHeight="1" thickBot="1" x14ac:dyDescent="0.3">
      <c r="A2730" s="9"/>
    </row>
    <row r="2731" spans="1:1" ht="15.75" customHeight="1" thickBot="1" x14ac:dyDescent="0.3">
      <c r="A2731" s="9"/>
    </row>
    <row r="2732" spans="1:1" ht="15.75" customHeight="1" thickBot="1" x14ac:dyDescent="0.3">
      <c r="A2732" s="9"/>
    </row>
    <row r="2733" spans="1:1" ht="15.75" customHeight="1" thickBot="1" x14ac:dyDescent="0.3">
      <c r="A2733" s="9"/>
    </row>
    <row r="2734" spans="1:1" ht="15.75" customHeight="1" thickBot="1" x14ac:dyDescent="0.3">
      <c r="A2734" s="9"/>
    </row>
    <row r="2735" spans="1:1" ht="15.75" customHeight="1" thickBot="1" x14ac:dyDescent="0.3">
      <c r="A2735" s="9"/>
    </row>
    <row r="2736" spans="1:1" ht="15.75" customHeight="1" thickBot="1" x14ac:dyDescent="0.3">
      <c r="A2736" s="9"/>
    </row>
    <row r="2737" spans="1:1" ht="15.75" customHeight="1" thickBot="1" x14ac:dyDescent="0.3">
      <c r="A2737" s="9"/>
    </row>
    <row r="2738" spans="1:1" ht="15.75" customHeight="1" thickBot="1" x14ac:dyDescent="0.3">
      <c r="A2738" s="9"/>
    </row>
    <row r="2739" spans="1:1" ht="15.75" customHeight="1" thickBot="1" x14ac:dyDescent="0.3">
      <c r="A2739" s="9"/>
    </row>
    <row r="2740" spans="1:1" ht="15.75" customHeight="1" thickBot="1" x14ac:dyDescent="0.3">
      <c r="A2740" s="9"/>
    </row>
    <row r="2741" spans="1:1" ht="15.75" customHeight="1" thickBot="1" x14ac:dyDescent="0.3">
      <c r="A2741" s="9"/>
    </row>
    <row r="2742" spans="1:1" ht="15.75" customHeight="1" thickBot="1" x14ac:dyDescent="0.3">
      <c r="A2742" s="9"/>
    </row>
    <row r="2743" spans="1:1" ht="15.75" customHeight="1" thickBot="1" x14ac:dyDescent="0.3">
      <c r="A2743" s="9"/>
    </row>
    <row r="2744" spans="1:1" ht="15.75" customHeight="1" thickBot="1" x14ac:dyDescent="0.3">
      <c r="A2744" s="9"/>
    </row>
    <row r="2745" spans="1:1" ht="15.75" customHeight="1" thickBot="1" x14ac:dyDescent="0.3">
      <c r="A2745" s="9"/>
    </row>
    <row r="2746" spans="1:1" ht="15.75" customHeight="1" thickBot="1" x14ac:dyDescent="0.3">
      <c r="A2746" s="9"/>
    </row>
    <row r="2747" spans="1:1" ht="15.75" customHeight="1" thickBot="1" x14ac:dyDescent="0.3">
      <c r="A2747" s="9"/>
    </row>
    <row r="2748" spans="1:1" ht="15.75" customHeight="1" thickBot="1" x14ac:dyDescent="0.3">
      <c r="A2748" s="9"/>
    </row>
    <row r="2749" spans="1:1" ht="15.75" customHeight="1" thickBot="1" x14ac:dyDescent="0.3">
      <c r="A2749" s="9"/>
    </row>
    <row r="2750" spans="1:1" ht="15.75" customHeight="1" thickBot="1" x14ac:dyDescent="0.3">
      <c r="A2750" s="9"/>
    </row>
    <row r="2751" spans="1:1" ht="15.75" customHeight="1" thickBot="1" x14ac:dyDescent="0.3">
      <c r="A2751" s="9"/>
    </row>
    <row r="2752" spans="1:1" ht="15.75" customHeight="1" thickBot="1" x14ac:dyDescent="0.3">
      <c r="A2752" s="9"/>
    </row>
    <row r="2753" spans="1:1" ht="15.75" customHeight="1" thickBot="1" x14ac:dyDescent="0.3">
      <c r="A2753" s="9"/>
    </row>
    <row r="2754" spans="1:1" ht="15.75" customHeight="1" thickBot="1" x14ac:dyDescent="0.3">
      <c r="A2754" s="9"/>
    </row>
    <row r="2755" spans="1:1" ht="15.75" customHeight="1" thickBot="1" x14ac:dyDescent="0.3">
      <c r="A2755" s="9"/>
    </row>
    <row r="2756" spans="1:1" ht="15.75" customHeight="1" thickBot="1" x14ac:dyDescent="0.3">
      <c r="A2756" s="9"/>
    </row>
    <row r="2757" spans="1:1" ht="15.75" customHeight="1" thickBot="1" x14ac:dyDescent="0.3">
      <c r="A2757" s="9"/>
    </row>
    <row r="2758" spans="1:1" ht="15.75" customHeight="1" thickBot="1" x14ac:dyDescent="0.3">
      <c r="A2758" s="9"/>
    </row>
    <row r="2759" spans="1:1" ht="15.75" customHeight="1" thickBot="1" x14ac:dyDescent="0.3">
      <c r="A2759" s="9"/>
    </row>
    <row r="2760" spans="1:1" ht="15.75" customHeight="1" thickBot="1" x14ac:dyDescent="0.3">
      <c r="A2760" s="9"/>
    </row>
    <row r="2761" spans="1:1" ht="15.75" customHeight="1" thickBot="1" x14ac:dyDescent="0.3">
      <c r="A2761" s="9"/>
    </row>
    <row r="2762" spans="1:1" ht="15.75" customHeight="1" thickBot="1" x14ac:dyDescent="0.3">
      <c r="A2762" s="9"/>
    </row>
    <row r="2763" spans="1:1" ht="15.75" customHeight="1" thickBot="1" x14ac:dyDescent="0.3">
      <c r="A2763" s="9"/>
    </row>
    <row r="2764" spans="1:1" ht="15.75" customHeight="1" thickBot="1" x14ac:dyDescent="0.3">
      <c r="A2764" s="9"/>
    </row>
    <row r="2765" spans="1:1" ht="15.75" customHeight="1" thickBot="1" x14ac:dyDescent="0.3">
      <c r="A2765" s="9"/>
    </row>
    <row r="2766" spans="1:1" ht="15.75" customHeight="1" thickBot="1" x14ac:dyDescent="0.3">
      <c r="A2766" s="9"/>
    </row>
    <row r="2767" spans="1:1" ht="15.75" customHeight="1" thickBot="1" x14ac:dyDescent="0.3">
      <c r="A2767" s="9"/>
    </row>
    <row r="2768" spans="1:1" ht="15.75" customHeight="1" thickBot="1" x14ac:dyDescent="0.3">
      <c r="A2768" s="9"/>
    </row>
    <row r="2769" spans="1:1" ht="15.75" customHeight="1" thickBot="1" x14ac:dyDescent="0.3">
      <c r="A2769" s="9"/>
    </row>
    <row r="2770" spans="1:1" ht="15.75" customHeight="1" thickBot="1" x14ac:dyDescent="0.3">
      <c r="A2770" s="9"/>
    </row>
    <row r="2771" spans="1:1" ht="15.75" customHeight="1" thickBot="1" x14ac:dyDescent="0.3">
      <c r="A2771" s="9"/>
    </row>
    <row r="2772" spans="1:1" ht="15.75" customHeight="1" thickBot="1" x14ac:dyDescent="0.3">
      <c r="A2772" s="9"/>
    </row>
    <row r="2773" spans="1:1" ht="15.75" customHeight="1" thickBot="1" x14ac:dyDescent="0.3">
      <c r="A2773" s="9"/>
    </row>
    <row r="2774" spans="1:1" ht="15.75" customHeight="1" thickBot="1" x14ac:dyDescent="0.3">
      <c r="A2774" s="9"/>
    </row>
    <row r="2775" spans="1:1" ht="15.75" customHeight="1" thickBot="1" x14ac:dyDescent="0.3">
      <c r="A2775" s="9"/>
    </row>
    <row r="2776" spans="1:1" ht="15.75" customHeight="1" thickBot="1" x14ac:dyDescent="0.3">
      <c r="A2776" s="9"/>
    </row>
    <row r="2777" spans="1:1" ht="15.75" customHeight="1" thickBot="1" x14ac:dyDescent="0.3">
      <c r="A2777" s="9"/>
    </row>
    <row r="2778" spans="1:1" ht="15.75" customHeight="1" thickBot="1" x14ac:dyDescent="0.3">
      <c r="A2778" s="9"/>
    </row>
    <row r="2779" spans="1:1" ht="15.75" customHeight="1" thickBot="1" x14ac:dyDescent="0.3">
      <c r="A2779" s="9"/>
    </row>
    <row r="2780" spans="1:1" ht="15.75" customHeight="1" thickBot="1" x14ac:dyDescent="0.3">
      <c r="A2780" s="9"/>
    </row>
    <row r="2781" spans="1:1" ht="15.75" customHeight="1" thickBot="1" x14ac:dyDescent="0.3">
      <c r="A2781" s="9"/>
    </row>
    <row r="2782" spans="1:1" ht="15.75" customHeight="1" thickBot="1" x14ac:dyDescent="0.3">
      <c r="A2782" s="9"/>
    </row>
    <row r="2783" spans="1:1" ht="15.75" customHeight="1" thickBot="1" x14ac:dyDescent="0.3">
      <c r="A2783" s="9"/>
    </row>
    <row r="2784" spans="1:1" ht="15.75" customHeight="1" thickBot="1" x14ac:dyDescent="0.3">
      <c r="A2784" s="9"/>
    </row>
    <row r="2785" spans="1:1" ht="15.75" customHeight="1" thickBot="1" x14ac:dyDescent="0.3">
      <c r="A2785" s="9"/>
    </row>
    <row r="2786" spans="1:1" ht="15.75" customHeight="1" thickBot="1" x14ac:dyDescent="0.3">
      <c r="A2786" s="9"/>
    </row>
    <row r="2787" spans="1:1" ht="15.75" customHeight="1" thickBot="1" x14ac:dyDescent="0.3">
      <c r="A2787" s="9"/>
    </row>
    <row r="2788" spans="1:1" ht="15.75" customHeight="1" thickBot="1" x14ac:dyDescent="0.3">
      <c r="A2788" s="9"/>
    </row>
    <row r="2789" spans="1:1" ht="15.75" customHeight="1" thickBot="1" x14ac:dyDescent="0.3">
      <c r="A2789" s="9"/>
    </row>
    <row r="2790" spans="1:1" ht="15.75" customHeight="1" thickBot="1" x14ac:dyDescent="0.3">
      <c r="A2790" s="9"/>
    </row>
    <row r="2791" spans="1:1" ht="15.75" customHeight="1" thickBot="1" x14ac:dyDescent="0.3">
      <c r="A2791" s="9"/>
    </row>
    <row r="2792" spans="1:1" ht="15.75" customHeight="1" thickBot="1" x14ac:dyDescent="0.3">
      <c r="A2792" s="9"/>
    </row>
    <row r="2793" spans="1:1" ht="15.75" customHeight="1" thickBot="1" x14ac:dyDescent="0.3">
      <c r="A2793" s="9"/>
    </row>
    <row r="2794" spans="1:1" ht="15.75" customHeight="1" thickBot="1" x14ac:dyDescent="0.3">
      <c r="A2794" s="9"/>
    </row>
    <row r="2795" spans="1:1" ht="15.75" customHeight="1" thickBot="1" x14ac:dyDescent="0.3">
      <c r="A2795" s="9"/>
    </row>
    <row r="2796" spans="1:1" ht="15.75" customHeight="1" thickBot="1" x14ac:dyDescent="0.3">
      <c r="A2796" s="9"/>
    </row>
    <row r="2797" spans="1:1" ht="15.75" customHeight="1" thickBot="1" x14ac:dyDescent="0.3">
      <c r="A2797" s="9"/>
    </row>
    <row r="2798" spans="1:1" ht="15.75" customHeight="1" thickBot="1" x14ac:dyDescent="0.3">
      <c r="A2798" s="9"/>
    </row>
    <row r="2799" spans="1:1" ht="15.75" customHeight="1" thickBot="1" x14ac:dyDescent="0.3">
      <c r="A2799" s="9"/>
    </row>
    <row r="2800" spans="1:1" ht="15.75" customHeight="1" thickBot="1" x14ac:dyDescent="0.3">
      <c r="A2800" s="9"/>
    </row>
    <row r="2801" spans="1:1" ht="15.75" customHeight="1" thickBot="1" x14ac:dyDescent="0.3">
      <c r="A2801" s="9"/>
    </row>
    <row r="2802" spans="1:1" ht="15.75" customHeight="1" thickBot="1" x14ac:dyDescent="0.3">
      <c r="A2802" s="9"/>
    </row>
    <row r="2803" spans="1:1" ht="15.75" customHeight="1" thickBot="1" x14ac:dyDescent="0.3">
      <c r="A2803" s="9"/>
    </row>
    <row r="2804" spans="1:1" ht="15.75" customHeight="1" thickBot="1" x14ac:dyDescent="0.3">
      <c r="A2804" s="9"/>
    </row>
    <row r="2805" spans="1:1" ht="15.75" customHeight="1" thickBot="1" x14ac:dyDescent="0.3">
      <c r="A2805" s="9"/>
    </row>
    <row r="2806" spans="1:1" ht="15.75" customHeight="1" thickBot="1" x14ac:dyDescent="0.3">
      <c r="A2806" s="9"/>
    </row>
    <row r="2807" spans="1:1" ht="15.75" customHeight="1" thickBot="1" x14ac:dyDescent="0.3">
      <c r="A2807" s="9"/>
    </row>
    <row r="2808" spans="1:1" ht="15.75" customHeight="1" thickBot="1" x14ac:dyDescent="0.3">
      <c r="A2808" s="9"/>
    </row>
    <row r="2809" spans="1:1" ht="15.75" customHeight="1" thickBot="1" x14ac:dyDescent="0.3">
      <c r="A2809" s="9"/>
    </row>
    <row r="2810" spans="1:1" ht="15.75" customHeight="1" thickBot="1" x14ac:dyDescent="0.3">
      <c r="A2810" s="9"/>
    </row>
    <row r="2811" spans="1:1" ht="15.75" customHeight="1" thickBot="1" x14ac:dyDescent="0.3">
      <c r="A2811" s="9"/>
    </row>
    <row r="2812" spans="1:1" ht="15.75" customHeight="1" thickBot="1" x14ac:dyDescent="0.3">
      <c r="A2812" s="9"/>
    </row>
    <row r="2813" spans="1:1" ht="15.75" customHeight="1" thickBot="1" x14ac:dyDescent="0.3">
      <c r="A2813" s="9"/>
    </row>
    <row r="2814" spans="1:1" ht="15.75" customHeight="1" thickBot="1" x14ac:dyDescent="0.3">
      <c r="A2814" s="9"/>
    </row>
    <row r="2815" spans="1:1" ht="15.75" customHeight="1" thickBot="1" x14ac:dyDescent="0.3">
      <c r="A2815" s="9"/>
    </row>
    <row r="2816" spans="1:1" ht="15.75" customHeight="1" thickBot="1" x14ac:dyDescent="0.3">
      <c r="A2816" s="9"/>
    </row>
    <row r="2817" spans="1:1" ht="15.75" customHeight="1" thickBot="1" x14ac:dyDescent="0.3">
      <c r="A2817" s="9"/>
    </row>
    <row r="2818" spans="1:1" ht="15.75" customHeight="1" thickBot="1" x14ac:dyDescent="0.3">
      <c r="A2818" s="9"/>
    </row>
    <row r="2819" spans="1:1" ht="15.75" customHeight="1" thickBot="1" x14ac:dyDescent="0.3">
      <c r="A2819" s="9"/>
    </row>
    <row r="2820" spans="1:1" ht="15.75" customHeight="1" thickBot="1" x14ac:dyDescent="0.3">
      <c r="A2820" s="9"/>
    </row>
    <row r="2821" spans="1:1" ht="15.75" customHeight="1" thickBot="1" x14ac:dyDescent="0.3">
      <c r="A2821" s="9"/>
    </row>
    <row r="2822" spans="1:1" ht="15.75" customHeight="1" thickBot="1" x14ac:dyDescent="0.3">
      <c r="A2822" s="9"/>
    </row>
    <row r="2823" spans="1:1" ht="15.75" customHeight="1" thickBot="1" x14ac:dyDescent="0.3">
      <c r="A2823" s="9"/>
    </row>
    <row r="2824" spans="1:1" ht="15.75" customHeight="1" thickBot="1" x14ac:dyDescent="0.3">
      <c r="A2824" s="9"/>
    </row>
    <row r="2825" spans="1:1" ht="15.75" customHeight="1" thickBot="1" x14ac:dyDescent="0.3">
      <c r="A2825" s="9"/>
    </row>
    <row r="2826" spans="1:1" ht="15.75" customHeight="1" thickBot="1" x14ac:dyDescent="0.3">
      <c r="A2826" s="9"/>
    </row>
    <row r="2827" spans="1:1" ht="15.75" customHeight="1" thickBot="1" x14ac:dyDescent="0.3">
      <c r="A2827" s="9"/>
    </row>
    <row r="2828" spans="1:1" ht="15.75" customHeight="1" thickBot="1" x14ac:dyDescent="0.3">
      <c r="A2828" s="9"/>
    </row>
    <row r="2829" spans="1:1" ht="15.75" customHeight="1" thickBot="1" x14ac:dyDescent="0.3">
      <c r="A2829" s="9"/>
    </row>
    <row r="2830" spans="1:1" ht="15.75" customHeight="1" thickBot="1" x14ac:dyDescent="0.3">
      <c r="A2830" s="9"/>
    </row>
    <row r="2831" spans="1:1" ht="15.75" customHeight="1" thickBot="1" x14ac:dyDescent="0.3">
      <c r="A2831" s="9"/>
    </row>
    <row r="2832" spans="1:1" ht="15.75" customHeight="1" thickBot="1" x14ac:dyDescent="0.3">
      <c r="A2832" s="9"/>
    </row>
    <row r="2833" spans="1:1" ht="15.75" customHeight="1" thickBot="1" x14ac:dyDescent="0.3">
      <c r="A2833" s="9"/>
    </row>
    <row r="2834" spans="1:1" ht="15.75" customHeight="1" thickBot="1" x14ac:dyDescent="0.3">
      <c r="A2834" s="9"/>
    </row>
    <row r="2835" spans="1:1" ht="15.75" customHeight="1" thickBot="1" x14ac:dyDescent="0.3">
      <c r="A2835" s="9"/>
    </row>
    <row r="2836" spans="1:1" ht="15.75" customHeight="1" thickBot="1" x14ac:dyDescent="0.3">
      <c r="A2836" s="9"/>
    </row>
    <row r="2837" spans="1:1" ht="15.75" customHeight="1" thickBot="1" x14ac:dyDescent="0.3">
      <c r="A2837" s="9"/>
    </row>
    <row r="2838" spans="1:1" ht="15.75" customHeight="1" thickBot="1" x14ac:dyDescent="0.3">
      <c r="A2838" s="9"/>
    </row>
    <row r="2839" spans="1:1" ht="15.75" customHeight="1" thickBot="1" x14ac:dyDescent="0.3">
      <c r="A2839" s="9"/>
    </row>
    <row r="2840" spans="1:1" ht="15.75" customHeight="1" thickBot="1" x14ac:dyDescent="0.3">
      <c r="A2840" s="9"/>
    </row>
    <row r="2841" spans="1:1" ht="15.75" customHeight="1" thickBot="1" x14ac:dyDescent="0.3">
      <c r="A2841" s="9"/>
    </row>
    <row r="2842" spans="1:1" ht="15.75" customHeight="1" thickBot="1" x14ac:dyDescent="0.3">
      <c r="A2842" s="9"/>
    </row>
    <row r="2843" spans="1:1" ht="15.75" customHeight="1" thickBot="1" x14ac:dyDescent="0.3">
      <c r="A2843" s="9"/>
    </row>
    <row r="2844" spans="1:1" ht="15.75" customHeight="1" thickBot="1" x14ac:dyDescent="0.3">
      <c r="A2844" s="9"/>
    </row>
    <row r="2845" spans="1:1" ht="15.75" customHeight="1" thickBot="1" x14ac:dyDescent="0.3">
      <c r="A2845" s="9"/>
    </row>
    <row r="2846" spans="1:1" ht="15.75" customHeight="1" thickBot="1" x14ac:dyDescent="0.3">
      <c r="A2846" s="9"/>
    </row>
    <row r="2847" spans="1:1" ht="15.75" customHeight="1" thickBot="1" x14ac:dyDescent="0.3">
      <c r="A2847" s="9"/>
    </row>
    <row r="2848" spans="1:1" ht="15.75" customHeight="1" thickBot="1" x14ac:dyDescent="0.3">
      <c r="A2848" s="9"/>
    </row>
    <row r="2849" spans="1:1" ht="15.75" customHeight="1" thickBot="1" x14ac:dyDescent="0.3">
      <c r="A2849" s="9"/>
    </row>
    <row r="2850" spans="1:1" ht="15.75" customHeight="1" thickBot="1" x14ac:dyDescent="0.3">
      <c r="A2850" s="9"/>
    </row>
    <row r="2851" spans="1:1" ht="15.75" customHeight="1" thickBot="1" x14ac:dyDescent="0.3">
      <c r="A2851" s="9"/>
    </row>
    <row r="2852" spans="1:1" ht="15.75" customHeight="1" thickBot="1" x14ac:dyDescent="0.3">
      <c r="A2852" s="9"/>
    </row>
    <row r="2853" spans="1:1" ht="15.75" customHeight="1" thickBot="1" x14ac:dyDescent="0.3">
      <c r="A2853" s="9"/>
    </row>
    <row r="2854" spans="1:1" ht="15.75" customHeight="1" thickBot="1" x14ac:dyDescent="0.3">
      <c r="A2854" s="9"/>
    </row>
    <row r="2855" spans="1:1" ht="15.75" customHeight="1" thickBot="1" x14ac:dyDescent="0.3">
      <c r="A2855" s="9"/>
    </row>
    <row r="2856" spans="1:1" ht="15.75" customHeight="1" thickBot="1" x14ac:dyDescent="0.3">
      <c r="A2856" s="9"/>
    </row>
    <row r="2857" spans="1:1" ht="15.75" customHeight="1" thickBot="1" x14ac:dyDescent="0.3">
      <c r="A2857" s="9"/>
    </row>
    <row r="2858" spans="1:1" ht="15.75" customHeight="1" thickBot="1" x14ac:dyDescent="0.3">
      <c r="A2858" s="9"/>
    </row>
    <row r="2859" spans="1:1" ht="15.75" customHeight="1" thickBot="1" x14ac:dyDescent="0.3">
      <c r="A2859" s="9"/>
    </row>
    <row r="2860" spans="1:1" ht="15.75" customHeight="1" thickBot="1" x14ac:dyDescent="0.3">
      <c r="A2860" s="9"/>
    </row>
    <row r="2861" spans="1:1" ht="15.75" customHeight="1" thickBot="1" x14ac:dyDescent="0.3">
      <c r="A2861" s="9"/>
    </row>
    <row r="2862" spans="1:1" ht="15.75" customHeight="1" thickBot="1" x14ac:dyDescent="0.3">
      <c r="A2862" s="9"/>
    </row>
    <row r="2863" spans="1:1" ht="15.75" customHeight="1" thickBot="1" x14ac:dyDescent="0.3">
      <c r="A2863" s="9"/>
    </row>
    <row r="2864" spans="1:1" ht="15.75" customHeight="1" thickBot="1" x14ac:dyDescent="0.3">
      <c r="A2864" s="9"/>
    </row>
    <row r="2865" spans="1:1" ht="15.75" customHeight="1" thickBot="1" x14ac:dyDescent="0.3">
      <c r="A2865" s="9"/>
    </row>
    <row r="2866" spans="1:1" ht="15.75" customHeight="1" thickBot="1" x14ac:dyDescent="0.3">
      <c r="A2866" s="9"/>
    </row>
    <row r="2867" spans="1:1" ht="15.75" customHeight="1" thickBot="1" x14ac:dyDescent="0.3">
      <c r="A2867" s="9"/>
    </row>
    <row r="2868" spans="1:1" ht="15.75" customHeight="1" thickBot="1" x14ac:dyDescent="0.3">
      <c r="A2868" s="9"/>
    </row>
    <row r="2869" spans="1:1" ht="15.75" customHeight="1" thickBot="1" x14ac:dyDescent="0.3">
      <c r="A2869" s="9"/>
    </row>
    <row r="2870" spans="1:1" ht="15.75" customHeight="1" thickBot="1" x14ac:dyDescent="0.3">
      <c r="A2870" s="9"/>
    </row>
    <row r="2871" spans="1:1" ht="15.75" customHeight="1" thickBot="1" x14ac:dyDescent="0.3">
      <c r="A2871" s="9"/>
    </row>
    <row r="2872" spans="1:1" ht="15.75" customHeight="1" thickBot="1" x14ac:dyDescent="0.3">
      <c r="A2872" s="9"/>
    </row>
    <row r="2873" spans="1:1" ht="15.75" customHeight="1" thickBot="1" x14ac:dyDescent="0.3">
      <c r="A2873" s="9"/>
    </row>
    <row r="2874" spans="1:1" ht="15.75" customHeight="1" thickBot="1" x14ac:dyDescent="0.3">
      <c r="A2874" s="9"/>
    </row>
    <row r="2875" spans="1:1" ht="15.75" customHeight="1" thickBot="1" x14ac:dyDescent="0.3">
      <c r="A2875" s="9"/>
    </row>
    <row r="2876" spans="1:1" ht="15.75" customHeight="1" thickBot="1" x14ac:dyDescent="0.3">
      <c r="A2876" s="9"/>
    </row>
    <row r="2877" spans="1:1" ht="15.75" customHeight="1" thickBot="1" x14ac:dyDescent="0.3">
      <c r="A2877" s="9"/>
    </row>
    <row r="2878" spans="1:1" ht="15.75" customHeight="1" thickBot="1" x14ac:dyDescent="0.3">
      <c r="A2878" s="9"/>
    </row>
    <row r="2879" spans="1:1" ht="15.75" customHeight="1" thickBot="1" x14ac:dyDescent="0.3">
      <c r="A2879" s="9"/>
    </row>
    <row r="2880" spans="1:1" ht="15.75" customHeight="1" thickBot="1" x14ac:dyDescent="0.3">
      <c r="A2880" s="9"/>
    </row>
    <row r="2881" spans="1:1" ht="15.75" customHeight="1" thickBot="1" x14ac:dyDescent="0.3">
      <c r="A2881" s="9"/>
    </row>
    <row r="2882" spans="1:1" ht="15.75" customHeight="1" thickBot="1" x14ac:dyDescent="0.3">
      <c r="A2882" s="9"/>
    </row>
    <row r="2883" spans="1:1" ht="15.75" customHeight="1" thickBot="1" x14ac:dyDescent="0.3">
      <c r="A2883" s="9"/>
    </row>
    <row r="2884" spans="1:1" ht="15.75" customHeight="1" thickBot="1" x14ac:dyDescent="0.3">
      <c r="A2884" s="9"/>
    </row>
    <row r="2885" spans="1:1" ht="15.75" customHeight="1" thickBot="1" x14ac:dyDescent="0.3">
      <c r="A2885" s="9"/>
    </row>
    <row r="2886" spans="1:1" ht="15.75" customHeight="1" thickBot="1" x14ac:dyDescent="0.3">
      <c r="A2886" s="9"/>
    </row>
    <row r="2887" spans="1:1" ht="15.75" customHeight="1" thickBot="1" x14ac:dyDescent="0.3">
      <c r="A2887" s="9"/>
    </row>
    <row r="2888" spans="1:1" ht="15.75" customHeight="1" thickBot="1" x14ac:dyDescent="0.3">
      <c r="A2888" s="9"/>
    </row>
    <row r="2889" spans="1:1" ht="15.75" customHeight="1" thickBot="1" x14ac:dyDescent="0.3">
      <c r="A2889" s="9"/>
    </row>
    <row r="2890" spans="1:1" ht="15.75" customHeight="1" thickBot="1" x14ac:dyDescent="0.3">
      <c r="A2890" s="9"/>
    </row>
    <row r="2891" spans="1:1" ht="15.75" customHeight="1" thickBot="1" x14ac:dyDescent="0.3">
      <c r="A2891" s="9"/>
    </row>
    <row r="2892" spans="1:1" ht="15.75" customHeight="1" thickBot="1" x14ac:dyDescent="0.3">
      <c r="A2892" s="9"/>
    </row>
    <row r="2893" spans="1:1" ht="15.75" customHeight="1" thickBot="1" x14ac:dyDescent="0.3">
      <c r="A2893" s="9"/>
    </row>
    <row r="2894" spans="1:1" ht="15.75" customHeight="1" thickBot="1" x14ac:dyDescent="0.3">
      <c r="A2894" s="9"/>
    </row>
    <row r="2895" spans="1:1" ht="15.75" customHeight="1" thickBot="1" x14ac:dyDescent="0.3">
      <c r="A2895" s="9"/>
    </row>
    <row r="2896" spans="1:1" ht="15.75" customHeight="1" thickBot="1" x14ac:dyDescent="0.3">
      <c r="A2896" s="9"/>
    </row>
    <row r="2897" spans="1:1" ht="15.75" customHeight="1" thickBot="1" x14ac:dyDescent="0.3">
      <c r="A2897" s="9"/>
    </row>
    <row r="2898" spans="1:1" ht="15.75" customHeight="1" thickBot="1" x14ac:dyDescent="0.3">
      <c r="A2898" s="9"/>
    </row>
    <row r="2899" spans="1:1" ht="15.75" customHeight="1" thickBot="1" x14ac:dyDescent="0.3">
      <c r="A2899" s="9"/>
    </row>
    <row r="2900" spans="1:1" ht="15.75" customHeight="1" thickBot="1" x14ac:dyDescent="0.3">
      <c r="A2900" s="9"/>
    </row>
    <row r="2901" spans="1:1" ht="15.75" customHeight="1" thickBot="1" x14ac:dyDescent="0.3">
      <c r="A2901" s="9"/>
    </row>
    <row r="2902" spans="1:1" ht="15.75" customHeight="1" thickBot="1" x14ac:dyDescent="0.3">
      <c r="A2902" s="9"/>
    </row>
    <row r="2903" spans="1:1" ht="15.75" customHeight="1" thickBot="1" x14ac:dyDescent="0.3">
      <c r="A2903" s="9"/>
    </row>
    <row r="2904" spans="1:1" ht="15.75" customHeight="1" thickBot="1" x14ac:dyDescent="0.3">
      <c r="A2904" s="9"/>
    </row>
    <row r="2905" spans="1:1" ht="15.75" customHeight="1" thickBot="1" x14ac:dyDescent="0.3">
      <c r="A2905" s="9"/>
    </row>
    <row r="2906" spans="1:1" ht="15.75" customHeight="1" thickBot="1" x14ac:dyDescent="0.3">
      <c r="A2906" s="9"/>
    </row>
    <row r="2907" spans="1:1" ht="15.75" customHeight="1" thickBot="1" x14ac:dyDescent="0.3">
      <c r="A2907" s="9"/>
    </row>
    <row r="2908" spans="1:1" ht="15.75" customHeight="1" thickBot="1" x14ac:dyDescent="0.3">
      <c r="A2908" s="9"/>
    </row>
    <row r="2909" spans="1:1" ht="15.75" customHeight="1" thickBot="1" x14ac:dyDescent="0.3">
      <c r="A2909" s="9"/>
    </row>
    <row r="2910" spans="1:1" ht="15.75" customHeight="1" thickBot="1" x14ac:dyDescent="0.3">
      <c r="A2910" s="9"/>
    </row>
    <row r="2911" spans="1:1" ht="15.75" customHeight="1" thickBot="1" x14ac:dyDescent="0.3">
      <c r="A2911" s="9"/>
    </row>
    <row r="2912" spans="1:1" ht="15.75" customHeight="1" thickBot="1" x14ac:dyDescent="0.3">
      <c r="A2912" s="9"/>
    </row>
    <row r="2913" spans="1:1" ht="15.75" customHeight="1" thickBot="1" x14ac:dyDescent="0.3">
      <c r="A2913" s="9"/>
    </row>
    <row r="2914" spans="1:1" ht="15.75" customHeight="1" thickBot="1" x14ac:dyDescent="0.3">
      <c r="A2914" s="9"/>
    </row>
    <row r="2915" spans="1:1" ht="15.75" customHeight="1" thickBot="1" x14ac:dyDescent="0.3">
      <c r="A2915" s="9"/>
    </row>
    <row r="2916" spans="1:1" ht="15.75" customHeight="1" thickBot="1" x14ac:dyDescent="0.3">
      <c r="A2916" s="9"/>
    </row>
    <row r="2917" spans="1:1" ht="15.75" customHeight="1" thickBot="1" x14ac:dyDescent="0.3">
      <c r="A2917" s="9"/>
    </row>
    <row r="2918" spans="1:1" ht="15.75" customHeight="1" thickBot="1" x14ac:dyDescent="0.3">
      <c r="A2918" s="9"/>
    </row>
    <row r="2919" spans="1:1" ht="15.75" customHeight="1" thickBot="1" x14ac:dyDescent="0.3">
      <c r="A2919" s="9"/>
    </row>
    <row r="2920" spans="1:1" ht="15.75" customHeight="1" thickBot="1" x14ac:dyDescent="0.3">
      <c r="A2920" s="9"/>
    </row>
    <row r="2921" spans="1:1" ht="15.75" customHeight="1" thickBot="1" x14ac:dyDescent="0.3">
      <c r="A2921" s="9"/>
    </row>
    <row r="2922" spans="1:1" ht="15.75" customHeight="1" thickBot="1" x14ac:dyDescent="0.3">
      <c r="A2922" s="9"/>
    </row>
    <row r="2923" spans="1:1" ht="15.75" customHeight="1" thickBot="1" x14ac:dyDescent="0.3">
      <c r="A2923" s="9"/>
    </row>
    <row r="2924" spans="1:1" ht="15.75" customHeight="1" thickBot="1" x14ac:dyDescent="0.3">
      <c r="A2924" s="9"/>
    </row>
    <row r="2925" spans="1:1" ht="15.75" customHeight="1" thickBot="1" x14ac:dyDescent="0.3">
      <c r="A2925" s="9"/>
    </row>
    <row r="2926" spans="1:1" ht="15.75" customHeight="1" thickBot="1" x14ac:dyDescent="0.3">
      <c r="A2926" s="9"/>
    </row>
    <row r="2927" spans="1:1" ht="15.75" customHeight="1" thickBot="1" x14ac:dyDescent="0.3">
      <c r="A2927" s="9"/>
    </row>
    <row r="2928" spans="1:1" ht="15.75" customHeight="1" thickBot="1" x14ac:dyDescent="0.3">
      <c r="A2928" s="9"/>
    </row>
    <row r="2929" spans="1:1" ht="15.75" customHeight="1" thickBot="1" x14ac:dyDescent="0.3">
      <c r="A2929" s="9"/>
    </row>
    <row r="2930" spans="1:1" ht="15.75" customHeight="1" thickBot="1" x14ac:dyDescent="0.3">
      <c r="A2930" s="9"/>
    </row>
    <row r="2931" spans="1:1" ht="15.75" customHeight="1" thickBot="1" x14ac:dyDescent="0.3">
      <c r="A2931" s="9"/>
    </row>
    <row r="2932" spans="1:1" ht="15.75" customHeight="1" thickBot="1" x14ac:dyDescent="0.3">
      <c r="A2932" s="9"/>
    </row>
    <row r="2933" spans="1:1" ht="15.75" customHeight="1" thickBot="1" x14ac:dyDescent="0.3">
      <c r="A2933" s="9"/>
    </row>
    <row r="2934" spans="1:1" ht="15.75" customHeight="1" thickBot="1" x14ac:dyDescent="0.3">
      <c r="A2934" s="9"/>
    </row>
    <row r="2935" spans="1:1" ht="15.75" customHeight="1" thickBot="1" x14ac:dyDescent="0.3">
      <c r="A2935" s="9"/>
    </row>
    <row r="2936" spans="1:1" ht="15.75" customHeight="1" thickBot="1" x14ac:dyDescent="0.3">
      <c r="A2936" s="9"/>
    </row>
    <row r="2937" spans="1:1" ht="15.75" customHeight="1" thickBot="1" x14ac:dyDescent="0.3">
      <c r="A2937" s="9"/>
    </row>
    <row r="2938" spans="1:1" ht="15.75" customHeight="1" thickBot="1" x14ac:dyDescent="0.3">
      <c r="A2938" s="9"/>
    </row>
    <row r="2939" spans="1:1" ht="15.75" customHeight="1" thickBot="1" x14ac:dyDescent="0.3">
      <c r="A2939" s="9"/>
    </row>
    <row r="2940" spans="1:1" ht="15.75" customHeight="1" thickBot="1" x14ac:dyDescent="0.3">
      <c r="A2940" s="9"/>
    </row>
    <row r="2941" spans="1:1" ht="15.75" customHeight="1" thickBot="1" x14ac:dyDescent="0.3">
      <c r="A2941" s="9"/>
    </row>
    <row r="2942" spans="1:1" ht="15.75" customHeight="1" thickBot="1" x14ac:dyDescent="0.3">
      <c r="A2942" s="9"/>
    </row>
    <row r="2943" spans="1:1" ht="15.75" customHeight="1" thickBot="1" x14ac:dyDescent="0.3">
      <c r="A2943" s="9"/>
    </row>
    <row r="2944" spans="1:1" ht="15.75" customHeight="1" thickBot="1" x14ac:dyDescent="0.3">
      <c r="A2944" s="9"/>
    </row>
    <row r="2945" spans="1:1" ht="15.75" customHeight="1" thickBot="1" x14ac:dyDescent="0.3">
      <c r="A2945" s="9"/>
    </row>
    <row r="2946" spans="1:1" ht="15.75" customHeight="1" thickBot="1" x14ac:dyDescent="0.3">
      <c r="A2946" s="9"/>
    </row>
    <row r="2947" spans="1:1" ht="15.75" customHeight="1" thickBot="1" x14ac:dyDescent="0.3">
      <c r="A2947" s="9"/>
    </row>
    <row r="2948" spans="1:1" ht="15.75" customHeight="1" thickBot="1" x14ac:dyDescent="0.3">
      <c r="A2948" s="9"/>
    </row>
    <row r="2949" spans="1:1" ht="15.75" customHeight="1" thickBot="1" x14ac:dyDescent="0.3">
      <c r="A2949" s="9"/>
    </row>
    <row r="2950" spans="1:1" ht="15.75" customHeight="1" thickBot="1" x14ac:dyDescent="0.3">
      <c r="A2950" s="9"/>
    </row>
    <row r="2951" spans="1:1" ht="15.75" customHeight="1" thickBot="1" x14ac:dyDescent="0.3">
      <c r="A2951" s="9"/>
    </row>
    <row r="2952" spans="1:1" ht="15.75" customHeight="1" thickBot="1" x14ac:dyDescent="0.3">
      <c r="A2952" s="9"/>
    </row>
    <row r="2953" spans="1:1" ht="15.75" customHeight="1" thickBot="1" x14ac:dyDescent="0.3">
      <c r="A2953" s="9"/>
    </row>
    <row r="2954" spans="1:1" ht="15.75" customHeight="1" thickBot="1" x14ac:dyDescent="0.3">
      <c r="A2954" s="9"/>
    </row>
    <row r="2955" spans="1:1" ht="15.75" customHeight="1" thickBot="1" x14ac:dyDescent="0.3">
      <c r="A2955" s="9"/>
    </row>
    <row r="2956" spans="1:1" ht="15.75" customHeight="1" thickBot="1" x14ac:dyDescent="0.3">
      <c r="A2956" s="9"/>
    </row>
    <row r="2957" spans="1:1" ht="15.75" customHeight="1" thickBot="1" x14ac:dyDescent="0.3">
      <c r="A2957" s="9"/>
    </row>
    <row r="2958" spans="1:1" ht="15.75" customHeight="1" thickBot="1" x14ac:dyDescent="0.3">
      <c r="A2958" s="9"/>
    </row>
    <row r="2959" spans="1:1" ht="15.75" customHeight="1" thickBot="1" x14ac:dyDescent="0.3">
      <c r="A2959" s="9"/>
    </row>
    <row r="2960" spans="1:1" ht="15.75" customHeight="1" thickBot="1" x14ac:dyDescent="0.3">
      <c r="A2960" s="9"/>
    </row>
    <row r="2961" spans="1:1" ht="15.75" customHeight="1" thickBot="1" x14ac:dyDescent="0.3">
      <c r="A2961" s="9"/>
    </row>
    <row r="2962" spans="1:1" ht="15.75" customHeight="1" thickBot="1" x14ac:dyDescent="0.3">
      <c r="A2962" s="9"/>
    </row>
    <row r="2963" spans="1:1" ht="15.75" customHeight="1" thickBot="1" x14ac:dyDescent="0.3">
      <c r="A2963" s="9"/>
    </row>
    <row r="2964" spans="1:1" ht="15.75" customHeight="1" thickBot="1" x14ac:dyDescent="0.3">
      <c r="A2964" s="9"/>
    </row>
    <row r="2965" spans="1:1" ht="15.75" customHeight="1" thickBot="1" x14ac:dyDescent="0.3">
      <c r="A2965" s="9"/>
    </row>
    <row r="2966" spans="1:1" ht="15.75" customHeight="1" thickBot="1" x14ac:dyDescent="0.3">
      <c r="A2966" s="9"/>
    </row>
    <row r="2967" spans="1:1" ht="15.75" customHeight="1" thickBot="1" x14ac:dyDescent="0.3">
      <c r="A2967" s="9"/>
    </row>
    <row r="2968" spans="1:1" ht="15.75" customHeight="1" thickBot="1" x14ac:dyDescent="0.3">
      <c r="A2968" s="9"/>
    </row>
    <row r="2969" spans="1:1" ht="15.75" customHeight="1" thickBot="1" x14ac:dyDescent="0.3">
      <c r="A2969" s="9"/>
    </row>
    <row r="2970" spans="1:1" ht="15.75" customHeight="1" thickBot="1" x14ac:dyDescent="0.3">
      <c r="A2970" s="9"/>
    </row>
    <row r="2971" spans="1:1" ht="15.75" customHeight="1" thickBot="1" x14ac:dyDescent="0.3">
      <c r="A2971" s="9"/>
    </row>
    <row r="2972" spans="1:1" ht="15.75" customHeight="1" thickBot="1" x14ac:dyDescent="0.3">
      <c r="A2972" s="9"/>
    </row>
    <row r="2973" spans="1:1" ht="15.75" customHeight="1" thickBot="1" x14ac:dyDescent="0.3">
      <c r="A2973" s="9"/>
    </row>
    <row r="2974" spans="1:1" ht="15.75" customHeight="1" thickBot="1" x14ac:dyDescent="0.3">
      <c r="A2974" s="9"/>
    </row>
    <row r="2975" spans="1:1" ht="15.75" customHeight="1" thickBot="1" x14ac:dyDescent="0.3">
      <c r="A2975" s="9"/>
    </row>
    <row r="2976" spans="1:1" ht="15.75" customHeight="1" thickBot="1" x14ac:dyDescent="0.3">
      <c r="A2976" s="9"/>
    </row>
    <row r="2977" spans="1:1" ht="15.75" customHeight="1" thickBot="1" x14ac:dyDescent="0.3">
      <c r="A2977" s="9"/>
    </row>
    <row r="2978" spans="1:1" ht="15.75" customHeight="1" thickBot="1" x14ac:dyDescent="0.3">
      <c r="A2978" s="9"/>
    </row>
    <row r="2979" spans="1:1" ht="15.75" customHeight="1" thickBot="1" x14ac:dyDescent="0.3">
      <c r="A2979" s="9"/>
    </row>
    <row r="2980" spans="1:1" ht="15.75" customHeight="1" thickBot="1" x14ac:dyDescent="0.3">
      <c r="A2980" s="9"/>
    </row>
    <row r="2981" spans="1:1" ht="15.75" customHeight="1" thickBot="1" x14ac:dyDescent="0.3">
      <c r="A2981" s="9"/>
    </row>
    <row r="2982" spans="1:1" ht="15.75" customHeight="1" thickBot="1" x14ac:dyDescent="0.3">
      <c r="A2982" s="9"/>
    </row>
    <row r="2983" spans="1:1" ht="15.75" customHeight="1" thickBot="1" x14ac:dyDescent="0.3">
      <c r="A2983" s="9"/>
    </row>
    <row r="2984" spans="1:1" ht="15.75" customHeight="1" thickBot="1" x14ac:dyDescent="0.3">
      <c r="A2984" s="9"/>
    </row>
    <row r="2985" spans="1:1" ht="15.75" customHeight="1" thickBot="1" x14ac:dyDescent="0.3">
      <c r="A2985" s="9"/>
    </row>
    <row r="2986" spans="1:1" ht="15.75" customHeight="1" thickBot="1" x14ac:dyDescent="0.3">
      <c r="A2986" s="9"/>
    </row>
    <row r="2987" spans="1:1" ht="15.75" customHeight="1" thickBot="1" x14ac:dyDescent="0.3">
      <c r="A2987" s="9"/>
    </row>
    <row r="2988" spans="1:1" ht="15.75" customHeight="1" thickBot="1" x14ac:dyDescent="0.3">
      <c r="A2988" s="9"/>
    </row>
    <row r="2989" spans="1:1" ht="15.75" customHeight="1" thickBot="1" x14ac:dyDescent="0.3">
      <c r="A2989" s="9"/>
    </row>
    <row r="2990" spans="1:1" ht="15.75" customHeight="1" thickBot="1" x14ac:dyDescent="0.3">
      <c r="A2990" s="9"/>
    </row>
    <row r="2991" spans="1:1" ht="15.75" customHeight="1" thickBot="1" x14ac:dyDescent="0.3">
      <c r="A2991" s="9"/>
    </row>
    <row r="2992" spans="1:1" ht="15.75" customHeight="1" thickBot="1" x14ac:dyDescent="0.3">
      <c r="A2992" s="9"/>
    </row>
    <row r="2993" spans="1:1" ht="15.75" customHeight="1" thickBot="1" x14ac:dyDescent="0.3">
      <c r="A2993" s="9"/>
    </row>
    <row r="2994" spans="1:1" ht="15.75" customHeight="1" thickBot="1" x14ac:dyDescent="0.3">
      <c r="A2994" s="9"/>
    </row>
    <row r="2995" spans="1:1" ht="15.75" customHeight="1" thickBot="1" x14ac:dyDescent="0.3">
      <c r="A2995" s="9"/>
    </row>
    <row r="2996" spans="1:1" ht="15.75" customHeight="1" thickBot="1" x14ac:dyDescent="0.3">
      <c r="A2996" s="9"/>
    </row>
    <row r="2997" spans="1:1" ht="15.75" customHeight="1" thickBot="1" x14ac:dyDescent="0.3">
      <c r="A2997" s="9"/>
    </row>
    <row r="2998" spans="1:1" ht="15.75" customHeight="1" thickBot="1" x14ac:dyDescent="0.3">
      <c r="A2998" s="9"/>
    </row>
    <row r="2999" spans="1:1" ht="15.75" customHeight="1" thickBot="1" x14ac:dyDescent="0.3">
      <c r="A2999" s="9"/>
    </row>
    <row r="3000" spans="1:1" ht="15.75" customHeight="1" thickBot="1" x14ac:dyDescent="0.3">
      <c r="A3000" s="9"/>
    </row>
    <row r="3001" spans="1:1" ht="15.75" customHeight="1" thickBot="1" x14ac:dyDescent="0.3">
      <c r="A3001" s="9"/>
    </row>
    <row r="3002" spans="1:1" ht="15.75" customHeight="1" thickBot="1" x14ac:dyDescent="0.3">
      <c r="A3002" s="9"/>
    </row>
    <row r="3003" spans="1:1" ht="15.75" customHeight="1" thickBot="1" x14ac:dyDescent="0.3">
      <c r="A3003" s="9"/>
    </row>
    <row r="3004" spans="1:1" ht="15.75" customHeight="1" thickBot="1" x14ac:dyDescent="0.3">
      <c r="A3004" s="9"/>
    </row>
    <row r="3005" spans="1:1" ht="15.75" customHeight="1" thickBot="1" x14ac:dyDescent="0.3">
      <c r="A3005" s="9"/>
    </row>
    <row r="3006" spans="1:1" ht="15.75" customHeight="1" thickBot="1" x14ac:dyDescent="0.3">
      <c r="A3006" s="9"/>
    </row>
    <row r="3007" spans="1:1" ht="15.75" customHeight="1" thickBot="1" x14ac:dyDescent="0.3">
      <c r="A3007" s="9"/>
    </row>
    <row r="3008" spans="1:1" ht="15.75" customHeight="1" thickBot="1" x14ac:dyDescent="0.3">
      <c r="A3008" s="9"/>
    </row>
    <row r="3009" spans="1:1" ht="15.75" customHeight="1" thickBot="1" x14ac:dyDescent="0.3">
      <c r="A3009" s="9"/>
    </row>
    <row r="3010" spans="1:1" ht="15.75" customHeight="1" thickBot="1" x14ac:dyDescent="0.3">
      <c r="A3010" s="9"/>
    </row>
    <row r="3011" spans="1:1" ht="15.75" customHeight="1" thickBot="1" x14ac:dyDescent="0.3">
      <c r="A3011" s="9"/>
    </row>
    <row r="3012" spans="1:1" ht="15.75" customHeight="1" thickBot="1" x14ac:dyDescent="0.3">
      <c r="A3012" s="9"/>
    </row>
    <row r="3013" spans="1:1" ht="15.75" customHeight="1" thickBot="1" x14ac:dyDescent="0.3">
      <c r="A3013" s="9"/>
    </row>
    <row r="3014" spans="1:1" ht="15.75" customHeight="1" thickBot="1" x14ac:dyDescent="0.3">
      <c r="A3014" s="9"/>
    </row>
    <row r="3015" spans="1:1" ht="15.75" customHeight="1" thickBot="1" x14ac:dyDescent="0.3">
      <c r="A3015" s="9"/>
    </row>
    <row r="3016" spans="1:1" ht="15.75" customHeight="1" thickBot="1" x14ac:dyDescent="0.3">
      <c r="A3016" s="9"/>
    </row>
    <row r="3017" spans="1:1" ht="15.75" customHeight="1" thickBot="1" x14ac:dyDescent="0.3">
      <c r="A3017" s="9"/>
    </row>
    <row r="3018" spans="1:1" ht="15.75" customHeight="1" thickBot="1" x14ac:dyDescent="0.3">
      <c r="A3018" s="9"/>
    </row>
    <row r="3019" spans="1:1" ht="15.75" customHeight="1" thickBot="1" x14ac:dyDescent="0.3">
      <c r="A3019" s="9"/>
    </row>
    <row r="3020" spans="1:1" ht="15.75" customHeight="1" thickBot="1" x14ac:dyDescent="0.3">
      <c r="A3020" s="9"/>
    </row>
    <row r="3021" spans="1:1" ht="15.75" customHeight="1" thickBot="1" x14ac:dyDescent="0.3">
      <c r="A3021" s="9"/>
    </row>
    <row r="3022" spans="1:1" ht="15.75" customHeight="1" thickBot="1" x14ac:dyDescent="0.3">
      <c r="A3022" s="9"/>
    </row>
    <row r="3023" spans="1:1" ht="15.75" customHeight="1" thickBot="1" x14ac:dyDescent="0.3">
      <c r="A3023" s="9"/>
    </row>
    <row r="3024" spans="1:1" ht="15.75" customHeight="1" thickBot="1" x14ac:dyDescent="0.3">
      <c r="A3024" s="9"/>
    </row>
    <row r="3025" spans="1:1" ht="15.75" customHeight="1" thickBot="1" x14ac:dyDescent="0.3">
      <c r="A3025" s="9"/>
    </row>
    <row r="3026" spans="1:1" ht="15.75" customHeight="1" thickBot="1" x14ac:dyDescent="0.3">
      <c r="A3026" s="9"/>
    </row>
    <row r="3027" spans="1:1" ht="15.75" customHeight="1" thickBot="1" x14ac:dyDescent="0.3">
      <c r="A3027" s="9"/>
    </row>
    <row r="3028" spans="1:1" ht="15.75" customHeight="1" thickBot="1" x14ac:dyDescent="0.3">
      <c r="A3028" s="9"/>
    </row>
    <row r="3029" spans="1:1" ht="15.75" customHeight="1" thickBot="1" x14ac:dyDescent="0.3">
      <c r="A3029" s="9"/>
    </row>
    <row r="3030" spans="1:1" ht="15.75" customHeight="1" thickBot="1" x14ac:dyDescent="0.3">
      <c r="A3030" s="9"/>
    </row>
  </sheetData>
  <mergeCells count="2">
    <mergeCell ref="F13:H13"/>
    <mergeCell ref="J13:L13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8BE1D-061A-40ED-BEE9-DF6F79EB7802}">
  <sheetPr>
    <outlinePr summaryBelow="0" summaryRight="0"/>
  </sheetPr>
  <dimension ref="A1:Q3024"/>
  <sheetViews>
    <sheetView topLeftCell="E10" workbookViewId="0">
      <selection activeCell="P28" sqref="P28"/>
    </sheetView>
  </sheetViews>
  <sheetFormatPr defaultColWidth="12.6640625" defaultRowHeight="15.75" customHeight="1" x14ac:dyDescent="0.25"/>
  <cols>
    <col min="1" max="1" width="16.33203125" style="13" customWidth="1"/>
    <col min="5" max="5" width="13.21875" bestFit="1" customWidth="1"/>
    <col min="10" max="10" width="12.109375" bestFit="1" customWidth="1"/>
    <col min="13" max="14" width="12.6640625" style="96"/>
  </cols>
  <sheetData>
    <row r="1" spans="1:17" ht="25.5" customHeight="1" x14ac:dyDescent="0.25">
      <c r="A1" s="90" t="s">
        <v>57</v>
      </c>
    </row>
    <row r="2" spans="1:17" ht="16.05" customHeight="1" x14ac:dyDescent="0.25">
      <c r="A2" s="3" t="s">
        <v>62</v>
      </c>
    </row>
    <row r="3" spans="1:17" ht="16.05" customHeight="1" x14ac:dyDescent="0.25">
      <c r="A3" s="91"/>
      <c r="B3" s="91" t="s">
        <v>3</v>
      </c>
      <c r="C3" s="91" t="s">
        <v>4</v>
      </c>
      <c r="E3" s="94" t="s">
        <v>15</v>
      </c>
      <c r="F3" s="93">
        <f>'2.2.'!B9</f>
        <v>8.4920634920634914E-5</v>
      </c>
    </row>
    <row r="4" spans="1:17" ht="16.05" customHeight="1" x14ac:dyDescent="0.25">
      <c r="A4" s="92" t="s">
        <v>18</v>
      </c>
      <c r="B4" s="93">
        <f ca="1">'2.2.'!H6</f>
        <v>1.2334350227477333</v>
      </c>
      <c r="C4" s="93">
        <f ca="1">'2.2.'!I6</f>
        <v>0.55923537412094648</v>
      </c>
    </row>
    <row r="5" spans="1:17" ht="15.75" customHeight="1" thickBot="1" x14ac:dyDescent="0.3">
      <c r="A5" s="92" t="s">
        <v>19</v>
      </c>
      <c r="B5" s="93">
        <f ca="1">'2.2.'!H7</f>
        <v>1.5365955325383055E-4</v>
      </c>
      <c r="C5" s="93">
        <f ca="1">'2.2.'!I7</f>
        <v>1.1281093559541392E-3</v>
      </c>
    </row>
    <row r="6" spans="1:17" ht="15.75" customHeight="1" thickBot="1" x14ac:dyDescent="0.3">
      <c r="A6" s="9"/>
      <c r="B6" s="3" t="s">
        <v>58</v>
      </c>
    </row>
    <row r="7" spans="1:17" ht="13.95" customHeight="1" thickBot="1" x14ac:dyDescent="0.5">
      <c r="A7" s="9"/>
      <c r="B7" s="1" t="s">
        <v>23</v>
      </c>
      <c r="F7" s="156" t="s">
        <v>7</v>
      </c>
      <c r="G7" s="156"/>
      <c r="H7" s="156"/>
      <c r="J7" s="156" t="s">
        <v>85</v>
      </c>
      <c r="K7" s="156"/>
      <c r="L7" s="3"/>
      <c r="M7" s="97" t="s">
        <v>60</v>
      </c>
      <c r="P7" s="157" t="s">
        <v>61</v>
      </c>
      <c r="Q7" s="158"/>
    </row>
    <row r="8" spans="1:17" s="5" customFormat="1" ht="13.05" customHeight="1" thickBot="1" x14ac:dyDescent="0.3">
      <c r="A8" s="14"/>
      <c r="B8" s="6" t="s">
        <v>3</v>
      </c>
      <c r="C8" s="6" t="s">
        <v>4</v>
      </c>
      <c r="D8" s="6" t="s">
        <v>5</v>
      </c>
      <c r="F8" s="89" t="s">
        <v>3</v>
      </c>
      <c r="G8" s="89" t="s">
        <v>4</v>
      </c>
      <c r="H8" s="89" t="s">
        <v>5</v>
      </c>
      <c r="I8"/>
      <c r="J8" s="89" t="s">
        <v>3</v>
      </c>
      <c r="K8" s="89" t="s">
        <v>4</v>
      </c>
      <c r="L8" s="89"/>
      <c r="M8" s="98" t="s">
        <v>3</v>
      </c>
      <c r="N8" s="98" t="s">
        <v>4</v>
      </c>
      <c r="P8" s="137" t="s">
        <v>3</v>
      </c>
      <c r="Q8" s="137" t="s">
        <v>4</v>
      </c>
    </row>
    <row r="9" spans="1:17" ht="13.8" thickBot="1" x14ac:dyDescent="0.3">
      <c r="A9" s="12">
        <v>43832.666666666664</v>
      </c>
      <c r="B9" s="4">
        <v>35.64</v>
      </c>
      <c r="C9" s="2">
        <f ca="1">IFERROR(__xludf.DUMMYFUNCTION("""COMPUTED_VALUE"""),71.65)</f>
        <v>71.650000000000006</v>
      </c>
      <c r="D9" s="2">
        <f ca="1">IFERROR(__xludf.DUMMYFUNCTION("""COMPUTED_VALUE"""),324.87)</f>
        <v>324.87</v>
      </c>
      <c r="G9" s="2"/>
      <c r="P9" s="138">
        <f ca="1">SUM(M10:M70)</f>
        <v>-0.24075732007008266</v>
      </c>
      <c r="Q9" s="138">
        <f ca="1">SUM(N10:N70)</f>
        <v>-0.53488786729826898</v>
      </c>
    </row>
    <row r="10" spans="1:17" ht="13.8" thickBot="1" x14ac:dyDescent="0.3">
      <c r="A10" s="12">
        <v>43833.666666666664</v>
      </c>
      <c r="B10" s="4">
        <v>34.9</v>
      </c>
      <c r="C10" s="2">
        <f ca="1">IFERROR(__xludf.DUMMYFUNCTION("""COMPUTED_VALUE"""),70.93)</f>
        <v>70.930000000000007</v>
      </c>
      <c r="D10" s="2">
        <f ca="1">IFERROR(__xludf.DUMMYFUNCTION("""COMPUTED_VALUE"""),322.41)</f>
        <v>322.41000000000003</v>
      </c>
      <c r="F10" s="16">
        <f>LN(B10/B9)</f>
        <v>-2.0981773394227153E-2</v>
      </c>
      <c r="G10" s="16">
        <f ca="1">LN(C10/C9)</f>
        <v>-1.0099679060185498E-2</v>
      </c>
      <c r="H10" s="16">
        <f ca="1">LN(D10/D9)</f>
        <v>-7.6010747872260667E-3</v>
      </c>
      <c r="J10" s="95">
        <f ca="1">$F$3+$B$4*(H10-$F$3)+$B$5</f>
        <v>-9.241595750180024E-3</v>
      </c>
      <c r="K10" s="95">
        <f ca="1">$F$3+$C$4*(H10-$F$3)+$C$5</f>
        <v>-3.085250534521319E-3</v>
      </c>
      <c r="L10" s="38"/>
      <c r="M10" s="96">
        <f ca="1">F10-J10</f>
        <v>-1.1740177644047129E-2</v>
      </c>
      <c r="N10" s="96">
        <f ca="1">G10-K10</f>
        <v>-7.0144285256641785E-3</v>
      </c>
    </row>
    <row r="11" spans="1:17" ht="13.8" thickBot="1" x14ac:dyDescent="0.3">
      <c r="A11" s="12">
        <v>43836.666666666664</v>
      </c>
      <c r="B11" s="4">
        <v>34.85</v>
      </c>
      <c r="C11" s="2">
        <f ca="1">IFERROR(__xludf.DUMMYFUNCTION("""COMPUTED_VALUE"""),70.99)</f>
        <v>70.989999999999995</v>
      </c>
      <c r="D11" s="2">
        <f ca="1">IFERROR(__xludf.DUMMYFUNCTION("""COMPUTED_VALUE"""),323.64)</f>
        <v>323.64</v>
      </c>
      <c r="F11" s="16">
        <f t="shared" ref="F11:H42" si="0">LN(B11/B10)</f>
        <v>-1.4336920018484744E-3</v>
      </c>
      <c r="G11" s="16">
        <f t="shared" ca="1" si="0"/>
        <v>8.4554683729886986E-4</v>
      </c>
      <c r="H11" s="16">
        <f t="shared" ca="1" si="0"/>
        <v>3.8077594184671988E-3</v>
      </c>
      <c r="J11" s="95">
        <f t="shared" ref="J11:J70" ca="1" si="1">$F$3+$B$4*(H11-$F$3)+$B$5</f>
        <v>4.8304599278443652E-3</v>
      </c>
      <c r="K11" s="95">
        <f t="shared" ref="K11:K70" ca="1" si="2">$F$3+$C$4*(H11-$F$3)+$C$5</f>
        <v>3.2949731307834063E-3</v>
      </c>
      <c r="L11" s="38"/>
      <c r="M11" s="96">
        <f t="shared" ref="M11:M70" ca="1" si="3">F11-J11</f>
        <v>-6.2641519296928391E-3</v>
      </c>
      <c r="N11" s="96">
        <f t="shared" ref="N11:N70" ca="1" si="4">G11-K11</f>
        <v>-2.4494262934845364E-3</v>
      </c>
    </row>
    <row r="12" spans="1:17" ht="13.8" thickBot="1" x14ac:dyDescent="0.3">
      <c r="A12" s="12">
        <v>43837.666666666664</v>
      </c>
      <c r="B12" s="4">
        <v>34.619999999999997</v>
      </c>
      <c r="C12" s="2">
        <f ca="1">IFERROR(__xludf.DUMMYFUNCTION("""COMPUTED_VALUE"""),71.22)</f>
        <v>71.22</v>
      </c>
      <c r="D12" s="2">
        <f ca="1">IFERROR(__xludf.DUMMYFUNCTION("""COMPUTED_VALUE"""),322.73)</f>
        <v>322.73</v>
      </c>
      <c r="F12" s="16">
        <f t="shared" si="0"/>
        <v>-6.6215874584698011E-3</v>
      </c>
      <c r="G12" s="16">
        <f t="shared" ca="1" si="0"/>
        <v>3.2346557983371832E-3</v>
      </c>
      <c r="H12" s="16">
        <f t="shared" ca="1" si="0"/>
        <v>-2.8157266000295596E-3</v>
      </c>
      <c r="J12" s="95">
        <f t="shared" ca="1" si="1"/>
        <v>-3.3391797000494779E-3</v>
      </c>
      <c r="K12" s="95">
        <f t="shared" ca="1" si="2"/>
        <v>-4.0911455075548671E-4</v>
      </c>
      <c r="L12" s="38"/>
      <c r="M12" s="96">
        <f t="shared" ca="1" si="3"/>
        <v>-3.2824077584203233E-3</v>
      </c>
      <c r="N12" s="96">
        <f t="shared" ca="1" si="4"/>
        <v>3.6437703490926699E-3</v>
      </c>
    </row>
    <row r="13" spans="1:17" ht="15.75" customHeight="1" thickBot="1" x14ac:dyDescent="0.3">
      <c r="A13" s="12">
        <v>43838.666666666664</v>
      </c>
      <c r="B13" s="4">
        <v>34.97</v>
      </c>
      <c r="C13" s="2">
        <f ca="1">IFERROR(__xludf.DUMMYFUNCTION("""COMPUTED_VALUE"""),72.08)</f>
        <v>72.08</v>
      </c>
      <c r="D13" s="2">
        <f ca="1">IFERROR(__xludf.DUMMYFUNCTION("""COMPUTED_VALUE"""),324.45)</f>
        <v>324.45</v>
      </c>
      <c r="F13" s="16">
        <f t="shared" si="0"/>
        <v>1.0059001327221269E-2</v>
      </c>
      <c r="G13" s="16">
        <f t="shared" ca="1" si="0"/>
        <v>1.2002935450450771E-2</v>
      </c>
      <c r="H13" s="16">
        <f t="shared" ca="1" si="0"/>
        <v>5.3153807275680134E-3</v>
      </c>
      <c r="J13" s="95">
        <f t="shared" ca="1" si="1"/>
        <v>6.690012851530096E-3</v>
      </c>
      <c r="K13" s="95">
        <f t="shared" ca="1" si="2"/>
        <v>4.1380882976111109E-3</v>
      </c>
      <c r="L13" s="38"/>
      <c r="M13" s="96">
        <f t="shared" ca="1" si="3"/>
        <v>3.3689884756911729E-3</v>
      </c>
      <c r="N13" s="96">
        <f t="shared" ca="1" si="4"/>
        <v>7.8648471528396605E-3</v>
      </c>
    </row>
    <row r="14" spans="1:17" ht="15.75" customHeight="1" thickBot="1" x14ac:dyDescent="0.3">
      <c r="A14" s="12">
        <v>43839.666666666664</v>
      </c>
      <c r="B14" s="4">
        <v>35.03</v>
      </c>
      <c r="C14" s="2">
        <f ca="1">IFERROR(__xludf.DUMMYFUNCTION("""COMPUTED_VALUE"""),71.55)</f>
        <v>71.55</v>
      </c>
      <c r="D14" s="2">
        <f ca="1">IFERROR(__xludf.DUMMYFUNCTION("""COMPUTED_VALUE"""),326.65)</f>
        <v>326.64999999999998</v>
      </c>
      <c r="F14" s="16">
        <f t="shared" si="0"/>
        <v>1.7142861341109266E-3</v>
      </c>
      <c r="G14" s="16">
        <f t="shared" ca="1" si="0"/>
        <v>-7.3801072976225337E-3</v>
      </c>
      <c r="H14" s="16">
        <f t="shared" ca="1" si="0"/>
        <v>6.7578202195817845E-3</v>
      </c>
      <c r="J14" s="95">
        <f t="shared" ca="1" si="1"/>
        <v>8.4691682391743305E-3</v>
      </c>
      <c r="K14" s="95">
        <f t="shared" ca="1" si="2"/>
        <v>4.9447514865742608E-3</v>
      </c>
      <c r="L14" s="38"/>
      <c r="M14" s="96">
        <f t="shared" ca="1" si="3"/>
        <v>-6.7548821050634044E-3</v>
      </c>
      <c r="N14" s="96">
        <f t="shared" ca="1" si="4"/>
        <v>-1.2324858784196795E-2</v>
      </c>
    </row>
    <row r="15" spans="1:17" ht="15.75" customHeight="1" thickBot="1" x14ac:dyDescent="0.3">
      <c r="A15" s="12">
        <v>43840.666666666664</v>
      </c>
      <c r="B15" s="4">
        <v>34.74</v>
      </c>
      <c r="C15" s="2">
        <f ca="1">IFERROR(__xludf.DUMMYFUNCTION("""COMPUTED_VALUE"""),71.55)</f>
        <v>71.55</v>
      </c>
      <c r="D15" s="2">
        <f ca="1">IFERROR(__xludf.DUMMYFUNCTION("""COMPUTED_VALUE"""),325.71)</f>
        <v>325.70999999999998</v>
      </c>
      <c r="F15" s="16">
        <f t="shared" si="0"/>
        <v>-8.3130763964365684E-3</v>
      </c>
      <c r="G15" s="16">
        <f t="shared" ca="1" si="0"/>
        <v>0</v>
      </c>
      <c r="H15" s="16">
        <f t="shared" ca="1" si="0"/>
        <v>-2.8818463748889263E-3</v>
      </c>
      <c r="J15" s="95">
        <f t="shared" ca="1" si="1"/>
        <v>-3.4207341460572157E-3</v>
      </c>
      <c r="K15" s="95">
        <f t="shared" ca="1" si="2"/>
        <v>-4.460910677857575E-4</v>
      </c>
      <c r="L15" s="38"/>
      <c r="M15" s="96">
        <f t="shared" ca="1" si="3"/>
        <v>-4.8923422503793527E-3</v>
      </c>
      <c r="N15" s="96">
        <f t="shared" ca="1" si="4"/>
        <v>4.460910677857575E-4</v>
      </c>
    </row>
    <row r="16" spans="1:17" ht="15.75" customHeight="1" thickBot="1" x14ac:dyDescent="0.3">
      <c r="A16" s="12">
        <v>43843.666666666664</v>
      </c>
      <c r="B16" s="4">
        <v>35.06</v>
      </c>
      <c r="C16" s="2">
        <f ca="1">IFERROR(__xludf.DUMMYFUNCTION("""COMPUTED_VALUE"""),74.27)</f>
        <v>74.27</v>
      </c>
      <c r="D16" s="2">
        <f ca="1">IFERROR(__xludf.DUMMYFUNCTION("""COMPUTED_VALUE"""),327.95)</f>
        <v>327.95</v>
      </c>
      <c r="F16" s="16">
        <f t="shared" si="0"/>
        <v>9.1691186801295468E-3</v>
      </c>
      <c r="G16" s="16">
        <f t="shared" ca="1" si="0"/>
        <v>3.7310595678745125E-2</v>
      </c>
      <c r="H16" s="16">
        <f t="shared" ca="1" si="0"/>
        <v>6.8537428278740787E-3</v>
      </c>
      <c r="J16" s="95">
        <f t="shared" ca="1" si="1"/>
        <v>8.5874825437153596E-3</v>
      </c>
      <c r="K16" s="95">
        <f t="shared" ca="1" si="2"/>
        <v>4.9983948023092587E-3</v>
      </c>
      <c r="L16" s="38"/>
      <c r="M16" s="96">
        <f t="shared" ca="1" si="3"/>
        <v>5.816361364141872E-4</v>
      </c>
      <c r="N16" s="96">
        <f t="shared" ca="1" si="4"/>
        <v>3.2312200876435868E-2</v>
      </c>
    </row>
    <row r="17" spans="1:14" ht="15.75" customHeight="1" thickBot="1" x14ac:dyDescent="0.3">
      <c r="A17" s="12">
        <v>43844.666666666664</v>
      </c>
      <c r="B17" s="4">
        <v>35.32</v>
      </c>
      <c r="C17" s="2">
        <f ca="1">IFERROR(__xludf.DUMMYFUNCTION("""COMPUTED_VALUE"""),72.82)</f>
        <v>72.819999999999993</v>
      </c>
      <c r="D17" s="2">
        <f ca="1">IFERROR(__xludf.DUMMYFUNCTION("""COMPUTED_VALUE"""),327.45)</f>
        <v>327.45</v>
      </c>
      <c r="F17" s="16">
        <f t="shared" si="0"/>
        <v>7.388496242670857E-3</v>
      </c>
      <c r="G17" s="16">
        <f t="shared" ca="1" si="0"/>
        <v>-1.9716458933917717E-2</v>
      </c>
      <c r="H17" s="16">
        <f t="shared" ca="1" si="0"/>
        <v>-1.5257860756819445E-3</v>
      </c>
      <c r="J17" s="95">
        <f t="shared" ca="1" si="1"/>
        <v>-1.7481218800575538E-3</v>
      </c>
      <c r="K17" s="95">
        <f t="shared" ca="1" si="2"/>
        <v>3.1226582097182139E-4</v>
      </c>
      <c r="L17" s="38"/>
      <c r="M17" s="96">
        <f t="shared" ca="1" si="3"/>
        <v>9.1366181227284099E-3</v>
      </c>
      <c r="N17" s="96">
        <f t="shared" ca="1" si="4"/>
        <v>-2.0028724754889538E-2</v>
      </c>
    </row>
    <row r="18" spans="1:14" ht="15.75" customHeight="1" thickBot="1" x14ac:dyDescent="0.3">
      <c r="A18" s="12">
        <v>43845.666666666664</v>
      </c>
      <c r="B18" s="4">
        <v>34.67</v>
      </c>
      <c r="C18" s="2">
        <f ca="1">IFERROR(__xludf.DUMMYFUNCTION("""COMPUTED_VALUE"""),72.91)</f>
        <v>72.91</v>
      </c>
      <c r="D18" s="2">
        <f ca="1">IFERROR(__xludf.DUMMYFUNCTION("""COMPUTED_VALUE"""),328.19)</f>
        <v>328.19</v>
      </c>
      <c r="F18" s="16">
        <f t="shared" si="0"/>
        <v>-1.857461603882711E-2</v>
      </c>
      <c r="G18" s="16">
        <f t="shared" ca="1" si="0"/>
        <v>1.2351610710515859E-3</v>
      </c>
      <c r="H18" s="16">
        <f t="shared" ca="1" si="0"/>
        <v>2.2573373016500859E-3</v>
      </c>
      <c r="J18" s="95">
        <f t="shared" ca="1" si="1"/>
        <v>2.9181149889194605E-3</v>
      </c>
      <c r="K18" s="95">
        <f t="shared" ca="1" si="2"/>
        <v>2.4279222382397984E-3</v>
      </c>
      <c r="L18" s="38"/>
      <c r="M18" s="96">
        <f t="shared" ca="1" si="3"/>
        <v>-2.149273102774657E-2</v>
      </c>
      <c r="N18" s="96">
        <f t="shared" ca="1" si="4"/>
        <v>-1.1927611671882126E-3</v>
      </c>
    </row>
    <row r="19" spans="1:14" ht="15.75" customHeight="1" thickBot="1" x14ac:dyDescent="0.3">
      <c r="A19" s="12">
        <v>43846.666666666664</v>
      </c>
      <c r="B19" s="4">
        <v>34.72</v>
      </c>
      <c r="C19" s="2">
        <f ca="1">IFERROR(__xludf.DUMMYFUNCTION("""COMPUTED_VALUE"""),73.03)</f>
        <v>73.03</v>
      </c>
      <c r="D19" s="2">
        <f ca="1">IFERROR(__xludf.DUMMYFUNCTION("""COMPUTED_VALUE"""),330.92)</f>
        <v>330.92</v>
      </c>
      <c r="F19" s="16">
        <f t="shared" si="0"/>
        <v>1.4411300952172363E-3</v>
      </c>
      <c r="G19" s="16">
        <f t="shared" ca="1" si="0"/>
        <v>1.6445118136795315E-3</v>
      </c>
      <c r="H19" s="16">
        <f t="shared" ca="1" si="0"/>
        <v>8.2839453562695842E-3</v>
      </c>
      <c r="J19" s="95">
        <f t="shared" ca="1" si="1"/>
        <v>1.0351544431860734E-2</v>
      </c>
      <c r="K19" s="95">
        <f t="shared" ca="1" si="2"/>
        <v>5.7982146483452415E-3</v>
      </c>
      <c r="L19" s="38"/>
      <c r="M19" s="96">
        <f t="shared" ca="1" si="3"/>
        <v>-8.910414336643498E-3</v>
      </c>
      <c r="N19" s="96">
        <f t="shared" ca="1" si="4"/>
        <v>-4.1537028346657102E-3</v>
      </c>
    </row>
    <row r="20" spans="1:14" ht="15.75" customHeight="1" thickBot="1" x14ac:dyDescent="0.3">
      <c r="A20" s="12">
        <v>43847.666666666664</v>
      </c>
      <c r="B20" s="4">
        <v>34.71</v>
      </c>
      <c r="C20" s="2">
        <f ca="1">IFERROR(__xludf.DUMMYFUNCTION("""COMPUTED_VALUE"""),72.87)</f>
        <v>72.87</v>
      </c>
      <c r="D20" s="2">
        <f ca="1">IFERROR(__xludf.DUMMYFUNCTION("""COMPUTED_VALUE"""),331.95)</f>
        <v>331.95</v>
      </c>
      <c r="F20" s="16">
        <f t="shared" si="0"/>
        <v>-2.8805991845451477E-4</v>
      </c>
      <c r="G20" s="16">
        <f t="shared" ca="1" si="0"/>
        <v>-2.1932839498275398E-3</v>
      </c>
      <c r="H20" s="16">
        <f t="shared" ca="1" si="0"/>
        <v>3.1077008431860645E-3</v>
      </c>
      <c r="J20" s="95">
        <f t="shared" ca="1" si="1"/>
        <v>3.966983163117734E-3</v>
      </c>
      <c r="K20" s="95">
        <f t="shared" ca="1" si="2"/>
        <v>2.9034756115294841E-3</v>
      </c>
      <c r="L20" s="38"/>
      <c r="M20" s="96">
        <f t="shared" ca="1" si="3"/>
        <v>-4.255043081572249E-3</v>
      </c>
      <c r="N20" s="96">
        <f t="shared" ca="1" si="4"/>
        <v>-5.0967595613570244E-3</v>
      </c>
    </row>
    <row r="21" spans="1:14" ht="15.75" customHeight="1" thickBot="1" x14ac:dyDescent="0.3">
      <c r="A21" s="12">
        <v>43851.666666666664</v>
      </c>
      <c r="B21" s="4">
        <v>34.26</v>
      </c>
      <c r="C21" s="2">
        <f ca="1">IFERROR(__xludf.DUMMYFUNCTION("""COMPUTED_VALUE"""),72.57)</f>
        <v>72.569999999999993</v>
      </c>
      <c r="D21" s="2">
        <f ca="1">IFERROR(__xludf.DUMMYFUNCTION("""COMPUTED_VALUE"""),331.3)</f>
        <v>331.3</v>
      </c>
      <c r="F21" s="16">
        <f t="shared" si="0"/>
        <v>-1.3049336977721098E-2</v>
      </c>
      <c r="G21" s="16">
        <f t="shared" ca="1" si="0"/>
        <v>-4.1254183921454425E-3</v>
      </c>
      <c r="H21" s="16">
        <f t="shared" ca="1" si="0"/>
        <v>-1.9600458593181371E-3</v>
      </c>
      <c r="J21" s="95">
        <f t="shared" ca="1" si="1"/>
        <v>-2.283753106165287E-3</v>
      </c>
      <c r="K21" s="95">
        <f t="shared" ca="1" si="2"/>
        <v>6.9412388404354285E-5</v>
      </c>
      <c r="L21" s="38"/>
      <c r="M21" s="96">
        <f t="shared" ca="1" si="3"/>
        <v>-1.0765583871555812E-2</v>
      </c>
      <c r="N21" s="96">
        <f t="shared" ca="1" si="4"/>
        <v>-4.1948307805497968E-3</v>
      </c>
    </row>
    <row r="22" spans="1:14" ht="13.8" thickBot="1" x14ac:dyDescent="0.3">
      <c r="A22" s="12">
        <v>43852.666666666664</v>
      </c>
      <c r="B22" s="4">
        <v>34.36</v>
      </c>
      <c r="C22" s="2">
        <f ca="1">IFERROR(__xludf.DUMMYFUNCTION("""COMPUTED_VALUE"""),72.16)</f>
        <v>72.16</v>
      </c>
      <c r="D22" s="2">
        <f ca="1">IFERROR(__xludf.DUMMYFUNCTION("""COMPUTED_VALUE"""),331.34)</f>
        <v>331.34</v>
      </c>
      <c r="F22" s="16">
        <f t="shared" si="0"/>
        <v>2.9146042200808488E-3</v>
      </c>
      <c r="G22" s="16">
        <f t="shared" ca="1" si="0"/>
        <v>-5.6657375356773077E-3</v>
      </c>
      <c r="H22" s="16">
        <f t="shared" ca="1" si="0"/>
        <v>1.207292045410948E-4</v>
      </c>
      <c r="J22" s="95">
        <f t="shared" ca="1" si="1"/>
        <v>2.8274773205884119E-4</v>
      </c>
      <c r="K22" s="95">
        <f t="shared" ca="1" si="2"/>
        <v>1.2330554097032078E-3</v>
      </c>
      <c r="L22" s="38"/>
      <c r="M22" s="96">
        <f t="shared" ca="1" si="3"/>
        <v>2.6318564880220075E-3</v>
      </c>
      <c r="N22" s="96">
        <f t="shared" ca="1" si="4"/>
        <v>-6.898792945380516E-3</v>
      </c>
    </row>
    <row r="23" spans="1:14" ht="13.8" thickBot="1" x14ac:dyDescent="0.3">
      <c r="A23" s="12">
        <v>43853.666666666664</v>
      </c>
      <c r="B23" s="4">
        <v>34.119999999999997</v>
      </c>
      <c r="C23" s="2">
        <f ca="1">IFERROR(__xludf.DUMMYFUNCTION("""COMPUTED_VALUE"""),71.61)</f>
        <v>71.61</v>
      </c>
      <c r="D23" s="2">
        <f ca="1">IFERROR(__xludf.DUMMYFUNCTION("""COMPUTED_VALUE"""),331.72)</f>
        <v>331.72</v>
      </c>
      <c r="F23" s="16">
        <f t="shared" si="0"/>
        <v>-7.0093744925762771E-3</v>
      </c>
      <c r="G23" s="16">
        <f t="shared" ca="1" si="0"/>
        <v>-7.6511467355197503E-3</v>
      </c>
      <c r="H23" s="16">
        <f t="shared" ca="1" si="0"/>
        <v>1.1462010726118045E-3</v>
      </c>
      <c r="J23" s="95">
        <f t="shared" ca="1" si="1"/>
        <v>1.5476006489797975E-3</v>
      </c>
      <c r="K23" s="95">
        <f t="shared" ca="1" si="2"/>
        <v>1.8065355534942372E-3</v>
      </c>
      <c r="L23" s="38"/>
      <c r="M23" s="96">
        <f t="shared" ca="1" si="3"/>
        <v>-8.5569751415560738E-3</v>
      </c>
      <c r="N23" s="96">
        <f t="shared" ca="1" si="4"/>
        <v>-9.4576822890139883E-3</v>
      </c>
    </row>
    <row r="24" spans="1:14" ht="13.8" thickBot="1" x14ac:dyDescent="0.3">
      <c r="A24" s="12">
        <v>43854.666666666664</v>
      </c>
      <c r="B24" s="4">
        <v>33.54</v>
      </c>
      <c r="C24" s="2">
        <f ca="1">IFERROR(__xludf.DUMMYFUNCTION("""COMPUTED_VALUE"""),71.07)</f>
        <v>71.069999999999993</v>
      </c>
      <c r="D24" s="2">
        <f ca="1">IFERROR(__xludf.DUMMYFUNCTION("""COMPUTED_VALUE"""),328.77)</f>
        <v>328.77</v>
      </c>
      <c r="F24" s="16">
        <f t="shared" si="0"/>
        <v>-1.7144966228415534E-2</v>
      </c>
      <c r="G24" s="16">
        <f t="shared" ca="1" si="0"/>
        <v>-7.5694221800447223E-3</v>
      </c>
      <c r="H24" s="16">
        <f t="shared" ca="1" si="0"/>
        <v>-8.9328214395926336E-3</v>
      </c>
      <c r="J24" s="95">
        <f t="shared" ca="1" si="1"/>
        <v>-1.0884218712636E-2</v>
      </c>
      <c r="K24" s="95">
        <f t="shared" ca="1" si="2"/>
        <v>-3.8300103718918541E-3</v>
      </c>
      <c r="L24" s="38"/>
      <c r="M24" s="96">
        <f t="shared" ca="1" si="3"/>
        <v>-6.2607475157795342E-3</v>
      </c>
      <c r="N24" s="96">
        <f t="shared" ca="1" si="4"/>
        <v>-3.7394118081528682E-3</v>
      </c>
    </row>
    <row r="25" spans="1:14" ht="13.8" thickBot="1" x14ac:dyDescent="0.3">
      <c r="A25" s="12">
        <v>43857.666666666664</v>
      </c>
      <c r="B25" s="4">
        <v>32.85</v>
      </c>
      <c r="C25" s="2">
        <f ca="1">IFERROR(__xludf.DUMMYFUNCTION("""COMPUTED_VALUE"""),69.16)</f>
        <v>69.16</v>
      </c>
      <c r="D25" s="2">
        <f ca="1">IFERROR(__xludf.DUMMYFUNCTION("""COMPUTED_VALUE"""),323.5)</f>
        <v>323.5</v>
      </c>
      <c r="F25" s="16">
        <f t="shared" si="0"/>
        <v>-2.0787011464443242E-2</v>
      </c>
      <c r="G25" s="16">
        <f t="shared" ca="1" si="0"/>
        <v>-2.7242646023713953E-2</v>
      </c>
      <c r="H25" s="16">
        <f t="shared" ca="1" si="0"/>
        <v>-1.6159304202455257E-2</v>
      </c>
      <c r="J25" s="95">
        <f t="shared" ca="1" si="1"/>
        <v>-1.9797615643633561E-2</v>
      </c>
      <c r="K25" s="95">
        <f t="shared" ca="1" si="2"/>
        <v>-7.8713151633599023E-3</v>
      </c>
      <c r="L25" s="38"/>
      <c r="M25" s="96">
        <f t="shared" ca="1" si="3"/>
        <v>-9.8939582080968119E-4</v>
      </c>
      <c r="N25" s="96">
        <f t="shared" ca="1" si="4"/>
        <v>-1.9371330860354051E-2</v>
      </c>
    </row>
    <row r="26" spans="1:14" ht="13.8" thickBot="1" x14ac:dyDescent="0.3">
      <c r="A26" s="12">
        <v>43858.666666666664</v>
      </c>
      <c r="B26" s="4">
        <v>33.24</v>
      </c>
      <c r="C26" s="2">
        <f ca="1">IFERROR(__xludf.DUMMYFUNCTION("""COMPUTED_VALUE"""),70.57)</f>
        <v>70.569999999999993</v>
      </c>
      <c r="D26" s="2">
        <f ca="1">IFERROR(__xludf.DUMMYFUNCTION("""COMPUTED_VALUE"""),326.89)</f>
        <v>326.89</v>
      </c>
      <c r="F26" s="16">
        <f t="shared" si="0"/>
        <v>1.1802225056627912E-2</v>
      </c>
      <c r="G26" s="16">
        <f t="shared" ca="1" si="0"/>
        <v>2.0182464197649099E-2</v>
      </c>
      <c r="H26" s="16">
        <f t="shared" ca="1" si="0"/>
        <v>1.0424608926697842E-2</v>
      </c>
      <c r="J26" s="95">
        <f t="shared" ca="1" si="1"/>
        <v>1.2991913851547156E-2</v>
      </c>
      <c r="K26" s="95">
        <f t="shared" ca="1" si="2"/>
        <v>6.9953494410207699E-3</v>
      </c>
      <c r="L26" s="38"/>
      <c r="M26" s="96">
        <f t="shared" ca="1" si="3"/>
        <v>-1.1896887949192445E-3</v>
      </c>
      <c r="N26" s="96">
        <f t="shared" ca="1" si="4"/>
        <v>1.3187114756628329E-2</v>
      </c>
    </row>
    <row r="27" spans="1:14" ht="13.8" thickBot="1" x14ac:dyDescent="0.3">
      <c r="A27" s="12">
        <v>43859.666666666664</v>
      </c>
      <c r="B27" s="4">
        <v>33.01</v>
      </c>
      <c r="C27" s="2">
        <f ca="1">IFERROR(__xludf.DUMMYFUNCTION("""COMPUTED_VALUE"""),70.42)</f>
        <v>70.42</v>
      </c>
      <c r="D27" s="2">
        <f ca="1">IFERROR(__xludf.DUMMYFUNCTION("""COMPUTED_VALUE"""),326.62)</f>
        <v>326.62</v>
      </c>
      <c r="F27" s="16">
        <f t="shared" si="0"/>
        <v>-6.9434241221459332E-3</v>
      </c>
      <c r="G27" s="16">
        <f t="shared" ca="1" si="0"/>
        <v>-2.1278112858323507E-3</v>
      </c>
      <c r="H27" s="16">
        <f t="shared" ca="1" si="0"/>
        <v>-8.2630721905587953E-4</v>
      </c>
      <c r="J27" s="95">
        <f t="shared" ca="1" si="1"/>
        <v>-8.8536016062342468E-4</v>
      </c>
      <c r="K27" s="95">
        <f t="shared" ca="1" si="2"/>
        <v>7.0343914104679082E-4</v>
      </c>
      <c r="L27" s="38"/>
      <c r="M27" s="96">
        <f t="shared" ca="1" si="3"/>
        <v>-6.0580639615225081E-3</v>
      </c>
      <c r="N27" s="96">
        <f t="shared" ca="1" si="4"/>
        <v>-2.8312504268791414E-3</v>
      </c>
    </row>
    <row r="28" spans="1:14" ht="13.8" thickBot="1" x14ac:dyDescent="0.3">
      <c r="A28" s="12">
        <v>43860.666666666664</v>
      </c>
      <c r="B28" s="4">
        <v>33.479999999999997</v>
      </c>
      <c r="C28" s="2">
        <f ca="1">IFERROR(__xludf.DUMMYFUNCTION("""COMPUTED_VALUE"""),68.74)</f>
        <v>68.739999999999995</v>
      </c>
      <c r="D28" s="2">
        <f ca="1">IFERROR(__xludf.DUMMYFUNCTION("""COMPUTED_VALUE"""),327.68)</f>
        <v>327.68</v>
      </c>
      <c r="F28" s="16">
        <f t="shared" si="0"/>
        <v>1.4137699756172949E-2</v>
      </c>
      <c r="G28" s="16">
        <f t="shared" ca="1" si="0"/>
        <v>-2.4146042305218711E-2</v>
      </c>
      <c r="H28" s="16">
        <f t="shared" ca="1" si="0"/>
        <v>3.2401067624911622E-3</v>
      </c>
      <c r="J28" s="95">
        <f t="shared" ca="1" si="1"/>
        <v>4.1302972612077514E-3</v>
      </c>
      <c r="K28" s="95">
        <f t="shared" ca="1" si="2"/>
        <v>2.9775216853478986E-3</v>
      </c>
      <c r="L28" s="38"/>
      <c r="M28" s="96">
        <f t="shared" ca="1" si="3"/>
        <v>1.0007402494965198E-2</v>
      </c>
      <c r="N28" s="96">
        <f t="shared" ca="1" si="4"/>
        <v>-2.7123563990566611E-2</v>
      </c>
    </row>
    <row r="29" spans="1:14" ht="13.8" thickBot="1" x14ac:dyDescent="0.3">
      <c r="A29" s="12">
        <v>43861.666666666664</v>
      </c>
      <c r="B29" s="4">
        <v>32.83</v>
      </c>
      <c r="C29" s="2">
        <f ca="1">IFERROR(__xludf.DUMMYFUNCTION("""COMPUTED_VALUE"""),67.8)</f>
        <v>67.8</v>
      </c>
      <c r="D29" s="2">
        <f ca="1">IFERROR(__xludf.DUMMYFUNCTION("""COMPUTED_VALUE"""),321.73)</f>
        <v>321.73</v>
      </c>
      <c r="F29" s="16">
        <f t="shared" si="0"/>
        <v>-1.9605514107773277E-2</v>
      </c>
      <c r="G29" s="16">
        <f t="shared" ca="1" si="0"/>
        <v>-1.3769076475337936E-2</v>
      </c>
      <c r="H29" s="16">
        <f t="shared" ca="1" si="0"/>
        <v>-1.8324837929029017E-2</v>
      </c>
      <c r="J29" s="95">
        <f t="shared" ca="1" si="1"/>
        <v>-2.2468660784931049E-2</v>
      </c>
      <c r="K29" s="95">
        <f t="shared" ca="1" si="2"/>
        <v>-9.0823582271119061E-3</v>
      </c>
      <c r="L29" s="38"/>
      <c r="M29" s="96">
        <f t="shared" ca="1" si="3"/>
        <v>2.8631466771577713E-3</v>
      </c>
      <c r="N29" s="96">
        <f t="shared" ca="1" si="4"/>
        <v>-4.6867182482260294E-3</v>
      </c>
    </row>
    <row r="30" spans="1:14" ht="13.8" thickBot="1" x14ac:dyDescent="0.3">
      <c r="A30" s="12">
        <v>43864.666666666664</v>
      </c>
      <c r="B30" s="4">
        <v>32.97</v>
      </c>
      <c r="C30" s="2">
        <f ca="1">IFERROR(__xludf.DUMMYFUNCTION("""COMPUTED_VALUE"""),68.1)</f>
        <v>68.099999999999994</v>
      </c>
      <c r="D30" s="2">
        <f ca="1">IFERROR(__xludf.DUMMYFUNCTION("""COMPUTED_VALUE"""),324.12)</f>
        <v>324.12</v>
      </c>
      <c r="F30" s="16">
        <f t="shared" si="0"/>
        <v>4.255325570138491E-3</v>
      </c>
      <c r="G30" s="16">
        <f t="shared" ca="1" si="0"/>
        <v>4.4150182091166933E-3</v>
      </c>
      <c r="H30" s="16">
        <f t="shared" ca="1" si="0"/>
        <v>7.4011331104652861E-3</v>
      </c>
      <c r="J30" s="95">
        <f t="shared" ca="1" si="1"/>
        <v>9.262652889375134E-3</v>
      </c>
      <c r="K30" s="95">
        <f t="shared" ca="1" si="2"/>
        <v>5.3045148117843227E-3</v>
      </c>
      <c r="L30" s="38"/>
      <c r="M30" s="96">
        <f t="shared" ca="1" si="3"/>
        <v>-5.007327319236643E-3</v>
      </c>
      <c r="N30" s="96">
        <f t="shared" ca="1" si="4"/>
        <v>-8.8949660266762938E-4</v>
      </c>
    </row>
    <row r="31" spans="1:14" ht="13.8" thickBot="1" x14ac:dyDescent="0.3">
      <c r="A31" s="12">
        <v>43865.666666666664</v>
      </c>
      <c r="B31" s="4">
        <v>33.619999999999997</v>
      </c>
      <c r="C31" s="2">
        <f ca="1">IFERROR(__xludf.DUMMYFUNCTION("""COMPUTED_VALUE"""),69.67)</f>
        <v>69.67</v>
      </c>
      <c r="D31" s="2">
        <f ca="1">IFERROR(__xludf.DUMMYFUNCTION("""COMPUTED_VALUE"""),329.06)</f>
        <v>329.06</v>
      </c>
      <c r="F31" s="16">
        <f t="shared" si="0"/>
        <v>1.9523070896829829E-2</v>
      </c>
      <c r="G31" s="16">
        <f t="shared" ca="1" si="0"/>
        <v>2.2792595886560879E-2</v>
      </c>
      <c r="H31" s="16">
        <f t="shared" ca="1" si="0"/>
        <v>1.512628736597954E-2</v>
      </c>
      <c r="J31" s="95">
        <f t="shared" ca="1" si="1"/>
        <v>1.8791128704255106E-2</v>
      </c>
      <c r="K31" s="95">
        <f t="shared" ca="1" si="2"/>
        <v>9.6246943420088601E-3</v>
      </c>
      <c r="L31" s="38"/>
      <c r="M31" s="96">
        <f t="shared" ca="1" si="3"/>
        <v>7.3194219257472284E-4</v>
      </c>
      <c r="N31" s="96">
        <f t="shared" ca="1" si="4"/>
        <v>1.3167901544552019E-2</v>
      </c>
    </row>
    <row r="32" spans="1:14" ht="13.8" thickBot="1" x14ac:dyDescent="0.3">
      <c r="A32" s="12">
        <v>43866.666666666664</v>
      </c>
      <c r="B32" s="4">
        <v>34.71</v>
      </c>
      <c r="C32" s="2">
        <f ca="1">IFERROR(__xludf.DUMMYFUNCTION("""COMPUTED_VALUE"""),71.25)</f>
        <v>71.25</v>
      </c>
      <c r="D32" s="2">
        <f ca="1">IFERROR(__xludf.DUMMYFUNCTION("""COMPUTED_VALUE"""),332.86)</f>
        <v>332.86</v>
      </c>
      <c r="F32" s="16">
        <f t="shared" si="0"/>
        <v>3.1906701893225455E-2</v>
      </c>
      <c r="G32" s="16">
        <f t="shared" ca="1" si="0"/>
        <v>2.2425010106732274E-2</v>
      </c>
      <c r="H32" s="16">
        <f t="shared" ca="1" si="0"/>
        <v>1.148187620007645E-2</v>
      </c>
      <c r="J32" s="95">
        <f t="shared" ca="1" si="1"/>
        <v>1.4295984334937334E-2</v>
      </c>
      <c r="K32" s="95">
        <f t="shared" ca="1" si="2"/>
        <v>7.5866107001944889E-3</v>
      </c>
      <c r="L32" s="38"/>
      <c r="M32" s="96">
        <f t="shared" ca="1" si="3"/>
        <v>1.7610717558288122E-2</v>
      </c>
      <c r="N32" s="96">
        <f t="shared" ca="1" si="4"/>
        <v>1.4838399406537785E-2</v>
      </c>
    </row>
    <row r="33" spans="1:14" ht="13.8" thickBot="1" x14ac:dyDescent="0.3">
      <c r="A33" s="12">
        <v>43867.666666666664</v>
      </c>
      <c r="B33" s="4">
        <v>34.67</v>
      </c>
      <c r="C33" s="2">
        <f ca="1">IFERROR(__xludf.DUMMYFUNCTION("""COMPUTED_VALUE"""),71.57)</f>
        <v>71.569999999999993</v>
      </c>
      <c r="D33" s="2">
        <f ca="1">IFERROR(__xludf.DUMMYFUNCTION("""COMPUTED_VALUE"""),333.98)</f>
        <v>333.98</v>
      </c>
      <c r="F33" s="16">
        <f t="shared" si="0"/>
        <v>-1.1530701767628101E-3</v>
      </c>
      <c r="G33" s="16">
        <f t="shared" ca="1" si="0"/>
        <v>4.4811726017462191E-3</v>
      </c>
      <c r="H33" s="16">
        <f t="shared" ca="1" si="0"/>
        <v>3.3591297857059428E-3</v>
      </c>
      <c r="J33" s="95">
        <f t="shared" ca="1" si="1"/>
        <v>4.2771044265541777E-3</v>
      </c>
      <c r="K33" s="95">
        <f t="shared" ca="1" si="2"/>
        <v>3.0440835702644224E-3</v>
      </c>
      <c r="L33" s="38"/>
      <c r="M33" s="96">
        <f t="shared" ca="1" si="3"/>
        <v>-5.4301746033169878E-3</v>
      </c>
      <c r="N33" s="96">
        <f t="shared" ca="1" si="4"/>
        <v>1.4370890314817967E-3</v>
      </c>
    </row>
    <row r="34" spans="1:14" ht="13.8" thickBot="1" x14ac:dyDescent="0.3">
      <c r="A34" s="12">
        <v>43868.666666666664</v>
      </c>
      <c r="B34" s="4">
        <v>34.61</v>
      </c>
      <c r="C34" s="2">
        <f ca="1">IFERROR(__xludf.DUMMYFUNCTION("""COMPUTED_VALUE"""),72.05)</f>
        <v>72.05</v>
      </c>
      <c r="D34" s="2">
        <f ca="1">IFERROR(__xludf.DUMMYFUNCTION("""COMPUTED_VALUE"""),332.2)</f>
        <v>332.2</v>
      </c>
      <c r="F34" s="16">
        <f t="shared" si="0"/>
        <v>-1.7321020496792808E-3</v>
      </c>
      <c r="G34" s="16">
        <f t="shared" ca="1" si="0"/>
        <v>6.6843306950249608E-3</v>
      </c>
      <c r="H34" s="16">
        <f t="shared" ca="1" si="0"/>
        <v>-5.3439137650919373E-3</v>
      </c>
      <c r="J34" s="95">
        <f t="shared" ca="1" si="1"/>
        <v>-6.4575342934987193E-3</v>
      </c>
      <c r="K34" s="95">
        <f t="shared" ca="1" si="2"/>
        <v>-1.8229662458569206E-3</v>
      </c>
      <c r="L34" s="38"/>
      <c r="M34" s="96">
        <f t="shared" ca="1" si="3"/>
        <v>4.7254322438194385E-3</v>
      </c>
      <c r="N34" s="96">
        <f t="shared" ca="1" si="4"/>
        <v>8.5072969408818821E-3</v>
      </c>
    </row>
    <row r="35" spans="1:14" ht="13.8" thickBot="1" x14ac:dyDescent="0.3">
      <c r="A35" s="12">
        <v>43871.666666666664</v>
      </c>
      <c r="B35" s="4">
        <v>34.69</v>
      </c>
      <c r="C35" s="2">
        <f ca="1">IFERROR(__xludf.DUMMYFUNCTION("""COMPUTED_VALUE"""),71.75)</f>
        <v>71.75</v>
      </c>
      <c r="D35" s="2">
        <f ca="1">IFERROR(__xludf.DUMMYFUNCTION("""COMPUTED_VALUE"""),334.68)</f>
        <v>334.68</v>
      </c>
      <c r="F35" s="16">
        <f t="shared" si="0"/>
        <v>2.3088033344053115E-3</v>
      </c>
      <c r="G35" s="16">
        <f t="shared" ca="1" si="0"/>
        <v>-4.1724678058005608E-3</v>
      </c>
      <c r="H35" s="16">
        <f t="shared" ca="1" si="0"/>
        <v>7.4376542482034232E-3</v>
      </c>
      <c r="J35" s="95">
        <f t="shared" ca="1" si="1"/>
        <v>9.3076993397319448E-3</v>
      </c>
      <c r="K35" s="95">
        <f t="shared" ca="1" si="2"/>
        <v>5.3249387239106324E-3</v>
      </c>
      <c r="L35" s="38"/>
      <c r="M35" s="96">
        <f t="shared" ca="1" si="3"/>
        <v>-6.9988960053266333E-3</v>
      </c>
      <c r="N35" s="96">
        <f t="shared" ca="1" si="4"/>
        <v>-9.4974065297111932E-3</v>
      </c>
    </row>
    <row r="36" spans="1:14" ht="13.8" thickBot="1" x14ac:dyDescent="0.3">
      <c r="A36" s="12">
        <v>43872.666666666664</v>
      </c>
      <c r="B36" s="4">
        <v>34.770000000000003</v>
      </c>
      <c r="C36" s="2">
        <f ca="1">IFERROR(__xludf.DUMMYFUNCTION("""COMPUTED_VALUE"""),72.19)</f>
        <v>72.19</v>
      </c>
      <c r="D36" s="2">
        <f ca="1">IFERROR(__xludf.DUMMYFUNCTION("""COMPUTED_VALUE"""),335.26)</f>
        <v>335.26</v>
      </c>
      <c r="F36" s="16">
        <f t="shared" si="0"/>
        <v>2.3034850381118471E-3</v>
      </c>
      <c r="G36" s="16">
        <f t="shared" ca="1" si="0"/>
        <v>6.113677511339035E-3</v>
      </c>
      <c r="H36" s="16">
        <f t="shared" ca="1" si="0"/>
        <v>1.7314987757339484E-3</v>
      </c>
      <c r="J36" s="95">
        <f t="shared" ca="1" si="1"/>
        <v>2.2695273347444547E-3</v>
      </c>
      <c r="K36" s="95">
        <f t="shared" ca="1" si="2"/>
        <v>2.1338547334718797E-3</v>
      </c>
      <c r="L36" s="38"/>
      <c r="M36" s="96">
        <f t="shared" ca="1" si="3"/>
        <v>3.3957703367392365E-5</v>
      </c>
      <c r="N36" s="96">
        <f t="shared" ca="1" si="4"/>
        <v>3.9798227778671553E-3</v>
      </c>
    </row>
    <row r="37" spans="1:14" ht="13.8" thickBot="1" x14ac:dyDescent="0.3">
      <c r="A37" s="12">
        <v>43873.666666666664</v>
      </c>
      <c r="B37" s="4">
        <v>34.92</v>
      </c>
      <c r="C37" s="2">
        <f ca="1">IFERROR(__xludf.DUMMYFUNCTION("""COMPUTED_VALUE"""),73.17)</f>
        <v>73.17</v>
      </c>
      <c r="D37" s="2">
        <f ca="1">IFERROR(__xludf.DUMMYFUNCTION("""COMPUTED_VALUE"""),337.42)</f>
        <v>337.42</v>
      </c>
      <c r="F37" s="16">
        <f t="shared" si="0"/>
        <v>4.3047849516313933E-3</v>
      </c>
      <c r="G37" s="16">
        <f t="shared" ca="1" si="0"/>
        <v>1.3483968744868954E-2</v>
      </c>
      <c r="H37" s="16">
        <f t="shared" ca="1" si="0"/>
        <v>6.422094974697104E-3</v>
      </c>
      <c r="J37" s="95">
        <f t="shared" ca="1" si="1"/>
        <v>8.0550729641130064E-3</v>
      </c>
      <c r="K37" s="95">
        <f t="shared" ca="1" si="2"/>
        <v>4.7570020536493295E-3</v>
      </c>
      <c r="L37" s="38"/>
      <c r="M37" s="96">
        <f t="shared" ca="1" si="3"/>
        <v>-3.750288012481613E-3</v>
      </c>
      <c r="N37" s="96">
        <f t="shared" ca="1" si="4"/>
        <v>8.7269666912196241E-3</v>
      </c>
    </row>
    <row r="38" spans="1:14" ht="13.8" thickBot="1" x14ac:dyDescent="0.3">
      <c r="A38" s="12">
        <v>43874.666666666664</v>
      </c>
      <c r="B38" s="4">
        <v>34.909999999999997</v>
      </c>
      <c r="C38" s="2">
        <f ca="1">IFERROR(__xludf.DUMMYFUNCTION("""COMPUTED_VALUE"""),72.88)</f>
        <v>72.88</v>
      </c>
      <c r="D38" s="2">
        <f ca="1">IFERROR(__xludf.DUMMYFUNCTION("""COMPUTED_VALUE"""),337.06)</f>
        <v>337.06</v>
      </c>
      <c r="F38" s="16">
        <f t="shared" si="0"/>
        <v>-2.8640985445690047E-4</v>
      </c>
      <c r="G38" s="16">
        <f t="shared" ca="1" si="0"/>
        <v>-3.9712479442357822E-3</v>
      </c>
      <c r="H38" s="16">
        <f t="shared" ca="1" si="0"/>
        <v>-1.0674891299548971E-3</v>
      </c>
      <c r="J38" s="95">
        <f t="shared" ca="1" si="1"/>
        <v>-1.1828423763794965E-3</v>
      </c>
      <c r="K38" s="95">
        <f t="shared" ca="1" si="2"/>
        <v>5.6856168487397392E-4</v>
      </c>
      <c r="L38" s="38"/>
      <c r="M38" s="96">
        <f t="shared" ca="1" si="3"/>
        <v>8.9643252192259603E-4</v>
      </c>
      <c r="N38" s="96">
        <f t="shared" ca="1" si="4"/>
        <v>-4.5398096291097562E-3</v>
      </c>
    </row>
    <row r="39" spans="1:14" ht="13.8" thickBot="1" x14ac:dyDescent="0.3">
      <c r="A39" s="12">
        <v>43875.666666666664</v>
      </c>
      <c r="B39" s="4">
        <v>34.85</v>
      </c>
      <c r="C39" s="2">
        <f ca="1">IFERROR(__xludf.DUMMYFUNCTION("""COMPUTED_VALUE"""),72.75)</f>
        <v>72.75</v>
      </c>
      <c r="D39" s="2">
        <f ca="1">IFERROR(__xludf.DUMMYFUNCTION("""COMPUTED_VALUE"""),337.6)</f>
        <v>337.6</v>
      </c>
      <c r="F39" s="16">
        <f t="shared" si="0"/>
        <v>-1.7201839104116524E-3</v>
      </c>
      <c r="G39" s="16">
        <f t="shared" ca="1" si="0"/>
        <v>-1.7853469001008957E-3</v>
      </c>
      <c r="H39" s="16">
        <f t="shared" ca="1" si="0"/>
        <v>1.600806673928127E-3</v>
      </c>
      <c r="J39" s="95">
        <f t="shared" ca="1" si="1"/>
        <v>2.1083271191806429E-3</v>
      </c>
      <c r="K39" s="95">
        <f t="shared" ca="1" si="2"/>
        <v>2.0607670870238484E-3</v>
      </c>
      <c r="L39" s="38"/>
      <c r="M39" s="96">
        <f t="shared" ca="1" si="3"/>
        <v>-3.8285110295922953E-3</v>
      </c>
      <c r="N39" s="96">
        <f t="shared" ca="1" si="4"/>
        <v>-3.8461139871247439E-3</v>
      </c>
    </row>
    <row r="40" spans="1:14" ht="13.8" thickBot="1" x14ac:dyDescent="0.3">
      <c r="A40" s="12">
        <v>43879.666666666664</v>
      </c>
      <c r="B40" s="4">
        <v>34.270000000000003</v>
      </c>
      <c r="C40" s="2">
        <f ca="1">IFERROR(__xludf.DUMMYFUNCTION("""COMPUTED_VALUE"""),73.12)</f>
        <v>73.12</v>
      </c>
      <c r="D40" s="2">
        <f ca="1">IFERROR(__xludf.DUMMYFUNCTION("""COMPUTED_VALUE"""),336.73)</f>
        <v>336.73</v>
      </c>
      <c r="F40" s="16">
        <f t="shared" si="0"/>
        <v>-1.6782801320015389E-2</v>
      </c>
      <c r="G40" s="16">
        <f t="shared" ca="1" si="0"/>
        <v>5.0730210942927885E-3</v>
      </c>
      <c r="H40" s="16">
        <f t="shared" ca="1" si="0"/>
        <v>-2.5803404348503393E-3</v>
      </c>
      <c r="J40" s="95">
        <f t="shared" ca="1" si="1"/>
        <v>-3.048846160047144E-3</v>
      </c>
      <c r="K40" s="95">
        <f t="shared" ca="1" si="2"/>
        <v>-2.7747828060859046E-4</v>
      </c>
      <c r="L40" s="38"/>
      <c r="M40" s="96">
        <f t="shared" ca="1" si="3"/>
        <v>-1.3733955159968246E-2</v>
      </c>
      <c r="N40" s="96">
        <f t="shared" ca="1" si="4"/>
        <v>5.3504993749013789E-3</v>
      </c>
    </row>
    <row r="41" spans="1:14" ht="13.8" thickBot="1" x14ac:dyDescent="0.3">
      <c r="A41" s="12">
        <v>43880.666666666664</v>
      </c>
      <c r="B41" s="4">
        <v>34.72</v>
      </c>
      <c r="C41" s="2">
        <f ca="1">IFERROR(__xludf.DUMMYFUNCTION("""COMPUTED_VALUE"""),71.79)</f>
        <v>71.790000000000006</v>
      </c>
      <c r="D41" s="2">
        <f ca="1">IFERROR(__xludf.DUMMYFUNCTION("""COMPUTED_VALUE"""),338.34)</f>
        <v>338.34</v>
      </c>
      <c r="F41" s="16">
        <f t="shared" si="0"/>
        <v>1.3045553905631896E-2</v>
      </c>
      <c r="G41" s="16">
        <f t="shared" ca="1" si="0"/>
        <v>-1.8356736557502924E-2</v>
      </c>
      <c r="H41" s="16">
        <f t="shared" ca="1" si="0"/>
        <v>4.7698847601938162E-3</v>
      </c>
      <c r="J41" s="95">
        <f t="shared" ca="1" si="1"/>
        <v>6.0171790206031061E-3</v>
      </c>
      <c r="K41" s="95">
        <f t="shared" ca="1" si="2"/>
        <v>3.8330276562151345E-3</v>
      </c>
      <c r="L41" s="38"/>
      <c r="M41" s="96">
        <f t="shared" ca="1" si="3"/>
        <v>7.0283748850287894E-3</v>
      </c>
      <c r="N41" s="96">
        <f t="shared" ca="1" si="4"/>
        <v>-2.2189764213718058E-2</v>
      </c>
    </row>
    <row r="42" spans="1:14" ht="13.8" thickBot="1" x14ac:dyDescent="0.3">
      <c r="A42" s="12">
        <v>43881.666666666664</v>
      </c>
      <c r="B42" s="4">
        <v>34.85</v>
      </c>
      <c r="C42" s="2">
        <f ca="1">IFERROR(__xludf.DUMMYFUNCTION("""COMPUTED_VALUE"""),72.43)</f>
        <v>72.430000000000007</v>
      </c>
      <c r="D42" s="2">
        <f ca="1">IFERROR(__xludf.DUMMYFUNCTION("""COMPUTED_VALUE"""),336.95)</f>
        <v>336.95</v>
      </c>
      <c r="F42" s="16">
        <f t="shared" si="0"/>
        <v>3.7372474143835851E-3</v>
      </c>
      <c r="G42" s="16">
        <f t="shared" ca="1" si="0"/>
        <v>8.8753876188430239E-3</v>
      </c>
      <c r="H42" s="16">
        <f t="shared" ca="1" si="0"/>
        <v>-4.1167556549196573E-3</v>
      </c>
      <c r="J42" s="95">
        <f t="shared" ca="1" si="1"/>
        <v>-4.9439145019633075E-3</v>
      </c>
      <c r="K42" s="95">
        <f t="shared" ca="1" si="2"/>
        <v>-1.136696021009172E-3</v>
      </c>
      <c r="L42" s="38"/>
      <c r="M42" s="96">
        <f t="shared" ca="1" si="3"/>
        <v>8.6811619163468922E-3</v>
      </c>
      <c r="N42" s="96">
        <f t="shared" ca="1" si="4"/>
        <v>1.0012083639852195E-2</v>
      </c>
    </row>
    <row r="43" spans="1:14" ht="13.8" thickBot="1" x14ac:dyDescent="0.3">
      <c r="A43" s="12">
        <v>43882.666666666664</v>
      </c>
      <c r="B43" s="4">
        <v>34.36</v>
      </c>
      <c r="C43" s="2">
        <f ca="1">IFERROR(__xludf.DUMMYFUNCTION("""COMPUTED_VALUE"""),71.82)</f>
        <v>71.819999999999993</v>
      </c>
      <c r="D43" s="2">
        <f ca="1">IFERROR(__xludf.DUMMYFUNCTION("""COMPUTED_VALUE"""),333.48)</f>
        <v>333.48</v>
      </c>
      <c r="F43" s="16">
        <f t="shared" ref="F43:H70" si="5">LN(B43/B42)</f>
        <v>-1.4160040090478361E-2</v>
      </c>
      <c r="G43" s="16">
        <f t="shared" ca="1" si="5"/>
        <v>-8.4575894092980778E-3</v>
      </c>
      <c r="H43" s="16">
        <f t="shared" ca="1" si="5"/>
        <v>-1.0351657849813289E-2</v>
      </c>
      <c r="J43" s="95">
        <f t="shared" ca="1" si="1"/>
        <v>-1.2634261232551828E-2</v>
      </c>
      <c r="K43" s="95">
        <f t="shared" ca="1" si="2"/>
        <v>-4.6234738825780232E-3</v>
      </c>
      <c r="L43" s="38"/>
      <c r="M43" s="96">
        <f t="shared" ca="1" si="3"/>
        <v>-1.5257788579265338E-3</v>
      </c>
      <c r="N43" s="96">
        <f t="shared" ca="1" si="4"/>
        <v>-3.8341155267200546E-3</v>
      </c>
    </row>
    <row r="44" spans="1:14" ht="13.8" thickBot="1" x14ac:dyDescent="0.3">
      <c r="A44" s="12">
        <v>43885.666666666664</v>
      </c>
      <c r="B44" s="4">
        <v>32.729999999999997</v>
      </c>
      <c r="C44" s="2">
        <f ca="1">IFERROR(__xludf.DUMMYFUNCTION("""COMPUTED_VALUE"""),70.87)</f>
        <v>70.87</v>
      </c>
      <c r="D44" s="2">
        <f ca="1">IFERROR(__xludf.DUMMYFUNCTION("""COMPUTED_VALUE"""),322.42)</f>
        <v>322.42</v>
      </c>
      <c r="F44" s="16">
        <f t="shared" si="5"/>
        <v>-4.8601008602965588E-2</v>
      </c>
      <c r="G44" s="16">
        <f t="shared" ca="1" si="5"/>
        <v>-1.331577597577195E-2</v>
      </c>
      <c r="H44" s="16">
        <f t="shared" ca="1" si="5"/>
        <v>-3.3727850094560217E-2</v>
      </c>
      <c r="J44" s="95">
        <f t="shared" ca="1" si="1"/>
        <v>-4.1467275445706636E-2</v>
      </c>
      <c r="K44" s="95">
        <f t="shared" ca="1" si="2"/>
        <v>-1.7696267498092236E-2</v>
      </c>
      <c r="L44" s="38"/>
      <c r="M44" s="96">
        <f t="shared" ca="1" si="3"/>
        <v>-7.1337331572589521E-3</v>
      </c>
      <c r="N44" s="96">
        <f t="shared" ca="1" si="4"/>
        <v>4.3804915223202862E-3</v>
      </c>
    </row>
    <row r="45" spans="1:14" ht="13.8" thickBot="1" x14ac:dyDescent="0.3">
      <c r="A45" s="12">
        <v>43886.666666666664</v>
      </c>
      <c r="B45" s="4">
        <v>31.08</v>
      </c>
      <c r="C45" s="2">
        <f ca="1">IFERROR(__xludf.DUMMYFUNCTION("""COMPUTED_VALUE"""),67.3)</f>
        <v>67.3</v>
      </c>
      <c r="D45" s="2">
        <f ca="1">IFERROR(__xludf.DUMMYFUNCTION("""COMPUTED_VALUE"""),312.65)</f>
        <v>312.64999999999998</v>
      </c>
      <c r="F45" s="16">
        <f t="shared" si="5"/>
        <v>-5.1727563013642383E-2</v>
      </c>
      <c r="G45" s="16">
        <f t="shared" ca="1" si="5"/>
        <v>-5.1686976171482657E-2</v>
      </c>
      <c r="H45" s="16">
        <f t="shared" ca="1" si="5"/>
        <v>-3.0770689434545594E-2</v>
      </c>
      <c r="J45" s="95">
        <f t="shared" ca="1" si="1"/>
        <v>-3.7819809919752805E-2</v>
      </c>
      <c r="K45" s="95">
        <f t="shared" ca="1" si="2"/>
        <v>-1.6042518650053215E-2</v>
      </c>
      <c r="L45" s="38"/>
      <c r="M45" s="96">
        <f t="shared" ca="1" si="3"/>
        <v>-1.3907753093889579E-2</v>
      </c>
      <c r="N45" s="96">
        <f t="shared" ca="1" si="4"/>
        <v>-3.5644457521429446E-2</v>
      </c>
    </row>
    <row r="46" spans="1:14" ht="13.8" thickBot="1" x14ac:dyDescent="0.3">
      <c r="A46" s="12">
        <v>43887.666666666664</v>
      </c>
      <c r="B46" s="4">
        <v>30.63</v>
      </c>
      <c r="C46" s="2">
        <f ca="1">IFERROR(__xludf.DUMMYFUNCTION("""COMPUTED_VALUE"""),65.94)</f>
        <v>65.94</v>
      </c>
      <c r="D46" s="2">
        <f ca="1">IFERROR(__xludf.DUMMYFUNCTION("""COMPUTED_VALUE"""),311.5)</f>
        <v>311.5</v>
      </c>
      <c r="F46" s="16">
        <f t="shared" si="5"/>
        <v>-1.458460465476284E-2</v>
      </c>
      <c r="G46" s="16">
        <f t="shared" ca="1" si="5"/>
        <v>-2.0414999007097166E-2</v>
      </c>
      <c r="H46" s="16">
        <f t="shared" ca="1" si="5"/>
        <v>-3.6850157857990506E-3</v>
      </c>
      <c r="J46" s="95">
        <f t="shared" ca="1" si="1"/>
        <v>-4.4113914266734281E-3</v>
      </c>
      <c r="K46" s="95">
        <f t="shared" ca="1" si="2"/>
        <v>-8.9525181377858132E-4</v>
      </c>
      <c r="L46" s="38"/>
      <c r="M46" s="96">
        <f t="shared" ca="1" si="3"/>
        <v>-1.0173213228089412E-2</v>
      </c>
      <c r="N46" s="96">
        <f t="shared" ca="1" si="4"/>
        <v>-1.9519747193318584E-2</v>
      </c>
    </row>
    <row r="47" spans="1:14" ht="13.8" thickBot="1" x14ac:dyDescent="0.3">
      <c r="A47" s="12">
        <v>43888.666666666664</v>
      </c>
      <c r="B47" s="4">
        <v>29.13</v>
      </c>
      <c r="C47" s="2">
        <f ca="1">IFERROR(__xludf.DUMMYFUNCTION("""COMPUTED_VALUE"""),64.42)</f>
        <v>64.42</v>
      </c>
      <c r="D47" s="2">
        <f ca="1">IFERROR(__xludf.DUMMYFUNCTION("""COMPUTED_VALUE"""),297.51)</f>
        <v>297.51</v>
      </c>
      <c r="F47" s="16">
        <f t="shared" si="5"/>
        <v>-5.0211349873340624E-2</v>
      </c>
      <c r="G47" s="16">
        <f t="shared" ca="1" si="5"/>
        <v>-2.3321093740532126E-2</v>
      </c>
      <c r="H47" s="16">
        <f t="shared" ca="1" si="5"/>
        <v>-4.5951500361364486E-2</v>
      </c>
      <c r="J47" s="95">
        <f t="shared" ca="1" si="1"/>
        <v>-5.65443537906027E-2</v>
      </c>
      <c r="K47" s="95">
        <f t="shared" ca="1" si="2"/>
        <v>-2.4532165128172127E-2</v>
      </c>
      <c r="L47" s="38"/>
      <c r="M47" s="96">
        <f t="shared" ca="1" si="3"/>
        <v>6.3330039172620756E-3</v>
      </c>
      <c r="N47" s="96">
        <f t="shared" ca="1" si="4"/>
        <v>1.211071387640001E-3</v>
      </c>
    </row>
    <row r="48" spans="1:14" ht="13.8" thickBot="1" x14ac:dyDescent="0.3">
      <c r="A48" s="12">
        <v>43889.666666666664</v>
      </c>
      <c r="B48" s="4">
        <v>28.5</v>
      </c>
      <c r="C48" s="2">
        <f ca="1">IFERROR(__xludf.DUMMYFUNCTION("""COMPUTED_VALUE"""),59.94)</f>
        <v>59.94</v>
      </c>
      <c r="D48" s="2">
        <f ca="1">IFERROR(__xludf.DUMMYFUNCTION("""COMPUTED_VALUE"""),296.26)</f>
        <v>296.26</v>
      </c>
      <c r="F48" s="16">
        <f t="shared" si="5"/>
        <v>-2.18644836967384E-2</v>
      </c>
      <c r="G48" s="16">
        <f t="shared" ca="1" si="5"/>
        <v>-7.208008201453564E-2</v>
      </c>
      <c r="H48" s="16">
        <f t="shared" ca="1" si="5"/>
        <v>-4.2103907122373373E-3</v>
      </c>
      <c r="J48" s="95">
        <f t="shared" ca="1" si="1"/>
        <v>-5.0594072610159252E-3</v>
      </c>
      <c r="K48" s="95">
        <f t="shared" ca="1" si="2"/>
        <v>-1.1890600573190612E-3</v>
      </c>
      <c r="L48" s="38"/>
      <c r="M48" s="96">
        <f t="shared" ca="1" si="3"/>
        <v>-1.6805076435722474E-2</v>
      </c>
      <c r="N48" s="96">
        <f t="shared" ca="1" si="4"/>
        <v>-7.0891021957216582E-2</v>
      </c>
    </row>
    <row r="49" spans="1:14" ht="13.8" thickBot="1" x14ac:dyDescent="0.3">
      <c r="A49" s="12">
        <v>43892.666666666664</v>
      </c>
      <c r="B49" s="4">
        <v>29.37</v>
      </c>
      <c r="C49" s="2">
        <f ca="1">IFERROR(__xludf.DUMMYFUNCTION("""COMPUTED_VALUE"""),57.62)</f>
        <v>57.62</v>
      </c>
      <c r="D49" s="2">
        <f ca="1">IFERROR(__xludf.DUMMYFUNCTION("""COMPUTED_VALUE"""),309.09)</f>
        <v>309.08999999999997</v>
      </c>
      <c r="F49" s="16">
        <f t="shared" si="5"/>
        <v>3.0069657935923914E-2</v>
      </c>
      <c r="G49" s="16">
        <f t="shared" ca="1" si="5"/>
        <v>-3.9474332232134743E-2</v>
      </c>
      <c r="H49" s="16">
        <f t="shared" ca="1" si="5"/>
        <v>4.2395049471180134E-2</v>
      </c>
      <c r="J49" s="95">
        <f t="shared" ca="1" si="1"/>
        <v>5.2425374911785727E-2</v>
      </c>
      <c r="K49" s="95">
        <f t="shared" ca="1" si="2"/>
        <v>2.4874350719725803E-2</v>
      </c>
      <c r="L49" s="38"/>
      <c r="M49" s="96">
        <f t="shared" ca="1" si="3"/>
        <v>-2.2355716975861813E-2</v>
      </c>
      <c r="N49" s="96">
        <f t="shared" ca="1" si="4"/>
        <v>-6.4348682951860553E-2</v>
      </c>
    </row>
    <row r="50" spans="1:14" ht="13.8" thickBot="1" x14ac:dyDescent="0.3">
      <c r="A50" s="12">
        <v>43893.666666666664</v>
      </c>
      <c r="B50" s="4">
        <v>27.75</v>
      </c>
      <c r="C50" s="2">
        <f ca="1">IFERROR(__xludf.DUMMYFUNCTION("""COMPUTED_VALUE"""),58.33)</f>
        <v>58.33</v>
      </c>
      <c r="D50" s="2">
        <f ca="1">IFERROR(__xludf.DUMMYFUNCTION("""COMPUTED_VALUE"""),300.24)</f>
        <v>300.24</v>
      </c>
      <c r="F50" s="16">
        <f t="shared" si="5"/>
        <v>-5.6737905018085184E-2</v>
      </c>
      <c r="G50" s="16">
        <f t="shared" ca="1" si="5"/>
        <v>1.2246811109163824E-2</v>
      </c>
      <c r="H50" s="16">
        <f t="shared" ca="1" si="5"/>
        <v>-2.9050341798320847E-2</v>
      </c>
      <c r="J50" s="95">
        <f t="shared" ca="1" si="1"/>
        <v>-3.5697872893931927E-2</v>
      </c>
      <c r="K50" s="95">
        <f t="shared" ca="1" si="2"/>
        <v>-1.5080439396090984E-2</v>
      </c>
      <c r="L50" s="38"/>
      <c r="M50" s="96">
        <f t="shared" ca="1" si="3"/>
        <v>-2.1040032124153257E-2</v>
      </c>
      <c r="N50" s="96">
        <f t="shared" ca="1" si="4"/>
        <v>2.7327250505254808E-2</v>
      </c>
    </row>
    <row r="51" spans="1:14" ht="13.8" thickBot="1" x14ac:dyDescent="0.3">
      <c r="A51" s="12">
        <v>43894.666666666664</v>
      </c>
      <c r="B51" s="4">
        <v>28.39</v>
      </c>
      <c r="C51" s="2">
        <f ca="1">IFERROR(__xludf.DUMMYFUNCTION("""COMPUTED_VALUE"""),59.27)</f>
        <v>59.27</v>
      </c>
      <c r="D51" s="2">
        <f ca="1">IFERROR(__xludf.DUMMYFUNCTION("""COMPUTED_VALUE"""),312.86)</f>
        <v>312.86</v>
      </c>
      <c r="F51" s="16">
        <f t="shared" si="5"/>
        <v>2.280113029243629E-2</v>
      </c>
      <c r="G51" s="16">
        <f t="shared" ca="1" si="5"/>
        <v>1.5986735034200728E-2</v>
      </c>
      <c r="H51" s="16">
        <f t="shared" ca="1" si="5"/>
        <v>4.1173651306858822E-2</v>
      </c>
      <c r="J51" s="95">
        <f t="shared" ca="1" si="1"/>
        <v>5.091885963919203E-2</v>
      </c>
      <c r="K51" s="95">
        <f t="shared" ca="1" si="2"/>
        <v>2.4191301660350939E-2</v>
      </c>
      <c r="L51" s="38"/>
      <c r="M51" s="96">
        <f t="shared" ca="1" si="3"/>
        <v>-2.811772934675574E-2</v>
      </c>
      <c r="N51" s="96">
        <f t="shared" ca="1" si="4"/>
        <v>-8.2045666261502115E-3</v>
      </c>
    </row>
    <row r="52" spans="1:14" ht="13.8" thickBot="1" x14ac:dyDescent="0.3">
      <c r="A52" s="12">
        <v>43895.666666666664</v>
      </c>
      <c r="B52" s="4">
        <v>26.78</v>
      </c>
      <c r="C52" s="2">
        <f ca="1">IFERROR(__xludf.DUMMYFUNCTION("""COMPUTED_VALUE"""),58.6)</f>
        <v>58.6</v>
      </c>
      <c r="D52" s="2">
        <f ca="1">IFERROR(__xludf.DUMMYFUNCTION("""COMPUTED_VALUE"""),302.46)</f>
        <v>302.45999999999998</v>
      </c>
      <c r="F52" s="16">
        <f t="shared" si="5"/>
        <v>-5.8381630221853352E-2</v>
      </c>
      <c r="G52" s="16">
        <f t="shared" ca="1" si="5"/>
        <v>-1.1368579216779934E-2</v>
      </c>
      <c r="H52" s="16">
        <f t="shared" ca="1" si="5"/>
        <v>-3.3806768811029911E-2</v>
      </c>
      <c r="J52" s="95">
        <f t="shared" ca="1" si="1"/>
        <v>-4.1564616554550654E-2</v>
      </c>
      <c r="K52" s="95">
        <f t="shared" ca="1" si="2"/>
        <v>-1.7740401636022311E-2</v>
      </c>
      <c r="L52" s="38"/>
      <c r="M52" s="96">
        <f t="shared" ca="1" si="3"/>
        <v>-1.6817013667302698E-2</v>
      </c>
      <c r="N52" s="96">
        <f t="shared" ca="1" si="4"/>
        <v>6.3718224192423761E-3</v>
      </c>
    </row>
    <row r="53" spans="1:14" ht="13.8" thickBot="1" x14ac:dyDescent="0.3">
      <c r="A53" s="12">
        <v>43896.666666666664</v>
      </c>
      <c r="B53" s="4">
        <v>25.71</v>
      </c>
      <c r="C53" s="2">
        <f ca="1">IFERROR(__xludf.DUMMYFUNCTION("""COMPUTED_VALUE"""),57.88)</f>
        <v>57.88</v>
      </c>
      <c r="D53" s="2">
        <f ca="1">IFERROR(__xludf.DUMMYFUNCTION("""COMPUTED_VALUE"""),297.46)</f>
        <v>297.45999999999998</v>
      </c>
      <c r="F53" s="16">
        <f t="shared" si="5"/>
        <v>-4.0775318985228341E-2</v>
      </c>
      <c r="G53" s="16">
        <f t="shared" ca="1" si="5"/>
        <v>-1.2362794819683757E-2</v>
      </c>
      <c r="H53" s="16">
        <f t="shared" ca="1" si="5"/>
        <v>-1.6669275158142611E-2</v>
      </c>
      <c r="J53" s="95">
        <f t="shared" ca="1" si="1"/>
        <v>-2.0426631680962475E-2</v>
      </c>
      <c r="K53" s="95">
        <f t="shared" ca="1" si="2"/>
        <v>-8.1565089615545372E-3</v>
      </c>
      <c r="L53" s="38"/>
      <c r="M53" s="96">
        <f t="shared" ca="1" si="3"/>
        <v>-2.0348687304265867E-2</v>
      </c>
      <c r="N53" s="96">
        <f t="shared" ca="1" si="4"/>
        <v>-4.2062858581292193E-3</v>
      </c>
    </row>
    <row r="54" spans="1:14" ht="13.8" thickBot="1" x14ac:dyDescent="0.3">
      <c r="A54" s="12">
        <v>43899.666666666664</v>
      </c>
      <c r="B54" s="4">
        <v>21.93</v>
      </c>
      <c r="C54" s="2">
        <f ca="1">IFERROR(__xludf.DUMMYFUNCTION("""COMPUTED_VALUE"""),53.85)</f>
        <v>53.85</v>
      </c>
      <c r="D54" s="2">
        <f ca="1">IFERROR(__xludf.DUMMYFUNCTION("""COMPUTED_VALUE"""),274.23)</f>
        <v>274.23</v>
      </c>
      <c r="F54" s="16">
        <f t="shared" si="5"/>
        <v>-0.15902445884800132</v>
      </c>
      <c r="G54" s="16">
        <f t="shared" ca="1" si="5"/>
        <v>-7.2169498160885567E-2</v>
      </c>
      <c r="H54" s="16">
        <f t="shared" ca="1" si="5"/>
        <v>-8.1312591830614719E-2</v>
      </c>
      <c r="J54" s="95">
        <f t="shared" ca="1" si="1"/>
        <v>-0.10015996245136204</v>
      </c>
      <c r="K54" s="95">
        <f t="shared" ca="1" si="2"/>
        <v>-4.4307338345303302E-2</v>
      </c>
      <c r="L54" s="38"/>
      <c r="M54" s="96">
        <f t="shared" ca="1" si="3"/>
        <v>-5.8864496396639279E-2</v>
      </c>
      <c r="N54" s="96">
        <f t="shared" ca="1" si="4"/>
        <v>-2.7862159815582266E-2</v>
      </c>
    </row>
    <row r="55" spans="1:14" ht="13.8" thickBot="1" x14ac:dyDescent="0.3">
      <c r="A55" s="12">
        <v>43900.666666666664</v>
      </c>
      <c r="B55" s="4">
        <v>23.61</v>
      </c>
      <c r="C55" s="2">
        <f ca="1">IFERROR(__xludf.DUMMYFUNCTION("""COMPUTED_VALUE"""),46.74)</f>
        <v>46.74</v>
      </c>
      <c r="D55" s="2">
        <f ca="1">IFERROR(__xludf.DUMMYFUNCTION("""COMPUTED_VALUE"""),288.42)</f>
        <v>288.42</v>
      </c>
      <c r="F55" s="16">
        <f t="shared" si="5"/>
        <v>7.3814788667624615E-2</v>
      </c>
      <c r="G55" s="16">
        <f t="shared" ca="1" si="5"/>
        <v>-0.1416020744916856</v>
      </c>
      <c r="H55" s="16">
        <f t="shared" ca="1" si="5"/>
        <v>5.0450580800087193E-2</v>
      </c>
      <c r="J55" s="95">
        <f t="shared" ca="1" si="1"/>
        <v>6.2361349379701288E-2</v>
      </c>
      <c r="K55" s="95">
        <f t="shared" ca="1" si="2"/>
        <v>2.9379288796190148E-2</v>
      </c>
      <c r="L55" s="38"/>
      <c r="M55" s="96">
        <f t="shared" ca="1" si="3"/>
        <v>1.1453439287923327E-2</v>
      </c>
      <c r="N55" s="96">
        <f t="shared" ca="1" si="4"/>
        <v>-0.17098136328787575</v>
      </c>
    </row>
    <row r="56" spans="1:14" ht="13.8" thickBot="1" x14ac:dyDescent="0.3">
      <c r="A56" s="12">
        <v>43901.666666666664</v>
      </c>
      <c r="B56" s="4">
        <v>22.67</v>
      </c>
      <c r="C56" s="2">
        <f ca="1">IFERROR(__xludf.DUMMYFUNCTION("""COMPUTED_VALUE"""),46.12)</f>
        <v>46.12</v>
      </c>
      <c r="D56" s="2">
        <f ca="1">IFERROR(__xludf.DUMMYFUNCTION("""COMPUTED_VALUE"""),274.36)</f>
        <v>274.36</v>
      </c>
      <c r="F56" s="16">
        <f t="shared" si="5"/>
        <v>-4.0627886577983795E-2</v>
      </c>
      <c r="G56" s="16">
        <f t="shared" ca="1" si="5"/>
        <v>-1.3353633709853752E-2</v>
      </c>
      <c r="H56" s="16">
        <f t="shared" ca="1" si="5"/>
        <v>-4.9976638502803712E-2</v>
      </c>
      <c r="J56" s="95">
        <f t="shared" ca="1" si="1"/>
        <v>-6.1509100145651557E-2</v>
      </c>
      <c r="K56" s="95">
        <f t="shared" ca="1" si="2"/>
        <v>-2.6783164762588386E-2</v>
      </c>
      <c r="L56" s="38"/>
      <c r="M56" s="96">
        <f t="shared" ca="1" si="3"/>
        <v>2.0881213567667763E-2</v>
      </c>
      <c r="N56" s="96">
        <f t="shared" ca="1" si="4"/>
        <v>1.3429531052734634E-2</v>
      </c>
    </row>
    <row r="57" spans="1:14" ht="13.8" thickBot="1" x14ac:dyDescent="0.3">
      <c r="A57" s="12">
        <v>43902.666666666664</v>
      </c>
      <c r="B57" s="4">
        <v>20.51</v>
      </c>
      <c r="C57" s="2">
        <f ca="1">IFERROR(__xludf.DUMMYFUNCTION("""COMPUTED_VALUE"""),47.45)</f>
        <v>47.45</v>
      </c>
      <c r="D57" s="2">
        <f ca="1">IFERROR(__xludf.DUMMYFUNCTION("""COMPUTED_VALUE"""),248.11)</f>
        <v>248.11</v>
      </c>
      <c r="F57" s="16">
        <f t="shared" si="5"/>
        <v>-0.10012989243514835</v>
      </c>
      <c r="G57" s="16">
        <f t="shared" ca="1" si="5"/>
        <v>2.8429829655078731E-2</v>
      </c>
      <c r="H57" s="16">
        <f t="shared" ca="1" si="5"/>
        <v>-0.10056891641755006</v>
      </c>
      <c r="J57" s="95">
        <f t="shared" ca="1" si="1"/>
        <v>-0.12391138760628637</v>
      </c>
      <c r="K57" s="95">
        <f t="shared" ca="1" si="2"/>
        <v>-5.5076156229872462E-2</v>
      </c>
      <c r="L57" s="38"/>
      <c r="M57" s="96">
        <f t="shared" ca="1" si="3"/>
        <v>2.378149517113802E-2</v>
      </c>
      <c r="N57" s="96">
        <f t="shared" ca="1" si="4"/>
        <v>8.35059858849512E-2</v>
      </c>
    </row>
    <row r="58" spans="1:14" ht="13.8" thickBot="1" x14ac:dyDescent="0.3">
      <c r="A58" s="12">
        <v>43903.666666666664</v>
      </c>
      <c r="B58" s="4">
        <v>24.16</v>
      </c>
      <c r="C58" s="2">
        <f ca="1">IFERROR(__xludf.DUMMYFUNCTION("""COMPUTED_VALUE"""),39.8)</f>
        <v>39.799999999999997</v>
      </c>
      <c r="D58" s="2">
        <f ca="1">IFERROR(__xludf.DUMMYFUNCTION("""COMPUTED_VALUE"""),269.32)</f>
        <v>269.32</v>
      </c>
      <c r="F58" s="16">
        <f t="shared" si="5"/>
        <v>0.16378580098232493</v>
      </c>
      <c r="G58" s="16">
        <f t="shared" ca="1" si="5"/>
        <v>-0.17580961276554502</v>
      </c>
      <c r="H58" s="16">
        <f t="shared" ca="1" si="5"/>
        <v>8.2028067463509408E-2</v>
      </c>
      <c r="J58" s="95">
        <f t="shared" ca="1" si="1"/>
        <v>0.10131012736071571</v>
      </c>
      <c r="K58" s="95">
        <f t="shared" ca="1" si="2"/>
        <v>4.703853636420826E-2</v>
      </c>
      <c r="L58" s="38"/>
      <c r="M58" s="96">
        <f t="shared" ca="1" si="3"/>
        <v>6.2475673621609218E-2</v>
      </c>
      <c r="N58" s="96">
        <f t="shared" ca="1" si="4"/>
        <v>-0.22284814912975329</v>
      </c>
    </row>
    <row r="59" spans="1:14" ht="13.8" thickBot="1" x14ac:dyDescent="0.3">
      <c r="A59" s="12">
        <v>43906.666666666664</v>
      </c>
      <c r="B59" s="4">
        <v>20.440000000000001</v>
      </c>
      <c r="C59" s="2">
        <f ca="1">IFERROR(__xludf.DUMMYFUNCTION("""COMPUTED_VALUE"""),41.44)</f>
        <v>41.44</v>
      </c>
      <c r="D59" s="2">
        <f ca="1">IFERROR(__xludf.DUMMYFUNCTION("""COMPUTED_VALUE"""),239.85)</f>
        <v>239.85</v>
      </c>
      <c r="F59" s="16">
        <f t="shared" si="5"/>
        <v>-0.16720460773111046</v>
      </c>
      <c r="G59" s="16">
        <f t="shared" ca="1" si="5"/>
        <v>4.0379685660835579E-2</v>
      </c>
      <c r="H59" s="16">
        <f t="shared" ca="1" si="5"/>
        <v>-0.11588653572900726</v>
      </c>
      <c r="J59" s="95">
        <f t="shared" ca="1" si="1"/>
        <v>-0.14280467573015468</v>
      </c>
      <c r="K59" s="95">
        <f t="shared" ca="1" si="2"/>
        <v>-6.3642310796157453E-2</v>
      </c>
      <c r="L59" s="38"/>
      <c r="M59" s="96">
        <f t="shared" ca="1" si="3"/>
        <v>-2.4399932000955776E-2</v>
      </c>
      <c r="N59" s="96">
        <f t="shared" ca="1" si="4"/>
        <v>0.10402199645699303</v>
      </c>
    </row>
    <row r="60" spans="1:14" ht="13.8" thickBot="1" x14ac:dyDescent="0.3">
      <c r="A60" s="12">
        <v>43907.666666666664</v>
      </c>
      <c r="B60" s="4">
        <v>21.98</v>
      </c>
      <c r="C60" s="2">
        <f ca="1">IFERROR(__xludf.DUMMYFUNCTION("""COMPUTED_VALUE"""),38.03)</f>
        <v>38.03</v>
      </c>
      <c r="D60" s="2">
        <f ca="1">IFERROR(__xludf.DUMMYFUNCTION("""COMPUTED_VALUE"""),252.8)</f>
        <v>252.8</v>
      </c>
      <c r="F60" s="16">
        <f t="shared" si="5"/>
        <v>7.2639183639971489E-2</v>
      </c>
      <c r="G60" s="16">
        <f t="shared" ca="1" si="5"/>
        <v>-8.5871276011059261E-2</v>
      </c>
      <c r="H60" s="16">
        <f t="shared" ca="1" si="5"/>
        <v>5.2584934324629587E-2</v>
      </c>
      <c r="J60" s="95">
        <f t="shared" ca="1" si="1"/>
        <v>6.499393576779694E-2</v>
      </c>
      <c r="K60" s="95">
        <f t="shared" ca="1" si="2"/>
        <v>3.0572894787993975E-2</v>
      </c>
      <c r="L60" s="38"/>
      <c r="M60" s="96">
        <f t="shared" ca="1" si="3"/>
        <v>7.6452478721745487E-3</v>
      </c>
      <c r="N60" s="96">
        <f t="shared" ca="1" si="4"/>
        <v>-0.11644417079905324</v>
      </c>
    </row>
    <row r="61" spans="1:14" ht="13.8" thickBot="1" x14ac:dyDescent="0.3">
      <c r="A61" s="12">
        <v>43908.666666666664</v>
      </c>
      <c r="B61" s="4">
        <v>20.79</v>
      </c>
      <c r="C61" s="2">
        <f ca="1">IFERROR(__xludf.DUMMYFUNCTION("""COMPUTED_VALUE"""),38.37)</f>
        <v>38.369999999999997</v>
      </c>
      <c r="D61" s="2">
        <f ca="1">IFERROR(__xludf.DUMMYFUNCTION("""COMPUTED_VALUE"""),240)</f>
        <v>240</v>
      </c>
      <c r="F61" s="16">
        <f t="shared" si="5"/>
        <v>-5.5660847105553857E-2</v>
      </c>
      <c r="G61" s="16">
        <f t="shared" ca="1" si="5"/>
        <v>8.9005823186926788E-3</v>
      </c>
      <c r="H61" s="16">
        <f t="shared" ca="1" si="5"/>
        <v>-5.1959738930711104E-2</v>
      </c>
      <c r="J61" s="95">
        <f t="shared" ca="1" si="1"/>
        <v>-6.3955125667058549E-2</v>
      </c>
      <c r="K61" s="95">
        <f t="shared" ca="1" si="2"/>
        <v>-2.7892184672308584E-2</v>
      </c>
      <c r="L61" s="38"/>
      <c r="M61" s="96">
        <f t="shared" ca="1" si="3"/>
        <v>8.2942785615046921E-3</v>
      </c>
      <c r="N61" s="96">
        <f t="shared" ca="1" si="4"/>
        <v>3.6792766991001265E-2</v>
      </c>
    </row>
    <row r="62" spans="1:14" ht="13.8" thickBot="1" x14ac:dyDescent="0.3">
      <c r="A62" s="12">
        <v>43909.666666666664</v>
      </c>
      <c r="B62" s="4">
        <v>21.2</v>
      </c>
      <c r="C62" s="2">
        <f ca="1">IFERROR(__xludf.DUMMYFUNCTION("""COMPUTED_VALUE"""),32.28)</f>
        <v>32.28</v>
      </c>
      <c r="D62" s="2">
        <f ca="1">IFERROR(__xludf.DUMMYFUNCTION("""COMPUTED_VALUE"""),240.51)</f>
        <v>240.51</v>
      </c>
      <c r="F62" s="16">
        <f t="shared" si="5"/>
        <v>1.9529079808045295E-2</v>
      </c>
      <c r="G62" s="16">
        <f t="shared" ca="1" si="5"/>
        <v>-0.17282806085711291</v>
      </c>
      <c r="H62" s="16">
        <f t="shared" ca="1" si="5"/>
        <v>2.1227453809785743E-3</v>
      </c>
      <c r="J62" s="95">
        <f t="shared" ca="1" si="1"/>
        <v>2.7521046001843337E-3</v>
      </c>
      <c r="K62" s="95">
        <f t="shared" ca="1" si="2"/>
        <v>2.3526536751294087E-3</v>
      </c>
      <c r="L62" s="38"/>
      <c r="M62" s="96">
        <f t="shared" ca="1" si="3"/>
        <v>1.6776975207860961E-2</v>
      </c>
      <c r="N62" s="96">
        <f t="shared" ca="1" si="4"/>
        <v>-0.17518071453224232</v>
      </c>
    </row>
    <row r="63" spans="1:14" ht="13.8" thickBot="1" x14ac:dyDescent="0.3">
      <c r="A63" s="12">
        <v>43910.666666666664</v>
      </c>
      <c r="B63" s="4">
        <v>19.670000000000002</v>
      </c>
      <c r="C63" s="2">
        <f ca="1">IFERROR(__xludf.DUMMYFUNCTION("""COMPUTED_VALUE"""),32)</f>
        <v>32</v>
      </c>
      <c r="D63" s="2">
        <f ca="1">IFERROR(__xludf.DUMMYFUNCTION("""COMPUTED_VALUE"""),228.8)</f>
        <v>228.8</v>
      </c>
      <c r="F63" s="16">
        <f t="shared" si="5"/>
        <v>-7.4906549276998954E-2</v>
      </c>
      <c r="G63" s="16">
        <f t="shared" ca="1" si="5"/>
        <v>-8.7119406020215676E-3</v>
      </c>
      <c r="H63" s="16">
        <f t="shared" ca="1" si="5"/>
        <v>-4.9913409217327044E-2</v>
      </c>
      <c r="J63" s="95">
        <f t="shared" ca="1" si="1"/>
        <v>-6.1431110930481321E-2</v>
      </c>
      <c r="K63" s="95">
        <f t="shared" ca="1" si="2"/>
        <v>-2.6747804709469442E-2</v>
      </c>
      <c r="L63" s="38"/>
      <c r="M63" s="96">
        <f t="shared" ca="1" si="3"/>
        <v>-1.3475438346517633E-2</v>
      </c>
      <c r="N63" s="96">
        <f t="shared" ca="1" si="4"/>
        <v>1.8035864107447876E-2</v>
      </c>
    </row>
    <row r="64" spans="1:14" ht="13.8" thickBot="1" x14ac:dyDescent="0.3">
      <c r="A64" s="12">
        <v>43913.666666666664</v>
      </c>
      <c r="B64" s="4">
        <v>18.079999999999998</v>
      </c>
      <c r="C64" s="2">
        <f ca="1">IFERROR(__xludf.DUMMYFUNCTION("""COMPUTED_VALUE"""),36.46)</f>
        <v>36.46</v>
      </c>
      <c r="D64" s="2">
        <f ca="1">IFERROR(__xludf.DUMMYFUNCTION("""COMPUTED_VALUE"""),222.95)</f>
        <v>222.95</v>
      </c>
      <c r="F64" s="16">
        <f t="shared" si="5"/>
        <v>-8.4288277436937453E-2</v>
      </c>
      <c r="G64" s="16">
        <f t="shared" ca="1" si="5"/>
        <v>0.13047986645079046</v>
      </c>
      <c r="H64" s="16">
        <f t="shared" ca="1" si="5"/>
        <v>-2.5900728432157238E-2</v>
      </c>
      <c r="J64" s="95">
        <f t="shared" ca="1" si="1"/>
        <v>-3.181302945999135E-2</v>
      </c>
      <c r="K64" s="95">
        <f t="shared" ca="1" si="2"/>
        <v>-1.3319064186928143E-2</v>
      </c>
      <c r="L64" s="38"/>
      <c r="M64" s="96">
        <f t="shared" ca="1" si="3"/>
        <v>-5.2475247976946103E-2</v>
      </c>
      <c r="N64" s="96">
        <f t="shared" ca="1" si="4"/>
        <v>0.14379893063771859</v>
      </c>
    </row>
    <row r="65" spans="1:14" ht="13.8" thickBot="1" x14ac:dyDescent="0.3">
      <c r="A65" s="12">
        <v>43914.666666666664</v>
      </c>
      <c r="B65" s="4">
        <v>21.03</v>
      </c>
      <c r="C65" s="2">
        <f ca="1">IFERROR(__xludf.DUMMYFUNCTION("""COMPUTED_VALUE"""),32.78)</f>
        <v>32.78</v>
      </c>
      <c r="D65" s="2">
        <f ca="1">IFERROR(__xludf.DUMMYFUNCTION("""COMPUTED_VALUE"""),243.15)</f>
        <v>243.15</v>
      </c>
      <c r="F65" s="16">
        <f t="shared" si="5"/>
        <v>0.15114363475057818</v>
      </c>
      <c r="G65" s="16">
        <f t="shared" ca="1" si="5"/>
        <v>-0.10639719593483341</v>
      </c>
      <c r="H65" s="16">
        <f t="shared" ca="1" si="5"/>
        <v>8.6731005776309225E-2</v>
      </c>
      <c r="J65" s="95">
        <f t="shared" ca="1" si="1"/>
        <v>0.10711089618554515</v>
      </c>
      <c r="K65" s="95">
        <f t="shared" ca="1" si="2"/>
        <v>4.9668585831034603E-2</v>
      </c>
      <c r="L65" s="38"/>
      <c r="M65" s="96">
        <f t="shared" ca="1" si="3"/>
        <v>4.4032738565033036E-2</v>
      </c>
      <c r="N65" s="96">
        <f t="shared" ca="1" si="4"/>
        <v>-0.15606578176586799</v>
      </c>
    </row>
    <row r="66" spans="1:14" ht="13.8" thickBot="1" x14ac:dyDescent="0.3">
      <c r="A66" s="12">
        <v>43915.666666666664</v>
      </c>
      <c r="B66" s="4">
        <v>21.1</v>
      </c>
      <c r="C66" s="2">
        <f ca="1">IFERROR(__xludf.DUMMYFUNCTION("""COMPUTED_VALUE"""),37.09)</f>
        <v>37.090000000000003</v>
      </c>
      <c r="D66" s="2">
        <f ca="1">IFERROR(__xludf.DUMMYFUNCTION("""COMPUTED_VALUE"""),246.79)</f>
        <v>246.79</v>
      </c>
      <c r="F66" s="16">
        <f t="shared" si="5"/>
        <v>3.3230507674123539E-3</v>
      </c>
      <c r="G66" s="16">
        <f t="shared" ca="1" si="5"/>
        <v>0.12352881818581578</v>
      </c>
      <c r="H66" s="16">
        <f t="shared" ca="1" si="5"/>
        <v>1.4859235721962022E-2</v>
      </c>
      <c r="J66" s="95">
        <f t="shared" ca="1" si="1"/>
        <v>1.8461737853641538E-2</v>
      </c>
      <c r="K66" s="95">
        <f t="shared" ca="1" si="2"/>
        <v>9.4753496159571092E-3</v>
      </c>
      <c r="L66" s="38"/>
      <c r="M66" s="96">
        <f t="shared" ca="1" si="3"/>
        <v>-1.5138687086229185E-2</v>
      </c>
      <c r="N66" s="96">
        <f t="shared" ca="1" si="4"/>
        <v>0.11405346856985867</v>
      </c>
    </row>
    <row r="67" spans="1:14" ht="13.8" thickBot="1" x14ac:dyDescent="0.3">
      <c r="A67" s="12">
        <v>43916.666666666664</v>
      </c>
      <c r="B67" s="4">
        <v>22.72</v>
      </c>
      <c r="C67" s="2">
        <f ca="1">IFERROR(__xludf.DUMMYFUNCTION("""COMPUTED_VALUE"""),38.81)</f>
        <v>38.81</v>
      </c>
      <c r="D67" s="2">
        <f ca="1">IFERROR(__xludf.DUMMYFUNCTION("""COMPUTED_VALUE"""),261.2)</f>
        <v>261.2</v>
      </c>
      <c r="F67" s="16">
        <f t="shared" si="5"/>
        <v>7.3972553370929603E-2</v>
      </c>
      <c r="G67" s="16">
        <f t="shared" ca="1" si="5"/>
        <v>4.5330553879315554E-2</v>
      </c>
      <c r="H67" s="16">
        <f t="shared" ca="1" si="5"/>
        <v>5.67486248305192E-2</v>
      </c>
      <c r="J67" s="95">
        <f t="shared" ca="1" si="1"/>
        <v>7.0129577461643416E-2</v>
      </c>
      <c r="K67" s="95">
        <f t="shared" ca="1" si="2"/>
        <v>3.2901377805778981E-2</v>
      </c>
      <c r="L67" s="38"/>
      <c r="M67" s="96">
        <f t="shared" ca="1" si="3"/>
        <v>3.8429759092861865E-3</v>
      </c>
      <c r="N67" s="96">
        <f t="shared" ca="1" si="4"/>
        <v>1.2429176073536573E-2</v>
      </c>
    </row>
    <row r="68" spans="1:14" ht="13.8" thickBot="1" x14ac:dyDescent="0.3">
      <c r="A68" s="12">
        <v>43917.666666666664</v>
      </c>
      <c r="B68" s="4">
        <v>21.6</v>
      </c>
      <c r="C68" s="2">
        <f ca="1">IFERROR(__xludf.DUMMYFUNCTION("""COMPUTED_VALUE"""),41.63)</f>
        <v>41.63</v>
      </c>
      <c r="D68" s="2">
        <f ca="1">IFERROR(__xludf.DUMMYFUNCTION("""COMPUTED_VALUE"""),253.42)</f>
        <v>253.42</v>
      </c>
      <c r="F68" s="16">
        <f t="shared" si="5"/>
        <v>-5.0552279162831212E-2</v>
      </c>
      <c r="G68" s="16">
        <f t="shared" ca="1" si="5"/>
        <v>7.014311582606915E-2</v>
      </c>
      <c r="H68" s="16">
        <f t="shared" ca="1" si="5"/>
        <v>-3.0238206031513816E-2</v>
      </c>
      <c r="J68" s="95">
        <f t="shared" ca="1" si="1"/>
        <v>-3.716302624142151E-2</v>
      </c>
      <c r="K68" s="95">
        <f t="shared" ca="1" si="2"/>
        <v>-1.5744735094945544E-2</v>
      </c>
      <c r="L68" s="38"/>
      <c r="M68" s="96">
        <f t="shared" ca="1" si="3"/>
        <v>-1.3389252921409703E-2</v>
      </c>
      <c r="N68" s="96">
        <f t="shared" ca="1" si="4"/>
        <v>8.5887850921014697E-2</v>
      </c>
    </row>
    <row r="69" spans="1:14" ht="13.8" thickBot="1" x14ac:dyDescent="0.3">
      <c r="A69" s="12">
        <v>43920.666666666664</v>
      </c>
      <c r="B69" s="4">
        <v>22.04</v>
      </c>
      <c r="C69" s="2">
        <f ca="1">IFERROR(__xludf.DUMMYFUNCTION("""COMPUTED_VALUE"""),40.25)</f>
        <v>40.25</v>
      </c>
      <c r="D69" s="2">
        <f ca="1">IFERROR(__xludf.DUMMYFUNCTION("""COMPUTED_VALUE"""),261.65)</f>
        <v>261.64999999999998</v>
      </c>
      <c r="F69" s="16">
        <f t="shared" si="5"/>
        <v>2.0165669594594419E-2</v>
      </c>
      <c r="G69" s="16">
        <f t="shared" ca="1" si="5"/>
        <v>-3.3711057342311723E-2</v>
      </c>
      <c r="H69" s="16">
        <f t="shared" ca="1" si="5"/>
        <v>3.1959541447454637E-2</v>
      </c>
      <c r="J69" s="95">
        <f t="shared" ca="1" si="1"/>
        <v>3.9553853835157721E-2</v>
      </c>
      <c r="K69" s="95">
        <f t="shared" ca="1" si="2"/>
        <v>1.9038445485935536E-2</v>
      </c>
      <c r="L69" s="38"/>
      <c r="M69" s="96">
        <f t="shared" ca="1" si="3"/>
        <v>-1.9388184240563301E-2</v>
      </c>
      <c r="N69" s="96">
        <f t="shared" ca="1" si="4"/>
        <v>-5.2749502828247259E-2</v>
      </c>
    </row>
    <row r="70" spans="1:14" ht="13.8" thickBot="1" x14ac:dyDescent="0.3">
      <c r="A70" s="12">
        <v>43921.666666666664</v>
      </c>
      <c r="B70" s="4">
        <v>21.23</v>
      </c>
      <c r="C70" s="2">
        <f ca="1">IFERROR(__xludf.DUMMYFUNCTION("""COMPUTED_VALUE"""),39.59)</f>
        <v>39.590000000000003</v>
      </c>
      <c r="D70" s="2">
        <f ca="1">IFERROR(__xludf.DUMMYFUNCTION("""COMPUTED_VALUE"""),257.75)</f>
        <v>257.75</v>
      </c>
      <c r="F70" s="16">
        <f t="shared" si="5"/>
        <v>-3.7443708569548949E-2</v>
      </c>
      <c r="G70" s="16">
        <f t="shared" ca="1" si="5"/>
        <v>-1.6533442746533029E-2</v>
      </c>
      <c r="H70" s="16">
        <f t="shared" ca="1" si="5"/>
        <v>-1.5017609921147439E-2</v>
      </c>
      <c r="J70" s="95">
        <f t="shared" ca="1" si="1"/>
        <v>-1.8389409931797697E-2</v>
      </c>
      <c r="K70" s="95">
        <f t="shared" ca="1" si="2"/>
        <v>-7.2328393348209804E-3</v>
      </c>
      <c r="L70" s="38"/>
      <c r="M70" s="96">
        <f t="shared" ca="1" si="3"/>
        <v>-1.9054298637751252E-2</v>
      </c>
      <c r="N70" s="96">
        <f t="shared" ca="1" si="4"/>
        <v>-9.3006034117120474E-3</v>
      </c>
    </row>
    <row r="71" spans="1:14" ht="13.8" thickBot="1" x14ac:dyDescent="0.3">
      <c r="A71" s="12"/>
      <c r="B71" s="4"/>
      <c r="C71" s="2"/>
      <c r="D71" s="2"/>
      <c r="F71" s="16"/>
      <c r="G71" s="16"/>
      <c r="H71" s="16"/>
      <c r="J71" s="38"/>
      <c r="K71" s="38"/>
      <c r="L71" s="38"/>
    </row>
    <row r="72" spans="1:14" ht="13.8" thickBot="1" x14ac:dyDescent="0.3">
      <c r="A72" s="12"/>
      <c r="B72" s="4"/>
      <c r="C72" s="2"/>
      <c r="D72" s="2"/>
      <c r="F72" s="16"/>
      <c r="G72" s="16"/>
      <c r="H72" s="16"/>
      <c r="J72" s="38"/>
      <c r="K72" s="38"/>
      <c r="L72" s="38"/>
    </row>
    <row r="73" spans="1:14" ht="13.8" thickBot="1" x14ac:dyDescent="0.3">
      <c r="A73" s="12"/>
      <c r="B73" s="4"/>
      <c r="C73" s="2"/>
      <c r="D73" s="2"/>
      <c r="F73" s="16"/>
      <c r="G73" s="16"/>
      <c r="H73" s="16"/>
      <c r="J73" s="38"/>
      <c r="K73" s="38"/>
      <c r="L73" s="38"/>
    </row>
    <row r="74" spans="1:14" ht="13.8" thickBot="1" x14ac:dyDescent="0.3">
      <c r="A74" s="12"/>
      <c r="B74" s="4"/>
      <c r="C74" s="2"/>
      <c r="D74" s="2"/>
      <c r="F74" s="16"/>
      <c r="G74" s="16"/>
      <c r="H74" s="16"/>
      <c r="J74" s="38"/>
      <c r="K74" s="38"/>
      <c r="L74" s="38"/>
    </row>
    <row r="75" spans="1:14" ht="13.8" thickBot="1" x14ac:dyDescent="0.3">
      <c r="A75" s="12"/>
      <c r="B75" s="4"/>
      <c r="C75" s="2"/>
      <c r="D75" s="2"/>
      <c r="F75" s="16"/>
      <c r="G75" s="16"/>
      <c r="H75" s="16"/>
      <c r="J75" s="38"/>
      <c r="K75" s="38"/>
      <c r="L75" s="38"/>
    </row>
    <row r="76" spans="1:14" ht="13.8" thickBot="1" x14ac:dyDescent="0.3">
      <c r="A76" s="12"/>
      <c r="B76" s="4"/>
      <c r="C76" s="2"/>
      <c r="D76" s="2"/>
      <c r="F76" s="16"/>
      <c r="G76" s="16"/>
      <c r="H76" s="16"/>
      <c r="J76" s="38"/>
      <c r="K76" s="38"/>
      <c r="L76" s="38"/>
    </row>
    <row r="77" spans="1:14" ht="13.8" thickBot="1" x14ac:dyDescent="0.3">
      <c r="A77" s="12"/>
      <c r="B77" s="4"/>
      <c r="C77" s="2"/>
      <c r="D77" s="2"/>
      <c r="F77" s="16"/>
      <c r="G77" s="16"/>
      <c r="H77" s="16"/>
      <c r="J77" s="38"/>
      <c r="K77" s="38"/>
      <c r="L77" s="38"/>
    </row>
    <row r="78" spans="1:14" ht="13.8" thickBot="1" x14ac:dyDescent="0.3">
      <c r="A78" s="12"/>
      <c r="B78" s="4"/>
      <c r="C78" s="2"/>
      <c r="D78" s="2"/>
      <c r="F78" s="16"/>
      <c r="G78" s="16"/>
      <c r="H78" s="16"/>
      <c r="J78" s="38"/>
      <c r="K78" s="38"/>
      <c r="L78" s="38"/>
    </row>
    <row r="79" spans="1:14" ht="13.8" thickBot="1" x14ac:dyDescent="0.3">
      <c r="A79" s="12"/>
      <c r="B79" s="4"/>
      <c r="C79" s="2"/>
      <c r="D79" s="2"/>
      <c r="F79" s="16"/>
      <c r="G79" s="16"/>
      <c r="H79" s="16"/>
      <c r="J79" s="38"/>
      <c r="K79" s="38"/>
      <c r="L79" s="38"/>
    </row>
    <row r="80" spans="1:14" ht="13.8" thickBot="1" x14ac:dyDescent="0.3">
      <c r="A80" s="12"/>
      <c r="B80" s="4"/>
      <c r="C80" s="2"/>
      <c r="D80" s="2"/>
      <c r="F80" s="16"/>
      <c r="G80" s="16"/>
      <c r="H80" s="16"/>
      <c r="J80" s="38"/>
      <c r="K80" s="38"/>
      <c r="L80" s="38"/>
    </row>
    <row r="81" spans="1:12" ht="13.8" thickBot="1" x14ac:dyDescent="0.3">
      <c r="A81" s="12"/>
      <c r="B81" s="4"/>
      <c r="C81" s="2"/>
      <c r="D81" s="2"/>
      <c r="F81" s="16"/>
      <c r="G81" s="16"/>
      <c r="H81" s="16"/>
      <c r="J81" s="38"/>
      <c r="K81" s="38"/>
      <c r="L81" s="38"/>
    </row>
    <row r="82" spans="1:12" ht="13.8" thickBot="1" x14ac:dyDescent="0.3">
      <c r="A82" s="12"/>
      <c r="B82" s="4"/>
      <c r="C82" s="2"/>
      <c r="D82" s="2"/>
      <c r="F82" s="16"/>
      <c r="G82" s="16"/>
      <c r="H82" s="16"/>
      <c r="J82" s="38"/>
      <c r="K82" s="38"/>
      <c r="L82" s="38"/>
    </row>
    <row r="83" spans="1:12" ht="13.8" thickBot="1" x14ac:dyDescent="0.3">
      <c r="A83" s="12"/>
      <c r="B83" s="4"/>
      <c r="C83" s="2"/>
      <c r="D83" s="2"/>
      <c r="F83" s="16"/>
      <c r="G83" s="16"/>
      <c r="H83" s="16"/>
      <c r="J83" s="38"/>
      <c r="K83" s="38"/>
      <c r="L83" s="38"/>
    </row>
    <row r="84" spans="1:12" ht="13.8" thickBot="1" x14ac:dyDescent="0.3">
      <c r="A84" s="12"/>
      <c r="B84" s="4"/>
      <c r="C84" s="2"/>
      <c r="D84" s="2"/>
      <c r="F84" s="16"/>
      <c r="G84" s="16"/>
      <c r="H84" s="16"/>
      <c r="J84" s="38"/>
      <c r="K84" s="38"/>
      <c r="L84" s="38"/>
    </row>
    <row r="85" spans="1:12" ht="13.8" thickBot="1" x14ac:dyDescent="0.3">
      <c r="A85" s="12"/>
      <c r="B85" s="4"/>
      <c r="C85" s="2"/>
      <c r="D85" s="2"/>
      <c r="F85" s="16"/>
      <c r="G85" s="16"/>
      <c r="H85" s="16"/>
      <c r="J85" s="38"/>
      <c r="K85" s="38"/>
      <c r="L85" s="38"/>
    </row>
    <row r="86" spans="1:12" ht="13.8" thickBot="1" x14ac:dyDescent="0.3">
      <c r="A86" s="12"/>
      <c r="B86" s="4"/>
      <c r="C86" s="2"/>
      <c r="D86" s="2"/>
      <c r="F86" s="16"/>
      <c r="G86" s="16"/>
      <c r="H86" s="16"/>
      <c r="J86" s="38"/>
      <c r="K86" s="38"/>
      <c r="L86" s="38"/>
    </row>
    <row r="87" spans="1:12" ht="13.8" thickBot="1" x14ac:dyDescent="0.3">
      <c r="A87" s="12"/>
      <c r="B87" s="4"/>
      <c r="C87" s="2"/>
      <c r="D87" s="2"/>
      <c r="F87" s="16"/>
      <c r="G87" s="16"/>
      <c r="H87" s="16"/>
      <c r="J87" s="38"/>
      <c r="K87" s="38"/>
      <c r="L87" s="38"/>
    </row>
    <row r="88" spans="1:12" ht="13.8" thickBot="1" x14ac:dyDescent="0.3">
      <c r="A88" s="12"/>
      <c r="B88" s="4"/>
      <c r="C88" s="2"/>
      <c r="D88" s="2"/>
      <c r="F88" s="16"/>
      <c r="G88" s="16"/>
      <c r="H88" s="16"/>
      <c r="J88" s="38"/>
      <c r="K88" s="38"/>
      <c r="L88" s="38"/>
    </row>
    <row r="89" spans="1:12" ht="13.8" thickBot="1" x14ac:dyDescent="0.3">
      <c r="A89" s="12"/>
      <c r="B89" s="4"/>
      <c r="C89" s="2"/>
      <c r="D89" s="2"/>
      <c r="F89" s="16"/>
      <c r="G89" s="16"/>
      <c r="H89" s="16"/>
      <c r="J89" s="38"/>
      <c r="K89" s="38"/>
      <c r="L89" s="38"/>
    </row>
    <row r="90" spans="1:12" ht="13.8" thickBot="1" x14ac:dyDescent="0.3">
      <c r="A90" s="12"/>
      <c r="B90" s="4"/>
      <c r="C90" s="2"/>
      <c r="D90" s="2"/>
      <c r="F90" s="16"/>
      <c r="G90" s="16"/>
      <c r="H90" s="16"/>
      <c r="J90" s="38"/>
      <c r="K90" s="38"/>
      <c r="L90" s="38"/>
    </row>
    <row r="91" spans="1:12" ht="13.8" thickBot="1" x14ac:dyDescent="0.3">
      <c r="A91" s="12"/>
      <c r="B91" s="4"/>
      <c r="C91" s="2"/>
      <c r="D91" s="2"/>
      <c r="F91" s="16"/>
      <c r="G91" s="16"/>
      <c r="H91" s="16"/>
      <c r="J91" s="38"/>
      <c r="K91" s="38"/>
      <c r="L91" s="38"/>
    </row>
    <row r="92" spans="1:12" ht="13.8" thickBot="1" x14ac:dyDescent="0.3">
      <c r="A92" s="12"/>
      <c r="B92" s="4"/>
      <c r="C92" s="2"/>
      <c r="D92" s="2"/>
      <c r="F92" s="16"/>
      <c r="G92" s="16"/>
      <c r="H92" s="16"/>
      <c r="J92" s="38"/>
      <c r="K92" s="38"/>
      <c r="L92" s="38"/>
    </row>
    <row r="93" spans="1:12" ht="13.8" thickBot="1" x14ac:dyDescent="0.3">
      <c r="A93" s="12"/>
      <c r="B93" s="4"/>
      <c r="C93" s="2"/>
      <c r="D93" s="2"/>
      <c r="F93" s="16"/>
      <c r="G93" s="16"/>
      <c r="H93" s="16"/>
      <c r="J93" s="38"/>
      <c r="K93" s="38"/>
      <c r="L93" s="38"/>
    </row>
    <row r="94" spans="1:12" ht="13.8" thickBot="1" x14ac:dyDescent="0.3">
      <c r="A94" s="12"/>
      <c r="B94" s="4"/>
      <c r="C94" s="2"/>
      <c r="D94" s="2"/>
      <c r="F94" s="16"/>
      <c r="G94" s="16"/>
      <c r="H94" s="16"/>
      <c r="J94" s="38"/>
      <c r="K94" s="38"/>
      <c r="L94" s="38"/>
    </row>
    <row r="95" spans="1:12" ht="13.8" thickBot="1" x14ac:dyDescent="0.3">
      <c r="A95" s="12"/>
      <c r="B95" s="4"/>
      <c r="C95" s="2"/>
      <c r="D95" s="2"/>
      <c r="F95" s="16"/>
      <c r="G95" s="16"/>
      <c r="H95" s="16"/>
      <c r="J95" s="38"/>
      <c r="K95" s="38"/>
      <c r="L95" s="38"/>
    </row>
    <row r="96" spans="1:12" ht="13.8" thickBot="1" x14ac:dyDescent="0.3">
      <c r="A96" s="12"/>
      <c r="B96" s="4"/>
      <c r="C96" s="2"/>
      <c r="D96" s="2"/>
      <c r="F96" s="16"/>
      <c r="G96" s="16"/>
      <c r="H96" s="16"/>
      <c r="J96" s="38"/>
      <c r="K96" s="38"/>
      <c r="L96" s="38"/>
    </row>
    <row r="97" spans="1:12" ht="13.8" thickBot="1" x14ac:dyDescent="0.3">
      <c r="A97" s="12"/>
      <c r="B97" s="4"/>
      <c r="C97" s="2"/>
      <c r="D97" s="2"/>
      <c r="F97" s="16"/>
      <c r="G97" s="16"/>
      <c r="H97" s="16"/>
      <c r="J97" s="38"/>
      <c r="K97" s="38"/>
      <c r="L97" s="38"/>
    </row>
    <row r="98" spans="1:12" ht="13.8" thickBot="1" x14ac:dyDescent="0.3">
      <c r="A98" s="12"/>
      <c r="B98" s="4"/>
      <c r="C98" s="2"/>
      <c r="D98" s="2"/>
      <c r="F98" s="16"/>
      <c r="G98" s="16"/>
      <c r="H98" s="16"/>
      <c r="J98" s="38"/>
      <c r="K98" s="38"/>
      <c r="L98" s="38"/>
    </row>
    <row r="99" spans="1:12" ht="13.8" thickBot="1" x14ac:dyDescent="0.3">
      <c r="A99" s="12"/>
      <c r="B99" s="4"/>
      <c r="C99" s="2"/>
      <c r="D99" s="2"/>
      <c r="F99" s="16"/>
      <c r="G99" s="16"/>
      <c r="H99" s="16"/>
      <c r="J99" s="38"/>
      <c r="K99" s="38"/>
      <c r="L99" s="38"/>
    </row>
    <row r="100" spans="1:12" ht="13.8" thickBot="1" x14ac:dyDescent="0.3">
      <c r="A100" s="12"/>
      <c r="B100" s="4"/>
      <c r="C100" s="2"/>
      <c r="D100" s="2"/>
      <c r="F100" s="16"/>
      <c r="G100" s="16"/>
      <c r="H100" s="16"/>
      <c r="J100" s="38"/>
      <c r="K100" s="38"/>
      <c r="L100" s="38"/>
    </row>
    <row r="101" spans="1:12" ht="13.8" thickBot="1" x14ac:dyDescent="0.3">
      <c r="A101" s="12"/>
      <c r="B101" s="4"/>
      <c r="C101" s="2"/>
      <c r="D101" s="2"/>
      <c r="F101" s="16"/>
      <c r="G101" s="16"/>
      <c r="H101" s="16"/>
      <c r="J101" s="38"/>
      <c r="K101" s="38"/>
      <c r="L101" s="38"/>
    </row>
    <row r="102" spans="1:12" ht="13.8" thickBot="1" x14ac:dyDescent="0.3">
      <c r="A102" s="12"/>
      <c r="B102" s="4"/>
      <c r="C102" s="2"/>
      <c r="D102" s="2"/>
      <c r="F102" s="16"/>
      <c r="G102" s="16"/>
      <c r="H102" s="16"/>
      <c r="J102" s="38"/>
      <c r="K102" s="38"/>
      <c r="L102" s="38"/>
    </row>
    <row r="103" spans="1:12" ht="13.8" thickBot="1" x14ac:dyDescent="0.3">
      <c r="A103" s="12"/>
      <c r="B103" s="4"/>
      <c r="C103" s="2"/>
      <c r="D103" s="2"/>
      <c r="F103" s="16"/>
      <c r="G103" s="16"/>
      <c r="H103" s="16"/>
      <c r="J103" s="38"/>
      <c r="K103" s="38"/>
      <c r="L103" s="38"/>
    </row>
    <row r="104" spans="1:12" ht="13.8" thickBot="1" x14ac:dyDescent="0.3">
      <c r="A104" s="12"/>
      <c r="B104" s="4"/>
      <c r="C104" s="2"/>
      <c r="D104" s="2"/>
      <c r="F104" s="16"/>
      <c r="G104" s="16"/>
      <c r="H104" s="16"/>
      <c r="J104" s="38"/>
      <c r="K104" s="38"/>
      <c r="L104" s="38"/>
    </row>
    <row r="105" spans="1:12" ht="13.8" thickBot="1" x14ac:dyDescent="0.3">
      <c r="A105" s="12"/>
      <c r="B105" s="4"/>
      <c r="C105" s="2"/>
      <c r="D105" s="2"/>
      <c r="F105" s="16"/>
      <c r="G105" s="16"/>
      <c r="H105" s="16"/>
      <c r="J105" s="38"/>
      <c r="K105" s="38"/>
      <c r="L105" s="38"/>
    </row>
    <row r="106" spans="1:12" ht="13.8" thickBot="1" x14ac:dyDescent="0.3">
      <c r="A106" s="12"/>
      <c r="B106" s="4"/>
      <c r="C106" s="2"/>
      <c r="D106" s="2"/>
      <c r="F106" s="16"/>
      <c r="G106" s="16"/>
      <c r="H106" s="16"/>
      <c r="J106" s="38"/>
      <c r="K106" s="38"/>
      <c r="L106" s="38"/>
    </row>
    <row r="107" spans="1:12" ht="13.8" thickBot="1" x14ac:dyDescent="0.3">
      <c r="A107" s="12"/>
      <c r="B107" s="4"/>
      <c r="C107" s="2"/>
      <c r="D107" s="2"/>
      <c r="F107" s="16"/>
      <c r="G107" s="16"/>
      <c r="H107" s="16"/>
      <c r="J107" s="38"/>
      <c r="K107" s="38"/>
      <c r="L107" s="38"/>
    </row>
    <row r="108" spans="1:12" ht="13.8" thickBot="1" x14ac:dyDescent="0.3">
      <c r="A108" s="12"/>
      <c r="B108" s="4"/>
      <c r="C108" s="2"/>
      <c r="D108" s="2"/>
      <c r="F108" s="16"/>
      <c r="G108" s="16"/>
      <c r="H108" s="16"/>
      <c r="J108" s="38"/>
      <c r="K108" s="38"/>
      <c r="L108" s="38"/>
    </row>
    <row r="109" spans="1:12" ht="13.8" thickBot="1" x14ac:dyDescent="0.3">
      <c r="A109" s="12"/>
      <c r="B109" s="4"/>
      <c r="C109" s="2"/>
      <c r="D109" s="2"/>
      <c r="F109" s="16"/>
      <c r="G109" s="16"/>
      <c r="H109" s="16"/>
      <c r="J109" s="38"/>
      <c r="K109" s="38"/>
      <c r="L109" s="38"/>
    </row>
    <row r="110" spans="1:12" ht="13.8" thickBot="1" x14ac:dyDescent="0.3">
      <c r="A110" s="12"/>
      <c r="B110" s="4"/>
      <c r="C110" s="2"/>
      <c r="D110" s="2"/>
      <c r="F110" s="16"/>
      <c r="G110" s="16"/>
      <c r="H110" s="16"/>
      <c r="J110" s="38"/>
      <c r="K110" s="38"/>
      <c r="L110" s="38"/>
    </row>
    <row r="111" spans="1:12" ht="13.8" thickBot="1" x14ac:dyDescent="0.3">
      <c r="A111" s="12"/>
      <c r="B111" s="4"/>
      <c r="C111" s="2"/>
      <c r="D111" s="2"/>
      <c r="F111" s="16"/>
      <c r="G111" s="16"/>
      <c r="H111" s="16"/>
      <c r="J111" s="38"/>
      <c r="K111" s="38"/>
      <c r="L111" s="38"/>
    </row>
    <row r="112" spans="1:12" ht="13.8" thickBot="1" x14ac:dyDescent="0.3">
      <c r="A112" s="12"/>
      <c r="B112" s="4"/>
      <c r="C112" s="2"/>
      <c r="D112" s="2"/>
      <c r="F112" s="16"/>
      <c r="G112" s="16"/>
      <c r="H112" s="16"/>
      <c r="J112" s="38"/>
      <c r="K112" s="38"/>
      <c r="L112" s="38"/>
    </row>
    <row r="113" spans="1:12" ht="13.8" thickBot="1" x14ac:dyDescent="0.3">
      <c r="A113" s="12"/>
      <c r="B113" s="4"/>
      <c r="C113" s="2"/>
      <c r="D113" s="2"/>
      <c r="F113" s="16"/>
      <c r="G113" s="16"/>
      <c r="H113" s="16"/>
      <c r="J113" s="38"/>
      <c r="K113" s="38"/>
      <c r="L113" s="38"/>
    </row>
    <row r="114" spans="1:12" ht="13.8" thickBot="1" x14ac:dyDescent="0.3">
      <c r="A114" s="12"/>
      <c r="B114" s="4"/>
      <c r="C114" s="2"/>
      <c r="D114" s="2"/>
      <c r="F114" s="16"/>
      <c r="G114" s="16"/>
      <c r="H114" s="16"/>
      <c r="J114" s="38"/>
      <c r="K114" s="38"/>
      <c r="L114" s="38"/>
    </row>
    <row r="115" spans="1:12" ht="13.8" thickBot="1" x14ac:dyDescent="0.3">
      <c r="A115" s="12"/>
      <c r="B115" s="4"/>
      <c r="C115" s="2"/>
      <c r="D115" s="2"/>
      <c r="F115" s="16"/>
      <c r="G115" s="16"/>
      <c r="H115" s="16"/>
      <c r="J115" s="38"/>
      <c r="K115" s="38"/>
      <c r="L115" s="38"/>
    </row>
    <row r="116" spans="1:12" ht="13.8" thickBot="1" x14ac:dyDescent="0.3">
      <c r="A116" s="12"/>
      <c r="B116" s="4"/>
      <c r="C116" s="2"/>
      <c r="D116" s="2"/>
      <c r="F116" s="16"/>
      <c r="G116" s="16"/>
      <c r="H116" s="16"/>
      <c r="J116" s="38"/>
      <c r="K116" s="38"/>
      <c r="L116" s="38"/>
    </row>
    <row r="117" spans="1:12" ht="13.8" thickBot="1" x14ac:dyDescent="0.3">
      <c r="A117" s="12"/>
      <c r="B117" s="4"/>
      <c r="C117" s="2"/>
      <c r="D117" s="2"/>
      <c r="F117" s="16"/>
      <c r="G117" s="16"/>
      <c r="H117" s="16"/>
      <c r="J117" s="38"/>
      <c r="K117" s="38"/>
      <c r="L117" s="38"/>
    </row>
    <row r="118" spans="1:12" ht="13.8" thickBot="1" x14ac:dyDescent="0.3">
      <c r="A118" s="12"/>
      <c r="B118" s="4"/>
      <c r="C118" s="2"/>
      <c r="D118" s="2"/>
      <c r="F118" s="16"/>
      <c r="G118" s="16"/>
      <c r="H118" s="16"/>
      <c r="J118" s="38"/>
      <c r="K118" s="38"/>
      <c r="L118" s="38"/>
    </row>
    <row r="119" spans="1:12" ht="13.8" thickBot="1" x14ac:dyDescent="0.3">
      <c r="A119" s="12"/>
      <c r="B119" s="4"/>
      <c r="C119" s="2"/>
      <c r="D119" s="2"/>
      <c r="F119" s="16"/>
      <c r="G119" s="16"/>
      <c r="H119" s="16"/>
      <c r="J119" s="38"/>
      <c r="K119" s="38"/>
      <c r="L119" s="38"/>
    </row>
    <row r="120" spans="1:12" ht="13.8" thickBot="1" x14ac:dyDescent="0.3">
      <c r="A120" s="12"/>
      <c r="B120" s="4"/>
      <c r="C120" s="2"/>
      <c r="D120" s="2"/>
      <c r="F120" s="16"/>
      <c r="G120" s="16"/>
      <c r="H120" s="16"/>
      <c r="J120" s="38"/>
      <c r="K120" s="38"/>
      <c r="L120" s="38"/>
    </row>
    <row r="121" spans="1:12" ht="13.8" thickBot="1" x14ac:dyDescent="0.3">
      <c r="A121" s="12"/>
      <c r="B121" s="4"/>
      <c r="C121" s="2"/>
      <c r="D121" s="2"/>
      <c r="F121" s="16"/>
      <c r="G121" s="16"/>
      <c r="H121" s="16"/>
      <c r="J121" s="38"/>
      <c r="K121" s="38"/>
      <c r="L121" s="38"/>
    </row>
    <row r="122" spans="1:12" ht="13.8" thickBot="1" x14ac:dyDescent="0.3">
      <c r="A122" s="12"/>
      <c r="B122" s="4"/>
      <c r="C122" s="2"/>
      <c r="D122" s="2"/>
      <c r="F122" s="16"/>
      <c r="G122" s="16"/>
      <c r="H122" s="16"/>
      <c r="J122" s="38"/>
      <c r="K122" s="38"/>
      <c r="L122" s="38"/>
    </row>
    <row r="123" spans="1:12" ht="13.8" thickBot="1" x14ac:dyDescent="0.3">
      <c r="A123" s="12"/>
      <c r="B123" s="4"/>
      <c r="C123" s="2"/>
      <c r="D123" s="2"/>
      <c r="F123" s="16"/>
      <c r="G123" s="16"/>
      <c r="H123" s="16"/>
      <c r="J123" s="38"/>
      <c r="K123" s="38"/>
      <c r="L123" s="38"/>
    </row>
    <row r="124" spans="1:12" ht="13.8" thickBot="1" x14ac:dyDescent="0.3">
      <c r="A124" s="12"/>
      <c r="B124" s="4"/>
      <c r="C124" s="2"/>
      <c r="D124" s="2"/>
      <c r="F124" s="16"/>
      <c r="G124" s="16"/>
      <c r="H124" s="16"/>
      <c r="J124" s="38"/>
      <c r="K124" s="38"/>
      <c r="L124" s="38"/>
    </row>
    <row r="125" spans="1:12" ht="13.8" thickBot="1" x14ac:dyDescent="0.3">
      <c r="A125" s="12"/>
      <c r="B125" s="4"/>
      <c r="C125" s="2"/>
      <c r="D125" s="2"/>
      <c r="F125" s="16"/>
      <c r="G125" s="16"/>
      <c r="H125" s="16"/>
      <c r="J125" s="38"/>
      <c r="K125" s="38"/>
      <c r="L125" s="38"/>
    </row>
    <row r="126" spans="1:12" ht="13.8" thickBot="1" x14ac:dyDescent="0.3">
      <c r="A126" s="12"/>
      <c r="B126" s="4"/>
      <c r="C126" s="2"/>
      <c r="D126" s="2"/>
      <c r="F126" s="16"/>
      <c r="G126" s="16"/>
      <c r="H126" s="16"/>
      <c r="J126" s="38"/>
      <c r="K126" s="38"/>
      <c r="L126" s="38"/>
    </row>
    <row r="127" spans="1:12" ht="13.8" thickBot="1" x14ac:dyDescent="0.3">
      <c r="A127" s="12"/>
      <c r="B127" s="4"/>
      <c r="C127" s="2"/>
      <c r="D127" s="2"/>
      <c r="F127" s="16"/>
      <c r="G127" s="16"/>
      <c r="H127" s="16"/>
      <c r="J127" s="38"/>
      <c r="K127" s="38"/>
      <c r="L127" s="38"/>
    </row>
    <row r="128" spans="1:12" ht="13.8" thickBot="1" x14ac:dyDescent="0.3">
      <c r="A128" s="12"/>
      <c r="B128" s="4"/>
      <c r="C128" s="2"/>
      <c r="D128" s="2"/>
      <c r="F128" s="16"/>
      <c r="G128" s="16"/>
      <c r="H128" s="16"/>
      <c r="J128" s="38"/>
      <c r="K128" s="38"/>
      <c r="L128" s="38"/>
    </row>
    <row r="129" spans="1:12" ht="13.8" thickBot="1" x14ac:dyDescent="0.3">
      <c r="A129" s="12"/>
      <c r="B129" s="4"/>
      <c r="C129" s="2"/>
      <c r="D129" s="2"/>
      <c r="F129" s="16"/>
      <c r="G129" s="16"/>
      <c r="H129" s="16"/>
      <c r="J129" s="38"/>
      <c r="K129" s="38"/>
      <c r="L129" s="38"/>
    </row>
    <row r="130" spans="1:12" ht="13.8" thickBot="1" x14ac:dyDescent="0.3">
      <c r="A130" s="12"/>
      <c r="B130" s="4"/>
      <c r="C130" s="2"/>
      <c r="D130" s="2"/>
      <c r="F130" s="16"/>
      <c r="G130" s="16"/>
      <c r="H130" s="16"/>
      <c r="J130" s="38"/>
      <c r="K130" s="38"/>
      <c r="L130" s="38"/>
    </row>
    <row r="131" spans="1:12" ht="13.8" thickBot="1" x14ac:dyDescent="0.3">
      <c r="A131" s="12"/>
      <c r="B131" s="4"/>
      <c r="C131" s="2"/>
      <c r="D131" s="2"/>
      <c r="F131" s="16"/>
      <c r="G131" s="16"/>
      <c r="H131" s="16"/>
      <c r="J131" s="38"/>
      <c r="K131" s="38"/>
      <c r="L131" s="38"/>
    </row>
    <row r="132" spans="1:12" ht="13.8" thickBot="1" x14ac:dyDescent="0.3">
      <c r="A132" s="12"/>
      <c r="B132" s="4"/>
      <c r="C132" s="2"/>
      <c r="D132" s="2"/>
      <c r="F132" s="16"/>
      <c r="G132" s="16"/>
      <c r="H132" s="16"/>
      <c r="J132" s="38"/>
      <c r="K132" s="38"/>
      <c r="L132" s="38"/>
    </row>
    <row r="133" spans="1:12" ht="13.8" thickBot="1" x14ac:dyDescent="0.3">
      <c r="A133" s="12"/>
      <c r="B133" s="4"/>
      <c r="C133" s="2"/>
      <c r="D133" s="2"/>
      <c r="F133" s="16"/>
      <c r="G133" s="16"/>
      <c r="H133" s="16"/>
      <c r="J133" s="38"/>
      <c r="K133" s="38"/>
      <c r="L133" s="38"/>
    </row>
    <row r="134" spans="1:12" ht="13.8" thickBot="1" x14ac:dyDescent="0.3">
      <c r="A134" s="12"/>
      <c r="B134" s="4"/>
      <c r="C134" s="2"/>
      <c r="D134" s="2"/>
      <c r="F134" s="16"/>
      <c r="G134" s="16"/>
      <c r="H134" s="16"/>
      <c r="J134" s="38"/>
      <c r="K134" s="38"/>
      <c r="L134" s="38"/>
    </row>
    <row r="135" spans="1:12" ht="13.8" thickBot="1" x14ac:dyDescent="0.3">
      <c r="A135" s="12"/>
      <c r="B135" s="4"/>
      <c r="C135" s="2"/>
      <c r="D135" s="2"/>
      <c r="F135" s="16"/>
      <c r="G135" s="16"/>
      <c r="H135" s="16"/>
      <c r="J135" s="38"/>
      <c r="K135" s="38"/>
      <c r="L135" s="38"/>
    </row>
    <row r="136" spans="1:12" ht="13.8" thickBot="1" x14ac:dyDescent="0.3">
      <c r="A136" s="12"/>
      <c r="B136" s="4"/>
      <c r="C136" s="2"/>
      <c r="D136" s="2"/>
      <c r="F136" s="16"/>
      <c r="G136" s="16"/>
      <c r="H136" s="16"/>
      <c r="J136" s="38"/>
      <c r="K136" s="38"/>
      <c r="L136" s="38"/>
    </row>
    <row r="137" spans="1:12" ht="13.8" thickBot="1" x14ac:dyDescent="0.3">
      <c r="A137" s="12"/>
      <c r="B137" s="4"/>
      <c r="C137" s="2"/>
      <c r="D137" s="2"/>
      <c r="F137" s="16"/>
      <c r="G137" s="16"/>
      <c r="H137" s="16"/>
      <c r="J137" s="38"/>
      <c r="K137" s="38"/>
      <c r="L137" s="38"/>
    </row>
    <row r="138" spans="1:12" ht="13.8" thickBot="1" x14ac:dyDescent="0.3">
      <c r="A138" s="12"/>
      <c r="B138" s="4"/>
      <c r="C138" s="2"/>
      <c r="D138" s="2"/>
      <c r="F138" s="16"/>
      <c r="G138" s="16"/>
      <c r="H138" s="16"/>
      <c r="J138" s="38"/>
      <c r="K138" s="38"/>
      <c r="L138" s="38"/>
    </row>
    <row r="139" spans="1:12" ht="13.8" thickBot="1" x14ac:dyDescent="0.3">
      <c r="A139" s="12"/>
      <c r="B139" s="4"/>
      <c r="C139" s="2"/>
      <c r="D139" s="2"/>
      <c r="F139" s="16"/>
      <c r="G139" s="16"/>
      <c r="H139" s="16"/>
      <c r="J139" s="38"/>
      <c r="K139" s="38"/>
      <c r="L139" s="38"/>
    </row>
    <row r="140" spans="1:12" ht="13.8" thickBot="1" x14ac:dyDescent="0.3">
      <c r="A140" s="12"/>
      <c r="B140" s="4"/>
      <c r="C140" s="2"/>
      <c r="D140" s="2"/>
      <c r="F140" s="16"/>
      <c r="G140" s="16"/>
      <c r="H140" s="16"/>
      <c r="J140" s="38"/>
      <c r="K140" s="38"/>
      <c r="L140" s="38"/>
    </row>
    <row r="141" spans="1:12" ht="13.8" thickBot="1" x14ac:dyDescent="0.3">
      <c r="A141" s="12"/>
      <c r="B141" s="4"/>
      <c r="C141" s="2"/>
      <c r="D141" s="2"/>
      <c r="F141" s="16"/>
      <c r="G141" s="16"/>
      <c r="H141" s="16"/>
      <c r="J141" s="38"/>
      <c r="K141" s="38"/>
      <c r="L141" s="38"/>
    </row>
    <row r="142" spans="1:12" ht="13.8" thickBot="1" x14ac:dyDescent="0.3">
      <c r="A142" s="12"/>
      <c r="B142" s="4"/>
      <c r="C142" s="2"/>
      <c r="D142" s="2"/>
      <c r="F142" s="16"/>
      <c r="G142" s="16"/>
      <c r="H142" s="16"/>
      <c r="J142" s="38"/>
      <c r="K142" s="38"/>
      <c r="L142" s="38"/>
    </row>
    <row r="143" spans="1:12" ht="13.8" thickBot="1" x14ac:dyDescent="0.3">
      <c r="A143" s="12"/>
      <c r="B143" s="4"/>
      <c r="C143" s="2"/>
      <c r="D143" s="2"/>
      <c r="F143" s="16"/>
      <c r="G143" s="16"/>
      <c r="H143" s="16"/>
      <c r="J143" s="38"/>
      <c r="K143" s="38"/>
      <c r="L143" s="38"/>
    </row>
    <row r="144" spans="1:12" ht="13.8" thickBot="1" x14ac:dyDescent="0.3">
      <c r="A144" s="12"/>
      <c r="B144" s="4"/>
      <c r="C144" s="2"/>
      <c r="D144" s="2"/>
      <c r="F144" s="16"/>
      <c r="G144" s="16"/>
      <c r="H144" s="16"/>
      <c r="J144" s="38"/>
      <c r="K144" s="38"/>
      <c r="L144" s="38"/>
    </row>
    <row r="145" spans="1:12" ht="13.8" thickBot="1" x14ac:dyDescent="0.3">
      <c r="A145" s="12"/>
      <c r="B145" s="4"/>
      <c r="C145" s="2"/>
      <c r="D145" s="2"/>
      <c r="F145" s="16"/>
      <c r="G145" s="16"/>
      <c r="H145" s="16"/>
      <c r="J145" s="38"/>
      <c r="K145" s="38"/>
      <c r="L145" s="38"/>
    </row>
    <row r="146" spans="1:12" ht="13.8" thickBot="1" x14ac:dyDescent="0.3">
      <c r="A146" s="12"/>
      <c r="B146" s="4"/>
      <c r="C146" s="2"/>
      <c r="D146" s="2"/>
      <c r="F146" s="16"/>
      <c r="G146" s="16"/>
      <c r="H146" s="16"/>
      <c r="J146" s="38"/>
      <c r="K146" s="38"/>
      <c r="L146" s="38"/>
    </row>
    <row r="147" spans="1:12" ht="13.8" thickBot="1" x14ac:dyDescent="0.3">
      <c r="A147" s="12"/>
      <c r="B147" s="4"/>
      <c r="C147" s="2"/>
      <c r="D147" s="2"/>
      <c r="F147" s="16"/>
      <c r="G147" s="16"/>
      <c r="H147" s="16"/>
      <c r="J147" s="38"/>
      <c r="K147" s="38"/>
      <c r="L147" s="38"/>
    </row>
    <row r="148" spans="1:12" ht="13.8" thickBot="1" x14ac:dyDescent="0.3">
      <c r="A148" s="12"/>
      <c r="B148" s="4"/>
      <c r="C148" s="2"/>
      <c r="D148" s="2"/>
      <c r="F148" s="16"/>
      <c r="G148" s="16"/>
      <c r="H148" s="16"/>
      <c r="J148" s="38"/>
      <c r="K148" s="38"/>
      <c r="L148" s="38"/>
    </row>
    <row r="149" spans="1:12" ht="13.8" thickBot="1" x14ac:dyDescent="0.3">
      <c r="A149" s="12"/>
      <c r="B149" s="4"/>
      <c r="C149" s="2"/>
      <c r="D149" s="2"/>
      <c r="F149" s="16"/>
      <c r="G149" s="16"/>
      <c r="H149" s="16"/>
      <c r="J149" s="38"/>
      <c r="K149" s="38"/>
      <c r="L149" s="38"/>
    </row>
    <row r="150" spans="1:12" ht="13.8" thickBot="1" x14ac:dyDescent="0.3">
      <c r="A150" s="12"/>
      <c r="B150" s="4"/>
      <c r="C150" s="2"/>
      <c r="D150" s="2"/>
      <c r="F150" s="16"/>
      <c r="G150" s="16"/>
      <c r="H150" s="16"/>
      <c r="J150" s="38"/>
      <c r="K150" s="38"/>
      <c r="L150" s="38"/>
    </row>
    <row r="151" spans="1:12" ht="13.8" thickBot="1" x14ac:dyDescent="0.3">
      <c r="A151" s="12"/>
      <c r="B151" s="4"/>
      <c r="C151" s="2"/>
      <c r="D151" s="2"/>
      <c r="F151" s="16"/>
      <c r="G151" s="16"/>
      <c r="H151" s="16"/>
      <c r="J151" s="38"/>
      <c r="K151" s="38"/>
      <c r="L151" s="38"/>
    </row>
    <row r="152" spans="1:12" ht="13.8" thickBot="1" x14ac:dyDescent="0.3">
      <c r="A152" s="12"/>
      <c r="B152" s="4"/>
      <c r="C152" s="2"/>
      <c r="D152" s="2"/>
      <c r="F152" s="16"/>
      <c r="G152" s="16"/>
      <c r="H152" s="16"/>
      <c r="J152" s="38"/>
      <c r="K152" s="38"/>
      <c r="L152" s="38"/>
    </row>
    <row r="153" spans="1:12" ht="13.8" thickBot="1" x14ac:dyDescent="0.3">
      <c r="A153" s="12"/>
      <c r="B153" s="4"/>
      <c r="C153" s="2"/>
      <c r="D153" s="2"/>
      <c r="F153" s="16"/>
      <c r="G153" s="16"/>
      <c r="H153" s="16"/>
      <c r="J153" s="38"/>
      <c r="K153" s="38"/>
      <c r="L153" s="38"/>
    </row>
    <row r="154" spans="1:12" ht="13.8" thickBot="1" x14ac:dyDescent="0.3">
      <c r="A154" s="12"/>
      <c r="B154" s="4"/>
      <c r="C154" s="2"/>
      <c r="D154" s="2"/>
      <c r="F154" s="16"/>
      <c r="G154" s="16"/>
      <c r="H154" s="16"/>
      <c r="J154" s="38"/>
      <c r="K154" s="38"/>
      <c r="L154" s="38"/>
    </row>
    <row r="155" spans="1:12" ht="13.8" thickBot="1" x14ac:dyDescent="0.3">
      <c r="A155" s="12"/>
      <c r="B155" s="4"/>
      <c r="C155" s="2"/>
      <c r="D155" s="2"/>
      <c r="F155" s="16"/>
      <c r="G155" s="16"/>
      <c r="H155" s="16"/>
      <c r="J155" s="38"/>
      <c r="K155" s="38"/>
      <c r="L155" s="38"/>
    </row>
    <row r="156" spans="1:12" ht="13.8" thickBot="1" x14ac:dyDescent="0.3">
      <c r="A156" s="12"/>
      <c r="B156" s="4"/>
      <c r="C156" s="2"/>
      <c r="D156" s="2"/>
      <c r="F156" s="16"/>
      <c r="G156" s="16"/>
      <c r="H156" s="16"/>
      <c r="J156" s="38"/>
      <c r="K156" s="38"/>
      <c r="L156" s="38"/>
    </row>
    <row r="157" spans="1:12" ht="13.8" thickBot="1" x14ac:dyDescent="0.3">
      <c r="A157" s="12"/>
      <c r="B157" s="4"/>
      <c r="C157" s="2"/>
      <c r="D157" s="2"/>
      <c r="F157" s="16"/>
      <c r="G157" s="16"/>
      <c r="H157" s="16"/>
      <c r="J157" s="38"/>
      <c r="K157" s="38"/>
      <c r="L157" s="38"/>
    </row>
    <row r="158" spans="1:12" ht="13.8" thickBot="1" x14ac:dyDescent="0.3">
      <c r="A158" s="12"/>
      <c r="B158" s="4"/>
      <c r="C158" s="2"/>
      <c r="D158" s="2"/>
      <c r="F158" s="16"/>
      <c r="G158" s="16"/>
      <c r="H158" s="16"/>
      <c r="J158" s="38"/>
      <c r="K158" s="38"/>
      <c r="L158" s="38"/>
    </row>
    <row r="159" spans="1:12" ht="13.8" thickBot="1" x14ac:dyDescent="0.3">
      <c r="A159" s="12"/>
      <c r="B159" s="4"/>
      <c r="C159" s="2"/>
      <c r="D159" s="2"/>
      <c r="F159" s="16"/>
      <c r="G159" s="16"/>
      <c r="H159" s="16"/>
      <c r="J159" s="38"/>
      <c r="K159" s="38"/>
      <c r="L159" s="38"/>
    </row>
    <row r="160" spans="1:12" ht="13.8" thickBot="1" x14ac:dyDescent="0.3">
      <c r="A160" s="12"/>
      <c r="B160" s="4"/>
      <c r="C160" s="2"/>
      <c r="D160" s="2"/>
      <c r="F160" s="16"/>
      <c r="G160" s="16"/>
      <c r="H160" s="16"/>
      <c r="J160" s="38"/>
      <c r="K160" s="38"/>
      <c r="L160" s="38"/>
    </row>
    <row r="161" spans="1:12" ht="13.8" thickBot="1" x14ac:dyDescent="0.3">
      <c r="A161" s="12"/>
      <c r="B161" s="4"/>
      <c r="C161" s="2"/>
      <c r="D161" s="2"/>
      <c r="F161" s="16"/>
      <c r="G161" s="16"/>
      <c r="H161" s="16"/>
      <c r="J161" s="38"/>
      <c r="K161" s="38"/>
      <c r="L161" s="38"/>
    </row>
    <row r="162" spans="1:12" ht="13.8" thickBot="1" x14ac:dyDescent="0.3">
      <c r="A162" s="12"/>
      <c r="B162" s="4"/>
      <c r="C162" s="2"/>
      <c r="D162" s="2"/>
      <c r="F162" s="16"/>
      <c r="G162" s="16"/>
      <c r="H162" s="16"/>
      <c r="J162" s="38"/>
      <c r="K162" s="38"/>
      <c r="L162" s="38"/>
    </row>
    <row r="163" spans="1:12" ht="13.8" thickBot="1" x14ac:dyDescent="0.3">
      <c r="A163" s="12"/>
      <c r="B163" s="4"/>
      <c r="C163" s="2"/>
      <c r="D163" s="2"/>
      <c r="F163" s="16"/>
      <c r="G163" s="16"/>
      <c r="H163" s="16"/>
      <c r="J163" s="38"/>
      <c r="K163" s="38"/>
      <c r="L163" s="38"/>
    </row>
    <row r="164" spans="1:12" ht="13.8" thickBot="1" x14ac:dyDescent="0.3">
      <c r="A164" s="12"/>
      <c r="B164" s="4"/>
      <c r="C164" s="2"/>
      <c r="D164" s="2"/>
      <c r="F164" s="16"/>
      <c r="G164" s="16"/>
      <c r="H164" s="16"/>
      <c r="J164" s="38"/>
      <c r="K164" s="38"/>
      <c r="L164" s="38"/>
    </row>
    <row r="165" spans="1:12" ht="13.8" thickBot="1" x14ac:dyDescent="0.3">
      <c r="A165" s="12"/>
      <c r="B165" s="4"/>
      <c r="C165" s="2"/>
      <c r="D165" s="2"/>
      <c r="F165" s="16"/>
      <c r="G165" s="16"/>
      <c r="H165" s="16"/>
      <c r="J165" s="38"/>
      <c r="K165" s="38"/>
      <c r="L165" s="38"/>
    </row>
    <row r="166" spans="1:12" ht="13.8" thickBot="1" x14ac:dyDescent="0.3">
      <c r="A166" s="12"/>
      <c r="B166" s="4"/>
      <c r="C166" s="2"/>
      <c r="D166" s="2"/>
      <c r="F166" s="16"/>
      <c r="G166" s="16"/>
      <c r="H166" s="16"/>
      <c r="J166" s="38"/>
      <c r="K166" s="38"/>
      <c r="L166" s="38"/>
    </row>
    <row r="167" spans="1:12" ht="13.8" thickBot="1" x14ac:dyDescent="0.3">
      <c r="A167" s="12"/>
      <c r="B167" s="4"/>
      <c r="C167" s="2"/>
      <c r="D167" s="2"/>
      <c r="F167" s="16"/>
      <c r="G167" s="16"/>
      <c r="H167" s="16"/>
      <c r="J167" s="38"/>
      <c r="K167" s="38"/>
      <c r="L167" s="38"/>
    </row>
    <row r="168" spans="1:12" ht="13.8" thickBot="1" x14ac:dyDescent="0.3">
      <c r="A168" s="12"/>
      <c r="B168" s="4"/>
      <c r="C168" s="2"/>
      <c r="D168" s="2"/>
      <c r="F168" s="16"/>
      <c r="G168" s="16"/>
      <c r="H168" s="16"/>
      <c r="J168" s="38"/>
      <c r="K168" s="38"/>
      <c r="L168" s="38"/>
    </row>
    <row r="169" spans="1:12" ht="13.8" thickBot="1" x14ac:dyDescent="0.3">
      <c r="A169" s="12"/>
      <c r="B169" s="4"/>
      <c r="C169" s="2"/>
      <c r="D169" s="2"/>
      <c r="F169" s="16"/>
      <c r="G169" s="16"/>
      <c r="H169" s="16"/>
      <c r="J169" s="38"/>
      <c r="K169" s="38"/>
      <c r="L169" s="38"/>
    </row>
    <row r="170" spans="1:12" ht="13.8" thickBot="1" x14ac:dyDescent="0.3">
      <c r="A170" s="12"/>
      <c r="B170" s="4"/>
      <c r="C170" s="2"/>
      <c r="D170" s="2"/>
      <c r="F170" s="16"/>
      <c r="G170" s="16"/>
      <c r="H170" s="16"/>
      <c r="J170" s="38"/>
      <c r="K170" s="38"/>
      <c r="L170" s="38"/>
    </row>
    <row r="171" spans="1:12" ht="13.8" thickBot="1" x14ac:dyDescent="0.3">
      <c r="A171" s="12"/>
      <c r="B171" s="4"/>
      <c r="C171" s="2"/>
      <c r="D171" s="2"/>
      <c r="F171" s="16"/>
      <c r="G171" s="16"/>
      <c r="H171" s="16"/>
      <c r="J171" s="38"/>
      <c r="K171" s="38"/>
      <c r="L171" s="38"/>
    </row>
    <row r="172" spans="1:12" ht="13.8" thickBot="1" x14ac:dyDescent="0.3">
      <c r="A172" s="12"/>
      <c r="B172" s="4"/>
      <c r="C172" s="2"/>
      <c r="D172" s="2"/>
      <c r="F172" s="16"/>
      <c r="G172" s="16"/>
      <c r="H172" s="16"/>
      <c r="J172" s="38"/>
      <c r="K172" s="38"/>
      <c r="L172" s="38"/>
    </row>
    <row r="173" spans="1:12" ht="13.8" thickBot="1" x14ac:dyDescent="0.3">
      <c r="A173" s="12"/>
      <c r="B173" s="4"/>
      <c r="C173" s="2"/>
      <c r="D173" s="2"/>
      <c r="F173" s="16"/>
      <c r="G173" s="16"/>
      <c r="H173" s="16"/>
      <c r="J173" s="38"/>
      <c r="K173" s="38"/>
      <c r="L173" s="38"/>
    </row>
    <row r="174" spans="1:12" ht="13.8" thickBot="1" x14ac:dyDescent="0.3">
      <c r="A174" s="12"/>
      <c r="B174" s="4"/>
      <c r="C174" s="2"/>
      <c r="D174" s="2"/>
      <c r="F174" s="16"/>
      <c r="G174" s="16"/>
      <c r="H174" s="16"/>
      <c r="J174" s="38"/>
      <c r="K174" s="38"/>
      <c r="L174" s="38"/>
    </row>
    <row r="175" spans="1:12" ht="13.8" thickBot="1" x14ac:dyDescent="0.3">
      <c r="A175" s="12"/>
      <c r="B175" s="4"/>
      <c r="C175" s="2"/>
      <c r="D175" s="2"/>
      <c r="F175" s="16"/>
      <c r="G175" s="16"/>
      <c r="H175" s="16"/>
      <c r="J175" s="38"/>
      <c r="K175" s="38"/>
      <c r="L175" s="38"/>
    </row>
    <row r="176" spans="1:12" ht="13.8" thickBot="1" x14ac:dyDescent="0.3">
      <c r="A176" s="12"/>
      <c r="B176" s="4"/>
      <c r="C176" s="2"/>
      <c r="D176" s="2"/>
      <c r="F176" s="16"/>
      <c r="G176" s="16"/>
      <c r="H176" s="16"/>
      <c r="J176" s="38"/>
      <c r="K176" s="38"/>
      <c r="L176" s="38"/>
    </row>
    <row r="177" spans="1:12" ht="13.8" thickBot="1" x14ac:dyDescent="0.3">
      <c r="A177" s="12"/>
      <c r="B177" s="4"/>
      <c r="C177" s="2"/>
      <c r="D177" s="2"/>
      <c r="F177" s="16"/>
      <c r="G177" s="16"/>
      <c r="H177" s="16"/>
      <c r="J177" s="38"/>
      <c r="K177" s="38"/>
      <c r="L177" s="38"/>
    </row>
    <row r="178" spans="1:12" ht="13.8" thickBot="1" x14ac:dyDescent="0.3">
      <c r="A178" s="12"/>
      <c r="B178" s="4"/>
      <c r="C178" s="2"/>
      <c r="D178" s="2"/>
      <c r="F178" s="16"/>
      <c r="G178" s="16"/>
      <c r="H178" s="16"/>
      <c r="J178" s="38"/>
      <c r="K178" s="38"/>
      <c r="L178" s="38"/>
    </row>
    <row r="179" spans="1:12" ht="13.8" thickBot="1" x14ac:dyDescent="0.3">
      <c r="A179" s="12"/>
      <c r="B179" s="4"/>
      <c r="C179" s="2"/>
      <c r="D179" s="2"/>
      <c r="F179" s="16"/>
      <c r="G179" s="16"/>
      <c r="H179" s="16"/>
      <c r="J179" s="38"/>
      <c r="K179" s="38"/>
      <c r="L179" s="38"/>
    </row>
    <row r="180" spans="1:12" ht="13.8" thickBot="1" x14ac:dyDescent="0.3">
      <c r="A180" s="12"/>
      <c r="B180" s="4"/>
      <c r="C180" s="2"/>
      <c r="D180" s="2"/>
      <c r="F180" s="16"/>
      <c r="G180" s="16"/>
      <c r="H180" s="16"/>
      <c r="J180" s="38"/>
      <c r="K180" s="38"/>
      <c r="L180" s="38"/>
    </row>
    <row r="181" spans="1:12" ht="13.8" thickBot="1" x14ac:dyDescent="0.3">
      <c r="A181" s="12"/>
      <c r="B181" s="4"/>
      <c r="C181" s="2"/>
      <c r="D181" s="2"/>
      <c r="F181" s="16"/>
      <c r="G181" s="16"/>
      <c r="H181" s="16"/>
      <c r="J181" s="38"/>
      <c r="K181" s="38"/>
      <c r="L181" s="38"/>
    </row>
    <row r="182" spans="1:12" ht="13.8" thickBot="1" x14ac:dyDescent="0.3">
      <c r="A182" s="12"/>
      <c r="B182" s="4"/>
      <c r="C182" s="2"/>
      <c r="D182" s="2"/>
      <c r="F182" s="16"/>
      <c r="G182" s="16"/>
      <c r="H182" s="16"/>
      <c r="J182" s="38"/>
      <c r="K182" s="38"/>
      <c r="L182" s="38"/>
    </row>
    <row r="183" spans="1:12" ht="13.8" thickBot="1" x14ac:dyDescent="0.3">
      <c r="A183" s="12"/>
      <c r="B183" s="4"/>
      <c r="C183" s="2"/>
      <c r="D183" s="2"/>
      <c r="F183" s="16"/>
      <c r="G183" s="16"/>
      <c r="H183" s="16"/>
      <c r="J183" s="38"/>
      <c r="K183" s="38"/>
      <c r="L183" s="38"/>
    </row>
    <row r="184" spans="1:12" ht="13.8" thickBot="1" x14ac:dyDescent="0.3">
      <c r="A184" s="12"/>
      <c r="B184" s="4"/>
      <c r="C184" s="2"/>
      <c r="D184" s="2"/>
      <c r="F184" s="16"/>
      <c r="G184" s="16"/>
      <c r="H184" s="16"/>
      <c r="J184" s="38"/>
      <c r="K184" s="38"/>
      <c r="L184" s="38"/>
    </row>
    <row r="185" spans="1:12" ht="13.8" thickBot="1" x14ac:dyDescent="0.3">
      <c r="A185" s="12"/>
      <c r="B185" s="4"/>
      <c r="C185" s="2"/>
      <c r="D185" s="2"/>
      <c r="F185" s="16"/>
      <c r="G185" s="16"/>
      <c r="H185" s="16"/>
      <c r="J185" s="38"/>
      <c r="K185" s="38"/>
      <c r="L185" s="38"/>
    </row>
    <row r="186" spans="1:12" ht="13.8" thickBot="1" x14ac:dyDescent="0.3">
      <c r="A186" s="12"/>
      <c r="B186" s="4"/>
      <c r="C186" s="2"/>
      <c r="D186" s="2"/>
      <c r="F186" s="16"/>
      <c r="G186" s="16"/>
      <c r="H186" s="16"/>
      <c r="J186" s="38"/>
      <c r="K186" s="38"/>
      <c r="L186" s="38"/>
    </row>
    <row r="187" spans="1:12" ht="13.8" thickBot="1" x14ac:dyDescent="0.3">
      <c r="A187" s="12"/>
      <c r="B187" s="4"/>
      <c r="C187" s="2"/>
      <c r="D187" s="2"/>
      <c r="F187" s="16"/>
      <c r="G187" s="16"/>
      <c r="H187" s="16"/>
      <c r="J187" s="38"/>
      <c r="K187" s="38"/>
      <c r="L187" s="38"/>
    </row>
    <row r="188" spans="1:12" ht="13.8" thickBot="1" x14ac:dyDescent="0.3">
      <c r="A188" s="12"/>
      <c r="B188" s="4"/>
      <c r="C188" s="2"/>
      <c r="D188" s="2"/>
      <c r="F188" s="16"/>
      <c r="G188" s="16"/>
      <c r="H188" s="16"/>
      <c r="J188" s="38"/>
      <c r="K188" s="38"/>
      <c r="L188" s="38"/>
    </row>
    <row r="189" spans="1:12" ht="13.8" thickBot="1" x14ac:dyDescent="0.3">
      <c r="A189" s="12"/>
      <c r="B189" s="4"/>
      <c r="C189" s="2"/>
      <c r="D189" s="2"/>
      <c r="F189" s="16"/>
      <c r="G189" s="16"/>
      <c r="H189" s="16"/>
      <c r="J189" s="38"/>
      <c r="K189" s="38"/>
      <c r="L189" s="38"/>
    </row>
    <row r="190" spans="1:12" ht="13.8" thickBot="1" x14ac:dyDescent="0.3">
      <c r="A190" s="12"/>
      <c r="B190" s="4"/>
      <c r="C190" s="2"/>
      <c r="D190" s="2"/>
      <c r="F190" s="16"/>
      <c r="G190" s="16"/>
      <c r="H190" s="16"/>
      <c r="J190" s="38"/>
      <c r="K190" s="38"/>
      <c r="L190" s="38"/>
    </row>
    <row r="191" spans="1:12" ht="13.8" thickBot="1" x14ac:dyDescent="0.3">
      <c r="A191" s="12"/>
      <c r="B191" s="4"/>
      <c r="C191" s="2"/>
      <c r="D191" s="2"/>
      <c r="F191" s="16"/>
      <c r="G191" s="16"/>
      <c r="H191" s="16"/>
      <c r="J191" s="38"/>
      <c r="K191" s="38"/>
      <c r="L191" s="38"/>
    </row>
    <row r="192" spans="1:12" ht="13.8" thickBot="1" x14ac:dyDescent="0.3">
      <c r="A192" s="12"/>
      <c r="B192" s="4"/>
      <c r="C192" s="2"/>
      <c r="D192" s="2"/>
      <c r="F192" s="16"/>
      <c r="G192" s="16"/>
      <c r="H192" s="16"/>
      <c r="J192" s="38"/>
      <c r="K192" s="38"/>
      <c r="L192" s="38"/>
    </row>
    <row r="193" spans="1:12" ht="13.8" thickBot="1" x14ac:dyDescent="0.3">
      <c r="A193" s="12"/>
      <c r="B193" s="4"/>
      <c r="C193" s="2"/>
      <c r="D193" s="2"/>
      <c r="F193" s="16"/>
      <c r="G193" s="16"/>
      <c r="H193" s="16"/>
      <c r="J193" s="38"/>
      <c r="K193" s="38"/>
      <c r="L193" s="38"/>
    </row>
    <row r="194" spans="1:12" ht="13.8" thickBot="1" x14ac:dyDescent="0.3">
      <c r="A194" s="12"/>
      <c r="B194" s="4"/>
      <c r="C194" s="2"/>
      <c r="D194" s="2"/>
      <c r="F194" s="16"/>
      <c r="G194" s="16"/>
      <c r="H194" s="16"/>
      <c r="J194" s="38"/>
      <c r="K194" s="38"/>
      <c r="L194" s="38"/>
    </row>
    <row r="195" spans="1:12" ht="13.8" thickBot="1" x14ac:dyDescent="0.3">
      <c r="A195" s="12"/>
      <c r="B195" s="4"/>
      <c r="C195" s="2"/>
      <c r="D195" s="2"/>
      <c r="F195" s="16"/>
      <c r="G195" s="16"/>
      <c r="H195" s="16"/>
      <c r="J195" s="38"/>
      <c r="K195" s="38"/>
      <c r="L195" s="38"/>
    </row>
    <row r="196" spans="1:12" ht="13.8" thickBot="1" x14ac:dyDescent="0.3">
      <c r="A196" s="12"/>
      <c r="B196" s="4"/>
      <c r="C196" s="2"/>
      <c r="D196" s="2"/>
      <c r="F196" s="16"/>
      <c r="G196" s="16"/>
      <c r="H196" s="16"/>
      <c r="J196" s="38"/>
      <c r="K196" s="38"/>
      <c r="L196" s="38"/>
    </row>
    <row r="197" spans="1:12" ht="13.8" thickBot="1" x14ac:dyDescent="0.3">
      <c r="A197" s="12"/>
      <c r="B197" s="4"/>
      <c r="C197" s="2"/>
      <c r="D197" s="2"/>
      <c r="F197" s="16"/>
      <c r="G197" s="16"/>
      <c r="H197" s="16"/>
      <c r="J197" s="38"/>
      <c r="K197" s="38"/>
      <c r="L197" s="38"/>
    </row>
    <row r="198" spans="1:12" ht="13.8" thickBot="1" x14ac:dyDescent="0.3">
      <c r="A198" s="12"/>
      <c r="B198" s="4"/>
      <c r="C198" s="2"/>
      <c r="D198" s="2"/>
      <c r="F198" s="16"/>
      <c r="G198" s="16"/>
      <c r="H198" s="16"/>
      <c r="J198" s="38"/>
      <c r="K198" s="38"/>
      <c r="L198" s="38"/>
    </row>
    <row r="199" spans="1:12" ht="13.8" thickBot="1" x14ac:dyDescent="0.3">
      <c r="A199" s="12"/>
      <c r="B199" s="4"/>
      <c r="C199" s="2"/>
      <c r="D199" s="2"/>
      <c r="F199" s="16"/>
      <c r="G199" s="16"/>
      <c r="H199" s="16"/>
      <c r="J199" s="38"/>
      <c r="K199" s="38"/>
      <c r="L199" s="38"/>
    </row>
    <row r="200" spans="1:12" ht="13.8" thickBot="1" x14ac:dyDescent="0.3">
      <c r="A200" s="12"/>
      <c r="B200" s="4"/>
      <c r="C200" s="2"/>
      <c r="D200" s="2"/>
      <c r="F200" s="16"/>
      <c r="G200" s="16"/>
      <c r="H200" s="16"/>
      <c r="J200" s="38"/>
      <c r="K200" s="38"/>
      <c r="L200" s="38"/>
    </row>
    <row r="201" spans="1:12" ht="13.8" thickBot="1" x14ac:dyDescent="0.3">
      <c r="A201" s="12"/>
      <c r="B201" s="4"/>
      <c r="C201" s="2"/>
      <c r="D201" s="2"/>
      <c r="F201" s="16"/>
      <c r="G201" s="16"/>
      <c r="H201" s="16"/>
      <c r="J201" s="38"/>
      <c r="K201" s="38"/>
      <c r="L201" s="38"/>
    </row>
    <row r="202" spans="1:12" ht="13.8" thickBot="1" x14ac:dyDescent="0.3">
      <c r="A202" s="12"/>
      <c r="B202" s="4"/>
      <c r="C202" s="2"/>
      <c r="D202" s="2"/>
      <c r="F202" s="16"/>
      <c r="G202" s="16"/>
      <c r="H202" s="16"/>
      <c r="J202" s="38"/>
      <c r="K202" s="38"/>
      <c r="L202" s="38"/>
    </row>
    <row r="203" spans="1:12" ht="13.8" thickBot="1" x14ac:dyDescent="0.3">
      <c r="A203" s="12"/>
      <c r="B203" s="4"/>
      <c r="C203" s="2"/>
      <c r="D203" s="2"/>
      <c r="F203" s="16"/>
      <c r="G203" s="16"/>
      <c r="H203" s="16"/>
      <c r="J203" s="38"/>
      <c r="K203" s="38"/>
      <c r="L203" s="38"/>
    </row>
    <row r="204" spans="1:12" ht="13.8" thickBot="1" x14ac:dyDescent="0.3">
      <c r="A204" s="12"/>
      <c r="B204" s="4"/>
      <c r="C204" s="2"/>
      <c r="D204" s="2"/>
      <c r="F204" s="16"/>
      <c r="G204" s="16"/>
      <c r="H204" s="16"/>
      <c r="J204" s="38"/>
      <c r="K204" s="38"/>
      <c r="L204" s="38"/>
    </row>
    <row r="205" spans="1:12" ht="13.8" thickBot="1" x14ac:dyDescent="0.3">
      <c r="A205" s="12"/>
      <c r="B205" s="4"/>
      <c r="C205" s="2"/>
      <c r="D205" s="2"/>
      <c r="F205" s="16"/>
      <c r="G205" s="16"/>
      <c r="H205" s="16"/>
      <c r="J205" s="38"/>
      <c r="K205" s="38"/>
      <c r="L205" s="38"/>
    </row>
    <row r="206" spans="1:12" ht="13.8" thickBot="1" x14ac:dyDescent="0.3">
      <c r="A206" s="12"/>
      <c r="B206" s="4"/>
      <c r="C206" s="2"/>
      <c r="D206" s="2"/>
      <c r="F206" s="16"/>
      <c r="G206" s="16"/>
      <c r="H206" s="16"/>
      <c r="J206" s="38"/>
      <c r="K206" s="38"/>
      <c r="L206" s="38"/>
    </row>
    <row r="207" spans="1:12" ht="13.8" thickBot="1" x14ac:dyDescent="0.3">
      <c r="A207" s="12"/>
      <c r="B207" s="4"/>
      <c r="C207" s="2"/>
      <c r="D207" s="2"/>
      <c r="F207" s="16"/>
      <c r="G207" s="16"/>
      <c r="H207" s="16"/>
      <c r="J207" s="38"/>
      <c r="K207" s="38"/>
      <c r="L207" s="38"/>
    </row>
    <row r="208" spans="1:12" ht="13.8" thickBot="1" x14ac:dyDescent="0.3">
      <c r="A208" s="12"/>
      <c r="B208" s="4"/>
      <c r="C208" s="2"/>
      <c r="D208" s="2"/>
      <c r="F208" s="16"/>
      <c r="G208" s="16"/>
      <c r="H208" s="16"/>
      <c r="J208" s="38"/>
      <c r="K208" s="38"/>
      <c r="L208" s="38"/>
    </row>
    <row r="209" spans="1:12" ht="13.8" thickBot="1" x14ac:dyDescent="0.3">
      <c r="A209" s="12"/>
      <c r="B209" s="4"/>
      <c r="C209" s="2"/>
      <c r="D209" s="2"/>
      <c r="F209" s="16"/>
      <c r="G209" s="16"/>
      <c r="H209" s="16"/>
      <c r="J209" s="38"/>
      <c r="K209" s="38"/>
      <c r="L209" s="38"/>
    </row>
    <row r="210" spans="1:12" ht="13.8" thickBot="1" x14ac:dyDescent="0.3">
      <c r="A210" s="12"/>
      <c r="B210" s="4"/>
      <c r="C210" s="2"/>
      <c r="D210" s="2"/>
      <c r="F210" s="16"/>
      <c r="G210" s="16"/>
      <c r="H210" s="16"/>
      <c r="J210" s="38"/>
      <c r="K210" s="38"/>
      <c r="L210" s="38"/>
    </row>
    <row r="211" spans="1:12" ht="13.8" thickBot="1" x14ac:dyDescent="0.3">
      <c r="A211" s="12"/>
      <c r="B211" s="4"/>
      <c r="C211" s="2"/>
      <c r="D211" s="2"/>
      <c r="F211" s="16"/>
      <c r="G211" s="16"/>
      <c r="H211" s="16"/>
      <c r="J211" s="38"/>
      <c r="K211" s="38"/>
      <c r="L211" s="38"/>
    </row>
    <row r="212" spans="1:12" ht="13.8" thickBot="1" x14ac:dyDescent="0.3">
      <c r="A212" s="12"/>
      <c r="B212" s="4"/>
      <c r="C212" s="2"/>
      <c r="D212" s="2"/>
      <c r="F212" s="16"/>
      <c r="G212" s="16"/>
      <c r="H212" s="16"/>
      <c r="J212" s="38"/>
      <c r="K212" s="38"/>
      <c r="L212" s="38"/>
    </row>
    <row r="213" spans="1:12" ht="13.8" thickBot="1" x14ac:dyDescent="0.3">
      <c r="A213" s="12"/>
      <c r="B213" s="4"/>
      <c r="C213" s="2"/>
      <c r="D213" s="2"/>
      <c r="F213" s="16"/>
      <c r="G213" s="16"/>
      <c r="H213" s="16"/>
      <c r="J213" s="38"/>
      <c r="K213" s="38"/>
      <c r="L213" s="38"/>
    </row>
    <row r="214" spans="1:12" ht="13.8" thickBot="1" x14ac:dyDescent="0.3">
      <c r="A214" s="12"/>
      <c r="B214" s="4"/>
      <c r="C214" s="2"/>
      <c r="D214" s="2"/>
      <c r="F214" s="16"/>
      <c r="G214" s="16"/>
      <c r="H214" s="16"/>
      <c r="J214" s="38"/>
      <c r="K214" s="38"/>
      <c r="L214" s="38"/>
    </row>
    <row r="215" spans="1:12" ht="13.8" thickBot="1" x14ac:dyDescent="0.3">
      <c r="A215" s="12"/>
      <c r="B215" s="4"/>
      <c r="C215" s="2"/>
      <c r="D215" s="2"/>
      <c r="F215" s="16"/>
      <c r="G215" s="16"/>
      <c r="H215" s="16"/>
      <c r="J215" s="38"/>
      <c r="K215" s="38"/>
      <c r="L215" s="38"/>
    </row>
    <row r="216" spans="1:12" ht="13.8" thickBot="1" x14ac:dyDescent="0.3">
      <c r="A216" s="12"/>
      <c r="B216" s="4"/>
      <c r="C216" s="2"/>
      <c r="D216" s="2"/>
      <c r="F216" s="16"/>
      <c r="G216" s="16"/>
      <c r="H216" s="16"/>
      <c r="J216" s="38"/>
      <c r="K216" s="38"/>
      <c r="L216" s="38"/>
    </row>
    <row r="217" spans="1:12" ht="13.8" thickBot="1" x14ac:dyDescent="0.3">
      <c r="A217" s="12"/>
      <c r="B217" s="4"/>
      <c r="C217" s="2"/>
      <c r="D217" s="2"/>
      <c r="F217" s="16"/>
      <c r="G217" s="16"/>
      <c r="H217" s="16"/>
      <c r="J217" s="38"/>
      <c r="K217" s="38"/>
      <c r="L217" s="38"/>
    </row>
    <row r="218" spans="1:12" ht="13.8" thickBot="1" x14ac:dyDescent="0.3">
      <c r="A218" s="12"/>
      <c r="B218" s="4"/>
      <c r="C218" s="2"/>
      <c r="D218" s="2"/>
      <c r="F218" s="16"/>
      <c r="G218" s="16"/>
      <c r="H218" s="16"/>
      <c r="J218" s="38"/>
      <c r="K218" s="38"/>
      <c r="L218" s="38"/>
    </row>
    <row r="219" spans="1:12" ht="13.8" thickBot="1" x14ac:dyDescent="0.3">
      <c r="A219" s="12"/>
      <c r="B219" s="4"/>
      <c r="C219" s="2"/>
      <c r="D219" s="2"/>
      <c r="F219" s="16"/>
      <c r="G219" s="16"/>
      <c r="H219" s="16"/>
      <c r="J219" s="38"/>
      <c r="K219" s="38"/>
      <c r="L219" s="38"/>
    </row>
    <row r="220" spans="1:12" ht="13.8" thickBot="1" x14ac:dyDescent="0.3">
      <c r="A220" s="12"/>
      <c r="B220" s="4"/>
      <c r="C220" s="2"/>
      <c r="D220" s="2"/>
      <c r="F220" s="16"/>
      <c r="G220" s="16"/>
      <c r="H220" s="16"/>
      <c r="J220" s="38"/>
      <c r="K220" s="38"/>
      <c r="L220" s="38"/>
    </row>
    <row r="221" spans="1:12" ht="13.8" thickBot="1" x14ac:dyDescent="0.3">
      <c r="A221" s="12"/>
      <c r="B221" s="4"/>
      <c r="C221" s="2"/>
      <c r="D221" s="2"/>
      <c r="F221" s="16"/>
      <c r="G221" s="16"/>
      <c r="H221" s="16"/>
      <c r="J221" s="38"/>
      <c r="K221" s="38"/>
      <c r="L221" s="38"/>
    </row>
    <row r="222" spans="1:12" ht="13.8" thickBot="1" x14ac:dyDescent="0.3">
      <c r="A222" s="12"/>
      <c r="B222" s="4"/>
      <c r="C222" s="2"/>
      <c r="D222" s="2"/>
      <c r="F222" s="16"/>
      <c r="G222" s="16"/>
      <c r="H222" s="16"/>
      <c r="J222" s="38"/>
      <c r="K222" s="38"/>
      <c r="L222" s="38"/>
    </row>
    <row r="223" spans="1:12" ht="13.8" thickBot="1" x14ac:dyDescent="0.3">
      <c r="A223" s="12"/>
      <c r="B223" s="4"/>
      <c r="C223" s="2"/>
      <c r="D223" s="2"/>
      <c r="F223" s="16"/>
      <c r="G223" s="16"/>
      <c r="H223" s="16"/>
      <c r="J223" s="38"/>
      <c r="K223" s="38"/>
      <c r="L223" s="38"/>
    </row>
    <row r="224" spans="1:12" ht="13.8" thickBot="1" x14ac:dyDescent="0.3">
      <c r="A224" s="12"/>
      <c r="B224" s="4"/>
      <c r="C224" s="2"/>
      <c r="D224" s="2"/>
      <c r="F224" s="16"/>
      <c r="G224" s="16"/>
      <c r="H224" s="16"/>
      <c r="J224" s="38"/>
      <c r="K224" s="38"/>
      <c r="L224" s="38"/>
    </row>
    <row r="225" spans="1:12" ht="13.8" thickBot="1" x14ac:dyDescent="0.3">
      <c r="A225" s="12"/>
      <c r="B225" s="4"/>
      <c r="C225" s="2"/>
      <c r="D225" s="2"/>
      <c r="F225" s="16"/>
      <c r="G225" s="16"/>
      <c r="H225" s="16"/>
      <c r="J225" s="38"/>
      <c r="K225" s="38"/>
      <c r="L225" s="38"/>
    </row>
    <row r="226" spans="1:12" ht="13.8" thickBot="1" x14ac:dyDescent="0.3">
      <c r="A226" s="12"/>
      <c r="B226" s="4"/>
      <c r="C226" s="2"/>
      <c r="D226" s="2"/>
      <c r="F226" s="16"/>
      <c r="G226" s="16"/>
      <c r="H226" s="16"/>
      <c r="J226" s="38"/>
      <c r="K226" s="38"/>
      <c r="L226" s="38"/>
    </row>
    <row r="227" spans="1:12" ht="13.8" thickBot="1" x14ac:dyDescent="0.3">
      <c r="A227" s="12"/>
      <c r="B227" s="4"/>
      <c r="C227" s="2"/>
      <c r="D227" s="2"/>
      <c r="F227" s="16"/>
      <c r="G227" s="16"/>
      <c r="H227" s="16"/>
      <c r="J227" s="38"/>
      <c r="K227" s="38"/>
      <c r="L227" s="38"/>
    </row>
    <row r="228" spans="1:12" ht="13.8" thickBot="1" x14ac:dyDescent="0.3">
      <c r="A228" s="12"/>
      <c r="B228" s="4"/>
      <c r="C228" s="2"/>
      <c r="D228" s="2"/>
      <c r="F228" s="16"/>
      <c r="G228" s="16"/>
      <c r="H228" s="16"/>
      <c r="J228" s="38"/>
      <c r="K228" s="38"/>
      <c r="L228" s="38"/>
    </row>
    <row r="229" spans="1:12" ht="13.8" thickBot="1" x14ac:dyDescent="0.3">
      <c r="A229" s="12"/>
      <c r="B229" s="4"/>
      <c r="C229" s="2"/>
      <c r="D229" s="2"/>
      <c r="F229" s="16"/>
      <c r="G229" s="16"/>
      <c r="H229" s="16"/>
      <c r="J229" s="38"/>
      <c r="K229" s="38"/>
      <c r="L229" s="38"/>
    </row>
    <row r="230" spans="1:12" ht="13.8" thickBot="1" x14ac:dyDescent="0.3">
      <c r="A230" s="12"/>
      <c r="B230" s="4"/>
      <c r="C230" s="2"/>
      <c r="D230" s="2"/>
      <c r="F230" s="16"/>
      <c r="G230" s="16"/>
      <c r="H230" s="16"/>
      <c r="J230" s="38"/>
      <c r="K230" s="38"/>
      <c r="L230" s="38"/>
    </row>
    <row r="231" spans="1:12" ht="13.8" thickBot="1" x14ac:dyDescent="0.3">
      <c r="A231" s="12"/>
      <c r="B231" s="4"/>
      <c r="C231" s="2"/>
      <c r="D231" s="2"/>
      <c r="F231" s="16"/>
      <c r="G231" s="16"/>
      <c r="H231" s="16"/>
      <c r="J231" s="38"/>
      <c r="K231" s="38"/>
      <c r="L231" s="38"/>
    </row>
    <row r="232" spans="1:12" ht="13.8" thickBot="1" x14ac:dyDescent="0.3">
      <c r="A232" s="12"/>
      <c r="B232" s="4"/>
      <c r="C232" s="2"/>
      <c r="D232" s="2"/>
      <c r="F232" s="16"/>
      <c r="G232" s="16"/>
      <c r="H232" s="16"/>
      <c r="J232" s="38"/>
      <c r="K232" s="38"/>
      <c r="L232" s="38"/>
    </row>
    <row r="233" spans="1:12" ht="13.8" thickBot="1" x14ac:dyDescent="0.3">
      <c r="A233" s="12"/>
      <c r="B233" s="4"/>
      <c r="C233" s="2"/>
      <c r="D233" s="2"/>
      <c r="F233" s="16"/>
      <c r="G233" s="16"/>
      <c r="H233" s="16"/>
      <c r="J233" s="38"/>
      <c r="K233" s="38"/>
      <c r="L233" s="38"/>
    </row>
    <row r="234" spans="1:12" ht="13.8" thickBot="1" x14ac:dyDescent="0.3">
      <c r="A234" s="12"/>
      <c r="B234" s="4"/>
      <c r="C234" s="2"/>
      <c r="D234" s="2"/>
      <c r="F234" s="16"/>
      <c r="G234" s="16"/>
      <c r="H234" s="16"/>
      <c r="J234" s="38"/>
      <c r="K234" s="38"/>
      <c r="L234" s="38"/>
    </row>
    <row r="235" spans="1:12" ht="13.8" thickBot="1" x14ac:dyDescent="0.3">
      <c r="A235" s="12"/>
      <c r="B235" s="4"/>
      <c r="C235" s="2"/>
      <c r="D235" s="2"/>
      <c r="F235" s="16"/>
      <c r="G235" s="16"/>
      <c r="H235" s="16"/>
      <c r="J235" s="38"/>
      <c r="K235" s="38"/>
      <c r="L235" s="38"/>
    </row>
    <row r="236" spans="1:12" ht="13.8" thickBot="1" x14ac:dyDescent="0.3">
      <c r="A236" s="12"/>
      <c r="B236" s="4"/>
      <c r="C236" s="2"/>
      <c r="D236" s="2"/>
      <c r="F236" s="16"/>
      <c r="G236" s="16"/>
      <c r="H236" s="16"/>
      <c r="J236" s="38"/>
      <c r="K236" s="38"/>
      <c r="L236" s="38"/>
    </row>
    <row r="237" spans="1:12" ht="13.8" thickBot="1" x14ac:dyDescent="0.3">
      <c r="A237" s="12"/>
      <c r="B237" s="4"/>
      <c r="C237" s="2"/>
      <c r="D237" s="2"/>
      <c r="F237" s="16"/>
      <c r="G237" s="16"/>
      <c r="H237" s="16"/>
      <c r="J237" s="38"/>
      <c r="K237" s="38"/>
      <c r="L237" s="38"/>
    </row>
    <row r="238" spans="1:12" ht="13.8" thickBot="1" x14ac:dyDescent="0.3">
      <c r="A238" s="12"/>
      <c r="B238" s="4"/>
      <c r="C238" s="2"/>
      <c r="D238" s="2"/>
      <c r="F238" s="16"/>
      <c r="G238" s="16"/>
      <c r="H238" s="16"/>
      <c r="J238" s="38"/>
      <c r="K238" s="38"/>
      <c r="L238" s="38"/>
    </row>
    <row r="239" spans="1:12" ht="13.8" thickBot="1" x14ac:dyDescent="0.3">
      <c r="A239" s="12"/>
      <c r="B239" s="4"/>
      <c r="C239" s="2"/>
      <c r="D239" s="2"/>
      <c r="F239" s="16"/>
      <c r="G239" s="16"/>
      <c r="H239" s="16"/>
      <c r="J239" s="38"/>
      <c r="K239" s="38"/>
      <c r="L239" s="38"/>
    </row>
    <row r="240" spans="1:12" ht="13.8" thickBot="1" x14ac:dyDescent="0.3">
      <c r="A240" s="12"/>
      <c r="B240" s="4"/>
      <c r="C240" s="2"/>
      <c r="D240" s="2"/>
      <c r="F240" s="16"/>
      <c r="G240" s="16"/>
      <c r="H240" s="16"/>
      <c r="J240" s="38"/>
      <c r="K240" s="38"/>
      <c r="L240" s="38"/>
    </row>
    <row r="241" spans="1:12" ht="13.8" thickBot="1" x14ac:dyDescent="0.3">
      <c r="A241" s="12"/>
      <c r="B241" s="4"/>
      <c r="C241" s="2"/>
      <c r="D241" s="2"/>
      <c r="F241" s="16"/>
      <c r="G241" s="16"/>
      <c r="H241" s="16"/>
      <c r="J241" s="38"/>
      <c r="K241" s="38"/>
      <c r="L241" s="38"/>
    </row>
    <row r="242" spans="1:12" ht="13.8" thickBot="1" x14ac:dyDescent="0.3">
      <c r="A242" s="12"/>
      <c r="B242" s="4"/>
      <c r="C242" s="2"/>
      <c r="D242" s="2"/>
      <c r="F242" s="16"/>
      <c r="G242" s="16"/>
      <c r="H242" s="16"/>
      <c r="J242" s="38"/>
      <c r="K242" s="38"/>
      <c r="L242" s="38"/>
    </row>
    <row r="243" spans="1:12" ht="13.8" thickBot="1" x14ac:dyDescent="0.3">
      <c r="A243" s="12"/>
      <c r="B243" s="4"/>
      <c r="C243" s="2"/>
      <c r="D243" s="2"/>
      <c r="F243" s="16"/>
      <c r="G243" s="16"/>
      <c r="H243" s="16"/>
      <c r="J243" s="38"/>
      <c r="K243" s="38"/>
      <c r="L243" s="38"/>
    </row>
    <row r="244" spans="1:12" ht="13.8" thickBot="1" x14ac:dyDescent="0.3">
      <c r="A244" s="12"/>
      <c r="B244" s="4"/>
      <c r="C244" s="2"/>
      <c r="D244" s="2"/>
      <c r="F244" s="16"/>
      <c r="G244" s="16"/>
      <c r="H244" s="16"/>
      <c r="J244" s="38"/>
      <c r="K244" s="38"/>
      <c r="L244" s="38"/>
    </row>
    <row r="245" spans="1:12" ht="13.8" thickBot="1" x14ac:dyDescent="0.3">
      <c r="A245" s="12"/>
      <c r="B245" s="4"/>
      <c r="C245" s="2"/>
      <c r="D245" s="2"/>
      <c r="F245" s="16"/>
      <c r="G245" s="16"/>
      <c r="H245" s="16"/>
      <c r="J245" s="38"/>
      <c r="K245" s="38"/>
      <c r="L245" s="38"/>
    </row>
    <row r="246" spans="1:12" ht="13.8" thickBot="1" x14ac:dyDescent="0.3">
      <c r="A246" s="12"/>
      <c r="B246" s="4"/>
      <c r="C246" s="2"/>
      <c r="D246" s="2"/>
      <c r="F246" s="16"/>
      <c r="G246" s="16"/>
      <c r="H246" s="16"/>
      <c r="J246" s="38"/>
      <c r="K246" s="38"/>
      <c r="L246" s="38"/>
    </row>
    <row r="247" spans="1:12" ht="13.8" thickBot="1" x14ac:dyDescent="0.3">
      <c r="A247" s="12"/>
      <c r="B247" s="4"/>
      <c r="C247" s="2"/>
      <c r="D247" s="2"/>
      <c r="F247" s="16"/>
      <c r="G247" s="16"/>
      <c r="H247" s="16"/>
      <c r="J247" s="38"/>
      <c r="K247" s="38"/>
      <c r="L247" s="38"/>
    </row>
    <row r="248" spans="1:12" ht="13.8" thickBot="1" x14ac:dyDescent="0.3">
      <c r="A248" s="12"/>
      <c r="B248" s="4"/>
      <c r="C248" s="2"/>
      <c r="D248" s="2"/>
      <c r="F248" s="16"/>
      <c r="G248" s="16"/>
      <c r="H248" s="16"/>
      <c r="J248" s="38"/>
      <c r="K248" s="38"/>
      <c r="L248" s="38"/>
    </row>
    <row r="249" spans="1:12" ht="13.8" thickBot="1" x14ac:dyDescent="0.3">
      <c r="A249" s="12"/>
      <c r="B249" s="4"/>
      <c r="C249" s="2"/>
      <c r="D249" s="2"/>
      <c r="F249" s="16"/>
      <c r="G249" s="16"/>
      <c r="H249" s="16"/>
      <c r="J249" s="38"/>
      <c r="K249" s="38"/>
      <c r="L249" s="38"/>
    </row>
    <row r="250" spans="1:12" ht="13.8" thickBot="1" x14ac:dyDescent="0.3">
      <c r="A250" s="12"/>
      <c r="B250" s="4"/>
      <c r="C250" s="2"/>
      <c r="D250" s="2"/>
      <c r="F250" s="16"/>
      <c r="G250" s="16"/>
      <c r="H250" s="16"/>
      <c r="J250" s="38"/>
      <c r="K250" s="38"/>
      <c r="L250" s="38"/>
    </row>
    <row r="251" spans="1:12" ht="13.8" thickBot="1" x14ac:dyDescent="0.3">
      <c r="A251" s="12"/>
      <c r="B251" s="4"/>
      <c r="C251" s="2"/>
      <c r="D251" s="2"/>
      <c r="F251" s="16"/>
      <c r="G251" s="16"/>
      <c r="H251" s="16"/>
      <c r="J251" s="38"/>
      <c r="K251" s="38"/>
      <c r="L251" s="38"/>
    </row>
    <row r="252" spans="1:12" ht="13.8" thickBot="1" x14ac:dyDescent="0.3">
      <c r="A252" s="12"/>
      <c r="B252" s="4"/>
      <c r="C252" s="2"/>
      <c r="D252" s="2"/>
      <c r="F252" s="16"/>
      <c r="G252" s="16"/>
      <c r="H252" s="16"/>
      <c r="J252" s="38"/>
      <c r="K252" s="38"/>
      <c r="L252" s="38"/>
    </row>
    <row r="253" spans="1:12" ht="13.8" thickBot="1" x14ac:dyDescent="0.3">
      <c r="A253" s="12"/>
      <c r="B253" s="4"/>
      <c r="C253" s="2"/>
      <c r="D253" s="2"/>
      <c r="F253" s="16"/>
      <c r="G253" s="16"/>
      <c r="H253" s="16"/>
      <c r="J253" s="38"/>
      <c r="K253" s="38"/>
      <c r="L253" s="38"/>
    </row>
    <row r="254" spans="1:12" ht="13.8" thickBot="1" x14ac:dyDescent="0.3">
      <c r="A254" s="12"/>
      <c r="B254" s="4"/>
      <c r="C254" s="2"/>
      <c r="D254" s="2"/>
      <c r="F254" s="16"/>
      <c r="G254" s="16"/>
      <c r="H254" s="16"/>
      <c r="J254" s="38"/>
      <c r="K254" s="38"/>
      <c r="L254" s="38"/>
    </row>
    <row r="255" spans="1:12" ht="13.8" thickBot="1" x14ac:dyDescent="0.3">
      <c r="A255" s="12"/>
      <c r="B255" s="4"/>
      <c r="C255" s="2"/>
      <c r="D255" s="2"/>
      <c r="F255" s="16"/>
      <c r="G255" s="16"/>
      <c r="H255" s="16"/>
      <c r="J255" s="38"/>
      <c r="K255" s="38"/>
      <c r="L255" s="38"/>
    </row>
    <row r="256" spans="1:12" ht="13.8" thickBot="1" x14ac:dyDescent="0.3">
      <c r="A256" s="12"/>
      <c r="B256" s="4"/>
      <c r="C256" s="2"/>
      <c r="D256" s="2"/>
      <c r="F256" s="16"/>
      <c r="G256" s="16"/>
      <c r="H256" s="16"/>
      <c r="J256" s="38"/>
      <c r="K256" s="38"/>
      <c r="L256" s="38"/>
    </row>
    <row r="257" spans="1:14" ht="13.8" thickBot="1" x14ac:dyDescent="0.3">
      <c r="A257" s="12"/>
      <c r="B257" s="4"/>
      <c r="C257" s="2"/>
      <c r="D257" s="2"/>
      <c r="F257" s="16"/>
      <c r="G257" s="16"/>
      <c r="H257" s="16"/>
      <c r="J257" s="38"/>
      <c r="K257" s="38"/>
      <c r="L257" s="38"/>
    </row>
    <row r="258" spans="1:14" ht="13.8" thickBot="1" x14ac:dyDescent="0.3">
      <c r="A258" s="12"/>
      <c r="B258" s="4"/>
      <c r="C258" s="2"/>
      <c r="D258" s="2"/>
      <c r="F258" s="16"/>
      <c r="G258" s="16"/>
      <c r="H258" s="16"/>
      <c r="J258" s="38"/>
      <c r="K258" s="38"/>
      <c r="L258" s="38"/>
    </row>
    <row r="259" spans="1:14" s="36" customFormat="1" ht="13.8" thickBot="1" x14ac:dyDescent="0.3">
      <c r="A259" s="33"/>
      <c r="B259" s="34"/>
      <c r="C259" s="35"/>
      <c r="D259" s="35"/>
      <c r="F259" s="37"/>
      <c r="G259" s="37"/>
      <c r="H259" s="37"/>
      <c r="J259" s="38"/>
      <c r="K259" s="38"/>
      <c r="L259" s="38"/>
      <c r="M259" s="99"/>
      <c r="N259" s="99"/>
    </row>
    <row r="260" spans="1:14" s="36" customFormat="1" ht="13.8" thickBot="1" x14ac:dyDescent="0.3">
      <c r="A260" s="33"/>
      <c r="B260" s="34"/>
      <c r="C260" s="35"/>
      <c r="D260" s="35"/>
      <c r="F260" s="37"/>
      <c r="G260" s="37"/>
      <c r="H260" s="37"/>
      <c r="J260" s="38"/>
      <c r="K260" s="38"/>
      <c r="L260" s="38"/>
      <c r="M260" s="99"/>
      <c r="N260" s="99"/>
    </row>
    <row r="261" spans="1:14" ht="13.8" thickBot="1" x14ac:dyDescent="0.3">
      <c r="A261" s="12"/>
    </row>
    <row r="262" spans="1:14" ht="13.8" thickBot="1" x14ac:dyDescent="0.3">
      <c r="A262" s="12"/>
    </row>
    <row r="263" spans="1:14" ht="13.8" thickBot="1" x14ac:dyDescent="0.3">
      <c r="A263" s="12"/>
    </row>
    <row r="264" spans="1:14" ht="13.8" thickBot="1" x14ac:dyDescent="0.3">
      <c r="A264" s="12"/>
    </row>
    <row r="265" spans="1:14" ht="13.8" thickBot="1" x14ac:dyDescent="0.3">
      <c r="A265" s="12"/>
    </row>
    <row r="266" spans="1:14" ht="13.8" thickBot="1" x14ac:dyDescent="0.3">
      <c r="A266" s="12"/>
    </row>
    <row r="267" spans="1:14" ht="13.8" thickBot="1" x14ac:dyDescent="0.3">
      <c r="A267" s="12"/>
    </row>
    <row r="268" spans="1:14" ht="13.8" thickBot="1" x14ac:dyDescent="0.3">
      <c r="A268" s="12"/>
    </row>
    <row r="269" spans="1:14" ht="13.8" thickBot="1" x14ac:dyDescent="0.3">
      <c r="A269" s="12"/>
    </row>
    <row r="270" spans="1:14" ht="13.8" thickBot="1" x14ac:dyDescent="0.3">
      <c r="A270" s="12"/>
    </row>
    <row r="271" spans="1:14" ht="13.8" thickBot="1" x14ac:dyDescent="0.3">
      <c r="A271" s="12"/>
    </row>
    <row r="272" spans="1:14" ht="13.8" thickBot="1" x14ac:dyDescent="0.3">
      <c r="A272" s="12"/>
    </row>
    <row r="273" spans="1:1" ht="13.8" thickBot="1" x14ac:dyDescent="0.3">
      <c r="A273" s="12"/>
    </row>
    <row r="274" spans="1:1" ht="13.8" thickBot="1" x14ac:dyDescent="0.3">
      <c r="A274" s="12"/>
    </row>
    <row r="275" spans="1:1" ht="13.8" thickBot="1" x14ac:dyDescent="0.3">
      <c r="A275" s="12"/>
    </row>
    <row r="276" spans="1:1" ht="13.8" thickBot="1" x14ac:dyDescent="0.3">
      <c r="A276" s="12"/>
    </row>
    <row r="277" spans="1:1" ht="13.8" thickBot="1" x14ac:dyDescent="0.3">
      <c r="A277" s="12"/>
    </row>
    <row r="278" spans="1:1" ht="13.8" thickBot="1" x14ac:dyDescent="0.3">
      <c r="A278" s="12"/>
    </row>
    <row r="279" spans="1:1" ht="13.8" thickBot="1" x14ac:dyDescent="0.3">
      <c r="A279" s="12"/>
    </row>
    <row r="280" spans="1:1" ht="13.8" thickBot="1" x14ac:dyDescent="0.3">
      <c r="A280" s="12"/>
    </row>
    <row r="281" spans="1:1" ht="13.8" thickBot="1" x14ac:dyDescent="0.3">
      <c r="A281" s="12"/>
    </row>
    <row r="282" spans="1:1" ht="13.8" thickBot="1" x14ac:dyDescent="0.3">
      <c r="A282" s="12"/>
    </row>
    <row r="283" spans="1:1" ht="13.8" thickBot="1" x14ac:dyDescent="0.3">
      <c r="A283" s="12"/>
    </row>
    <row r="284" spans="1:1" ht="13.8" thickBot="1" x14ac:dyDescent="0.3">
      <c r="A284" s="12"/>
    </row>
    <row r="285" spans="1:1" ht="13.8" thickBot="1" x14ac:dyDescent="0.3">
      <c r="A285" s="12"/>
    </row>
    <row r="286" spans="1:1" ht="13.8" thickBot="1" x14ac:dyDescent="0.3">
      <c r="A286" s="12"/>
    </row>
    <row r="287" spans="1:1" ht="13.8" thickBot="1" x14ac:dyDescent="0.3">
      <c r="A287" s="12"/>
    </row>
    <row r="288" spans="1:1" ht="13.8" thickBot="1" x14ac:dyDescent="0.3">
      <c r="A288" s="12"/>
    </row>
    <row r="289" spans="1:1" ht="13.8" thickBot="1" x14ac:dyDescent="0.3">
      <c r="A289" s="12"/>
    </row>
    <row r="290" spans="1:1" ht="13.8" thickBot="1" x14ac:dyDescent="0.3">
      <c r="A290" s="12"/>
    </row>
    <row r="291" spans="1:1" ht="13.8" thickBot="1" x14ac:dyDescent="0.3">
      <c r="A291" s="12"/>
    </row>
    <row r="292" spans="1:1" ht="13.8" thickBot="1" x14ac:dyDescent="0.3">
      <c r="A292" s="12"/>
    </row>
    <row r="293" spans="1:1" ht="13.8" thickBot="1" x14ac:dyDescent="0.3">
      <c r="A293" s="12"/>
    </row>
    <row r="294" spans="1:1" ht="13.8" thickBot="1" x14ac:dyDescent="0.3">
      <c r="A294" s="12"/>
    </row>
    <row r="295" spans="1:1" ht="13.8" thickBot="1" x14ac:dyDescent="0.3">
      <c r="A295" s="12"/>
    </row>
    <row r="296" spans="1:1" ht="13.8" thickBot="1" x14ac:dyDescent="0.3">
      <c r="A296" s="12"/>
    </row>
    <row r="297" spans="1:1" ht="13.8" thickBot="1" x14ac:dyDescent="0.3">
      <c r="A297" s="12"/>
    </row>
    <row r="298" spans="1:1" ht="13.8" thickBot="1" x14ac:dyDescent="0.3">
      <c r="A298" s="12"/>
    </row>
    <row r="299" spans="1:1" ht="13.8" thickBot="1" x14ac:dyDescent="0.3">
      <c r="A299" s="12"/>
    </row>
    <row r="300" spans="1:1" ht="13.8" thickBot="1" x14ac:dyDescent="0.3">
      <c r="A300" s="12"/>
    </row>
    <row r="301" spans="1:1" ht="13.8" thickBot="1" x14ac:dyDescent="0.3">
      <c r="A301" s="12"/>
    </row>
    <row r="302" spans="1:1" ht="13.8" thickBot="1" x14ac:dyDescent="0.3">
      <c r="A302" s="12"/>
    </row>
    <row r="303" spans="1:1" ht="13.8" thickBot="1" x14ac:dyDescent="0.3">
      <c r="A303" s="12"/>
    </row>
    <row r="304" spans="1:1" ht="13.8" thickBot="1" x14ac:dyDescent="0.3">
      <c r="A304" s="12"/>
    </row>
    <row r="305" spans="1:1" ht="13.8" thickBot="1" x14ac:dyDescent="0.3">
      <c r="A305" s="12"/>
    </row>
    <row r="306" spans="1:1" ht="13.8" thickBot="1" x14ac:dyDescent="0.3">
      <c r="A306" s="12"/>
    </row>
    <row r="307" spans="1:1" ht="13.8" thickBot="1" x14ac:dyDescent="0.3">
      <c r="A307" s="12"/>
    </row>
    <row r="308" spans="1:1" ht="13.8" thickBot="1" x14ac:dyDescent="0.3">
      <c r="A308" s="12"/>
    </row>
    <row r="309" spans="1:1" ht="13.8" thickBot="1" x14ac:dyDescent="0.3">
      <c r="A309" s="12"/>
    </row>
    <row r="310" spans="1:1" ht="13.8" thickBot="1" x14ac:dyDescent="0.3">
      <c r="A310" s="12"/>
    </row>
    <row r="311" spans="1:1" ht="13.8" thickBot="1" x14ac:dyDescent="0.3">
      <c r="A311" s="12"/>
    </row>
    <row r="312" spans="1:1" ht="13.8" thickBot="1" x14ac:dyDescent="0.3">
      <c r="A312" s="12"/>
    </row>
    <row r="313" spans="1:1" ht="13.8" thickBot="1" x14ac:dyDescent="0.3">
      <c r="A313" s="12"/>
    </row>
    <row r="314" spans="1:1" ht="13.8" thickBot="1" x14ac:dyDescent="0.3">
      <c r="A314" s="12"/>
    </row>
    <row r="315" spans="1:1" ht="13.8" thickBot="1" x14ac:dyDescent="0.3">
      <c r="A315" s="12"/>
    </row>
    <row r="316" spans="1:1" ht="13.8" thickBot="1" x14ac:dyDescent="0.3">
      <c r="A316" s="12"/>
    </row>
    <row r="317" spans="1:1" ht="13.8" thickBot="1" x14ac:dyDescent="0.3">
      <c r="A317" s="12"/>
    </row>
    <row r="318" spans="1:1" ht="13.8" thickBot="1" x14ac:dyDescent="0.3">
      <c r="A318" s="12"/>
    </row>
    <row r="319" spans="1:1" ht="13.8" thickBot="1" x14ac:dyDescent="0.3">
      <c r="A319" s="12"/>
    </row>
    <row r="320" spans="1:1" ht="13.8" thickBot="1" x14ac:dyDescent="0.3">
      <c r="A320" s="12"/>
    </row>
    <row r="321" spans="1:1" ht="13.8" thickBot="1" x14ac:dyDescent="0.3">
      <c r="A321" s="12"/>
    </row>
    <row r="322" spans="1:1" ht="13.8" thickBot="1" x14ac:dyDescent="0.3">
      <c r="A322" s="12"/>
    </row>
    <row r="323" spans="1:1" ht="13.8" thickBot="1" x14ac:dyDescent="0.3">
      <c r="A323" s="12"/>
    </row>
    <row r="324" spans="1:1" ht="13.8" thickBot="1" x14ac:dyDescent="0.3">
      <c r="A324" s="12"/>
    </row>
    <row r="325" spans="1:1" ht="13.8" thickBot="1" x14ac:dyDescent="0.3">
      <c r="A325" s="12"/>
    </row>
    <row r="326" spans="1:1" ht="13.8" thickBot="1" x14ac:dyDescent="0.3">
      <c r="A326" s="12"/>
    </row>
    <row r="327" spans="1:1" ht="13.8" thickBot="1" x14ac:dyDescent="0.3">
      <c r="A327" s="12"/>
    </row>
    <row r="328" spans="1:1" ht="13.8" thickBot="1" x14ac:dyDescent="0.3">
      <c r="A328" s="12"/>
    </row>
    <row r="329" spans="1:1" ht="13.8" thickBot="1" x14ac:dyDescent="0.3">
      <c r="A329" s="12"/>
    </row>
    <row r="330" spans="1:1" ht="13.8" thickBot="1" x14ac:dyDescent="0.3">
      <c r="A330" s="12"/>
    </row>
    <row r="331" spans="1:1" ht="13.8" thickBot="1" x14ac:dyDescent="0.3">
      <c r="A331" s="12"/>
    </row>
    <row r="332" spans="1:1" ht="13.8" thickBot="1" x14ac:dyDescent="0.3">
      <c r="A332" s="12"/>
    </row>
    <row r="333" spans="1:1" ht="13.8" thickBot="1" x14ac:dyDescent="0.3">
      <c r="A333" s="12"/>
    </row>
    <row r="334" spans="1:1" ht="13.8" thickBot="1" x14ac:dyDescent="0.3">
      <c r="A334" s="12"/>
    </row>
    <row r="335" spans="1:1" ht="13.8" thickBot="1" x14ac:dyDescent="0.3">
      <c r="A335" s="12"/>
    </row>
    <row r="336" spans="1:1" ht="13.8" thickBot="1" x14ac:dyDescent="0.3">
      <c r="A336" s="12"/>
    </row>
    <row r="337" spans="1:1" ht="13.8" thickBot="1" x14ac:dyDescent="0.3">
      <c r="A337" s="12"/>
    </row>
    <row r="338" spans="1:1" ht="13.8" thickBot="1" x14ac:dyDescent="0.3">
      <c r="A338" s="12"/>
    </row>
    <row r="339" spans="1:1" ht="13.8" thickBot="1" x14ac:dyDescent="0.3">
      <c r="A339" s="12"/>
    </row>
    <row r="340" spans="1:1" ht="13.8" thickBot="1" x14ac:dyDescent="0.3">
      <c r="A340" s="12"/>
    </row>
    <row r="341" spans="1:1" ht="13.8" thickBot="1" x14ac:dyDescent="0.3">
      <c r="A341" s="12"/>
    </row>
    <row r="342" spans="1:1" ht="13.8" thickBot="1" x14ac:dyDescent="0.3">
      <c r="A342" s="12"/>
    </row>
    <row r="343" spans="1:1" ht="13.8" thickBot="1" x14ac:dyDescent="0.3">
      <c r="A343" s="12"/>
    </row>
    <row r="344" spans="1:1" ht="13.8" thickBot="1" x14ac:dyDescent="0.3">
      <c r="A344" s="12"/>
    </row>
    <row r="345" spans="1:1" ht="13.8" thickBot="1" x14ac:dyDescent="0.3">
      <c r="A345" s="12"/>
    </row>
    <row r="346" spans="1:1" ht="13.8" thickBot="1" x14ac:dyDescent="0.3">
      <c r="A346" s="12"/>
    </row>
    <row r="347" spans="1:1" ht="13.8" thickBot="1" x14ac:dyDescent="0.3">
      <c r="A347" s="12"/>
    </row>
    <row r="348" spans="1:1" ht="13.8" thickBot="1" x14ac:dyDescent="0.3">
      <c r="A348" s="12"/>
    </row>
    <row r="349" spans="1:1" ht="13.8" thickBot="1" x14ac:dyDescent="0.3">
      <c r="A349" s="12"/>
    </row>
    <row r="350" spans="1:1" ht="13.8" thickBot="1" x14ac:dyDescent="0.3">
      <c r="A350" s="12"/>
    </row>
    <row r="351" spans="1:1" ht="13.8" thickBot="1" x14ac:dyDescent="0.3">
      <c r="A351" s="12"/>
    </row>
    <row r="352" spans="1:1" ht="13.8" thickBot="1" x14ac:dyDescent="0.3">
      <c r="A352" s="12"/>
    </row>
    <row r="353" spans="1:1" ht="13.8" thickBot="1" x14ac:dyDescent="0.3">
      <c r="A353" s="12"/>
    </row>
    <row r="354" spans="1:1" ht="13.8" thickBot="1" x14ac:dyDescent="0.3">
      <c r="A354" s="12"/>
    </row>
    <row r="355" spans="1:1" ht="13.8" thickBot="1" x14ac:dyDescent="0.3">
      <c r="A355" s="12"/>
    </row>
    <row r="356" spans="1:1" ht="13.8" thickBot="1" x14ac:dyDescent="0.3">
      <c r="A356" s="12"/>
    </row>
    <row r="357" spans="1:1" ht="13.8" thickBot="1" x14ac:dyDescent="0.3">
      <c r="A357" s="12"/>
    </row>
    <row r="358" spans="1:1" ht="13.8" thickBot="1" x14ac:dyDescent="0.3">
      <c r="A358" s="12"/>
    </row>
    <row r="359" spans="1:1" ht="13.8" thickBot="1" x14ac:dyDescent="0.3">
      <c r="A359" s="12"/>
    </row>
    <row r="360" spans="1:1" ht="13.8" thickBot="1" x14ac:dyDescent="0.3">
      <c r="A360" s="12"/>
    </row>
    <row r="361" spans="1:1" ht="13.8" thickBot="1" x14ac:dyDescent="0.3">
      <c r="A361" s="12"/>
    </row>
    <row r="362" spans="1:1" ht="13.8" thickBot="1" x14ac:dyDescent="0.3">
      <c r="A362" s="12"/>
    </row>
    <row r="363" spans="1:1" ht="13.8" thickBot="1" x14ac:dyDescent="0.3">
      <c r="A363" s="12"/>
    </row>
    <row r="364" spans="1:1" ht="13.8" thickBot="1" x14ac:dyDescent="0.3">
      <c r="A364" s="12"/>
    </row>
    <row r="365" spans="1:1" ht="13.8" thickBot="1" x14ac:dyDescent="0.3">
      <c r="A365" s="12"/>
    </row>
    <row r="366" spans="1:1" ht="13.8" thickBot="1" x14ac:dyDescent="0.3">
      <c r="A366" s="12"/>
    </row>
    <row r="367" spans="1:1" ht="13.8" thickBot="1" x14ac:dyDescent="0.3">
      <c r="A367" s="12"/>
    </row>
    <row r="368" spans="1:1" ht="13.8" thickBot="1" x14ac:dyDescent="0.3">
      <c r="A368" s="12"/>
    </row>
    <row r="369" spans="1:1" ht="13.8" thickBot="1" x14ac:dyDescent="0.3">
      <c r="A369" s="12"/>
    </row>
    <row r="370" spans="1:1" ht="13.8" thickBot="1" x14ac:dyDescent="0.3">
      <c r="A370" s="12"/>
    </row>
    <row r="371" spans="1:1" ht="13.8" thickBot="1" x14ac:dyDescent="0.3">
      <c r="A371" s="12"/>
    </row>
    <row r="372" spans="1:1" ht="13.8" thickBot="1" x14ac:dyDescent="0.3">
      <c r="A372" s="12"/>
    </row>
    <row r="373" spans="1:1" ht="13.8" thickBot="1" x14ac:dyDescent="0.3">
      <c r="A373" s="12"/>
    </row>
    <row r="374" spans="1:1" ht="13.8" thickBot="1" x14ac:dyDescent="0.3">
      <c r="A374" s="12"/>
    </row>
    <row r="375" spans="1:1" ht="13.8" thickBot="1" x14ac:dyDescent="0.3">
      <c r="A375" s="12"/>
    </row>
    <row r="376" spans="1:1" ht="13.8" thickBot="1" x14ac:dyDescent="0.3">
      <c r="A376" s="12"/>
    </row>
    <row r="377" spans="1:1" ht="13.8" thickBot="1" x14ac:dyDescent="0.3">
      <c r="A377" s="12"/>
    </row>
    <row r="378" spans="1:1" ht="13.8" thickBot="1" x14ac:dyDescent="0.3">
      <c r="A378" s="12"/>
    </row>
    <row r="379" spans="1:1" ht="13.8" thickBot="1" x14ac:dyDescent="0.3">
      <c r="A379" s="12"/>
    </row>
    <row r="380" spans="1:1" ht="13.8" thickBot="1" x14ac:dyDescent="0.3">
      <c r="A380" s="12"/>
    </row>
    <row r="381" spans="1:1" ht="13.8" thickBot="1" x14ac:dyDescent="0.3">
      <c r="A381" s="12"/>
    </row>
    <row r="382" spans="1:1" ht="13.8" thickBot="1" x14ac:dyDescent="0.3">
      <c r="A382" s="12"/>
    </row>
    <row r="383" spans="1:1" ht="13.8" thickBot="1" x14ac:dyDescent="0.3">
      <c r="A383" s="12"/>
    </row>
    <row r="384" spans="1:1" ht="13.8" thickBot="1" x14ac:dyDescent="0.3">
      <c r="A384" s="12"/>
    </row>
    <row r="385" spans="1:1" ht="13.8" thickBot="1" x14ac:dyDescent="0.3">
      <c r="A385" s="12"/>
    </row>
    <row r="386" spans="1:1" ht="13.8" thickBot="1" x14ac:dyDescent="0.3">
      <c r="A386" s="12"/>
    </row>
    <row r="387" spans="1:1" ht="13.8" thickBot="1" x14ac:dyDescent="0.3">
      <c r="A387" s="12"/>
    </row>
    <row r="388" spans="1:1" ht="13.8" thickBot="1" x14ac:dyDescent="0.3">
      <c r="A388" s="12"/>
    </row>
    <row r="389" spans="1:1" ht="13.8" thickBot="1" x14ac:dyDescent="0.3">
      <c r="A389" s="12"/>
    </row>
    <row r="390" spans="1:1" ht="13.8" thickBot="1" x14ac:dyDescent="0.3">
      <c r="A390" s="12"/>
    </row>
    <row r="391" spans="1:1" ht="13.8" thickBot="1" x14ac:dyDescent="0.3">
      <c r="A391" s="12"/>
    </row>
    <row r="392" spans="1:1" ht="13.8" thickBot="1" x14ac:dyDescent="0.3">
      <c r="A392" s="12"/>
    </row>
    <row r="393" spans="1:1" ht="13.8" thickBot="1" x14ac:dyDescent="0.3">
      <c r="A393" s="12"/>
    </row>
    <row r="394" spans="1:1" ht="13.8" thickBot="1" x14ac:dyDescent="0.3">
      <c r="A394" s="12"/>
    </row>
    <row r="395" spans="1:1" ht="13.8" thickBot="1" x14ac:dyDescent="0.3">
      <c r="A395" s="12"/>
    </row>
    <row r="396" spans="1:1" ht="13.8" thickBot="1" x14ac:dyDescent="0.3">
      <c r="A396" s="12"/>
    </row>
    <row r="397" spans="1:1" ht="13.8" thickBot="1" x14ac:dyDescent="0.3">
      <c r="A397" s="12"/>
    </row>
    <row r="398" spans="1:1" ht="13.8" thickBot="1" x14ac:dyDescent="0.3">
      <c r="A398" s="12"/>
    </row>
    <row r="399" spans="1:1" ht="13.8" thickBot="1" x14ac:dyDescent="0.3">
      <c r="A399" s="12"/>
    </row>
    <row r="400" spans="1:1" ht="13.8" thickBot="1" x14ac:dyDescent="0.3">
      <c r="A400" s="12"/>
    </row>
    <row r="401" spans="1:1" ht="13.8" thickBot="1" x14ac:dyDescent="0.3">
      <c r="A401" s="12"/>
    </row>
    <row r="402" spans="1:1" ht="13.8" thickBot="1" x14ac:dyDescent="0.3">
      <c r="A402" s="12"/>
    </row>
    <row r="403" spans="1:1" ht="13.8" thickBot="1" x14ac:dyDescent="0.3">
      <c r="A403" s="12"/>
    </row>
    <row r="404" spans="1:1" ht="13.8" thickBot="1" x14ac:dyDescent="0.3">
      <c r="A404" s="12"/>
    </row>
    <row r="405" spans="1:1" ht="13.8" thickBot="1" x14ac:dyDescent="0.3">
      <c r="A405" s="12"/>
    </row>
    <row r="406" spans="1:1" ht="13.8" thickBot="1" x14ac:dyDescent="0.3">
      <c r="A406" s="12"/>
    </row>
    <row r="407" spans="1:1" ht="13.8" thickBot="1" x14ac:dyDescent="0.3">
      <c r="A407" s="12"/>
    </row>
    <row r="408" spans="1:1" ht="13.8" thickBot="1" x14ac:dyDescent="0.3">
      <c r="A408" s="12"/>
    </row>
    <row r="409" spans="1:1" ht="13.8" thickBot="1" x14ac:dyDescent="0.3">
      <c r="A409" s="12"/>
    </row>
    <row r="410" spans="1:1" ht="13.8" thickBot="1" x14ac:dyDescent="0.3">
      <c r="A410" s="12"/>
    </row>
    <row r="411" spans="1:1" ht="13.8" thickBot="1" x14ac:dyDescent="0.3">
      <c r="A411" s="12"/>
    </row>
    <row r="412" spans="1:1" ht="13.8" thickBot="1" x14ac:dyDescent="0.3">
      <c r="A412" s="12"/>
    </row>
    <row r="413" spans="1:1" ht="13.8" thickBot="1" x14ac:dyDescent="0.3">
      <c r="A413" s="12"/>
    </row>
    <row r="414" spans="1:1" ht="13.8" thickBot="1" x14ac:dyDescent="0.3">
      <c r="A414" s="12"/>
    </row>
    <row r="415" spans="1:1" ht="13.8" thickBot="1" x14ac:dyDescent="0.3">
      <c r="A415" s="12"/>
    </row>
    <row r="416" spans="1:1" ht="13.8" thickBot="1" x14ac:dyDescent="0.3">
      <c r="A416" s="12"/>
    </row>
    <row r="417" spans="1:1" ht="13.8" thickBot="1" x14ac:dyDescent="0.3">
      <c r="A417" s="12"/>
    </row>
    <row r="418" spans="1:1" ht="13.8" thickBot="1" x14ac:dyDescent="0.3">
      <c r="A418" s="12"/>
    </row>
    <row r="419" spans="1:1" ht="13.8" thickBot="1" x14ac:dyDescent="0.3">
      <c r="A419" s="12"/>
    </row>
    <row r="420" spans="1:1" ht="13.8" thickBot="1" x14ac:dyDescent="0.3">
      <c r="A420" s="12"/>
    </row>
    <row r="421" spans="1:1" ht="13.8" thickBot="1" x14ac:dyDescent="0.3">
      <c r="A421" s="12"/>
    </row>
    <row r="422" spans="1:1" ht="13.8" thickBot="1" x14ac:dyDescent="0.3">
      <c r="A422" s="12"/>
    </row>
    <row r="423" spans="1:1" ht="13.8" thickBot="1" x14ac:dyDescent="0.3">
      <c r="A423" s="12"/>
    </row>
    <row r="424" spans="1:1" ht="13.8" thickBot="1" x14ac:dyDescent="0.3">
      <c r="A424" s="12"/>
    </row>
    <row r="425" spans="1:1" ht="13.8" thickBot="1" x14ac:dyDescent="0.3">
      <c r="A425" s="12"/>
    </row>
    <row r="426" spans="1:1" ht="13.8" thickBot="1" x14ac:dyDescent="0.3">
      <c r="A426" s="12"/>
    </row>
    <row r="427" spans="1:1" ht="13.8" thickBot="1" x14ac:dyDescent="0.3">
      <c r="A427" s="12"/>
    </row>
    <row r="428" spans="1:1" ht="13.8" thickBot="1" x14ac:dyDescent="0.3">
      <c r="A428" s="12"/>
    </row>
    <row r="429" spans="1:1" ht="13.8" thickBot="1" x14ac:dyDescent="0.3">
      <c r="A429" s="12"/>
    </row>
    <row r="430" spans="1:1" ht="13.8" thickBot="1" x14ac:dyDescent="0.3">
      <c r="A430" s="12"/>
    </row>
    <row r="431" spans="1:1" ht="13.8" thickBot="1" x14ac:dyDescent="0.3">
      <c r="A431" s="12"/>
    </row>
    <row r="432" spans="1:1" ht="13.8" thickBot="1" x14ac:dyDescent="0.3">
      <c r="A432" s="12"/>
    </row>
    <row r="433" spans="1:1" ht="13.8" thickBot="1" x14ac:dyDescent="0.3">
      <c r="A433" s="12"/>
    </row>
    <row r="434" spans="1:1" ht="13.8" thickBot="1" x14ac:dyDescent="0.3">
      <c r="A434" s="12"/>
    </row>
    <row r="435" spans="1:1" ht="13.8" thickBot="1" x14ac:dyDescent="0.3">
      <c r="A435" s="12"/>
    </row>
    <row r="436" spans="1:1" ht="13.8" thickBot="1" x14ac:dyDescent="0.3">
      <c r="A436" s="12"/>
    </row>
    <row r="437" spans="1:1" ht="13.8" thickBot="1" x14ac:dyDescent="0.3">
      <c r="A437" s="12"/>
    </row>
    <row r="438" spans="1:1" ht="13.8" thickBot="1" x14ac:dyDescent="0.3">
      <c r="A438" s="12"/>
    </row>
    <row r="439" spans="1:1" ht="13.8" thickBot="1" x14ac:dyDescent="0.3">
      <c r="A439" s="12"/>
    </row>
    <row r="440" spans="1:1" ht="13.8" thickBot="1" x14ac:dyDescent="0.3">
      <c r="A440" s="12"/>
    </row>
    <row r="441" spans="1:1" ht="13.8" thickBot="1" x14ac:dyDescent="0.3">
      <c r="A441" s="12"/>
    </row>
    <row r="442" spans="1:1" ht="13.8" thickBot="1" x14ac:dyDescent="0.3">
      <c r="A442" s="12"/>
    </row>
    <row r="443" spans="1:1" ht="13.8" thickBot="1" x14ac:dyDescent="0.3">
      <c r="A443" s="12"/>
    </row>
    <row r="444" spans="1:1" ht="13.8" thickBot="1" x14ac:dyDescent="0.3">
      <c r="A444" s="12"/>
    </row>
    <row r="445" spans="1:1" ht="13.8" thickBot="1" x14ac:dyDescent="0.3">
      <c r="A445" s="12"/>
    </row>
    <row r="446" spans="1:1" ht="13.8" thickBot="1" x14ac:dyDescent="0.3">
      <c r="A446" s="12"/>
    </row>
    <row r="447" spans="1:1" ht="13.8" thickBot="1" x14ac:dyDescent="0.3">
      <c r="A447" s="12"/>
    </row>
    <row r="448" spans="1:1" ht="13.8" thickBot="1" x14ac:dyDescent="0.3">
      <c r="A448" s="12"/>
    </row>
    <row r="449" spans="1:1" ht="13.8" thickBot="1" x14ac:dyDescent="0.3">
      <c r="A449" s="12"/>
    </row>
    <row r="450" spans="1:1" ht="13.8" thickBot="1" x14ac:dyDescent="0.3">
      <c r="A450" s="12"/>
    </row>
    <row r="451" spans="1:1" ht="13.8" thickBot="1" x14ac:dyDescent="0.3">
      <c r="A451" s="12"/>
    </row>
    <row r="452" spans="1:1" ht="13.8" thickBot="1" x14ac:dyDescent="0.3">
      <c r="A452" s="12"/>
    </row>
    <row r="453" spans="1:1" ht="13.8" thickBot="1" x14ac:dyDescent="0.3">
      <c r="A453" s="12"/>
    </row>
    <row r="454" spans="1:1" ht="13.8" thickBot="1" x14ac:dyDescent="0.3">
      <c r="A454" s="12"/>
    </row>
    <row r="455" spans="1:1" ht="13.8" thickBot="1" x14ac:dyDescent="0.3">
      <c r="A455" s="12"/>
    </row>
    <row r="456" spans="1:1" ht="13.8" thickBot="1" x14ac:dyDescent="0.3">
      <c r="A456" s="12"/>
    </row>
    <row r="457" spans="1:1" ht="13.8" thickBot="1" x14ac:dyDescent="0.3">
      <c r="A457" s="12"/>
    </row>
    <row r="458" spans="1:1" ht="13.8" thickBot="1" x14ac:dyDescent="0.3">
      <c r="A458" s="12"/>
    </row>
    <row r="459" spans="1:1" ht="13.8" thickBot="1" x14ac:dyDescent="0.3">
      <c r="A459" s="12"/>
    </row>
    <row r="460" spans="1:1" ht="13.8" thickBot="1" x14ac:dyDescent="0.3">
      <c r="A460" s="12"/>
    </row>
    <row r="461" spans="1:1" ht="13.8" thickBot="1" x14ac:dyDescent="0.3">
      <c r="A461" s="12"/>
    </row>
    <row r="462" spans="1:1" ht="13.8" thickBot="1" x14ac:dyDescent="0.3">
      <c r="A462" s="12"/>
    </row>
    <row r="463" spans="1:1" ht="13.8" thickBot="1" x14ac:dyDescent="0.3">
      <c r="A463" s="12"/>
    </row>
    <row r="464" spans="1:1" ht="13.8" thickBot="1" x14ac:dyDescent="0.3">
      <c r="A464" s="12"/>
    </row>
    <row r="465" spans="1:1" ht="13.8" thickBot="1" x14ac:dyDescent="0.3">
      <c r="A465" s="12"/>
    </row>
    <row r="466" spans="1:1" ht="13.8" thickBot="1" x14ac:dyDescent="0.3">
      <c r="A466" s="12"/>
    </row>
    <row r="467" spans="1:1" ht="13.8" thickBot="1" x14ac:dyDescent="0.3">
      <c r="A467" s="12"/>
    </row>
    <row r="468" spans="1:1" ht="13.8" thickBot="1" x14ac:dyDescent="0.3">
      <c r="A468" s="12"/>
    </row>
    <row r="469" spans="1:1" ht="13.8" thickBot="1" x14ac:dyDescent="0.3">
      <c r="A469" s="12"/>
    </row>
    <row r="470" spans="1:1" ht="13.8" thickBot="1" x14ac:dyDescent="0.3">
      <c r="A470" s="12"/>
    </row>
    <row r="471" spans="1:1" ht="13.8" thickBot="1" x14ac:dyDescent="0.3">
      <c r="A471" s="12"/>
    </row>
    <row r="472" spans="1:1" ht="13.8" thickBot="1" x14ac:dyDescent="0.3">
      <c r="A472" s="12"/>
    </row>
    <row r="473" spans="1:1" ht="13.8" thickBot="1" x14ac:dyDescent="0.3">
      <c r="A473" s="12"/>
    </row>
    <row r="474" spans="1:1" ht="13.8" thickBot="1" x14ac:dyDescent="0.3">
      <c r="A474" s="12"/>
    </row>
    <row r="475" spans="1:1" ht="13.8" thickBot="1" x14ac:dyDescent="0.3">
      <c r="A475" s="12"/>
    </row>
    <row r="476" spans="1:1" ht="13.8" thickBot="1" x14ac:dyDescent="0.3">
      <c r="A476" s="12"/>
    </row>
    <row r="477" spans="1:1" ht="13.8" thickBot="1" x14ac:dyDescent="0.3">
      <c r="A477" s="12"/>
    </row>
    <row r="478" spans="1:1" ht="13.8" thickBot="1" x14ac:dyDescent="0.3">
      <c r="A478" s="12"/>
    </row>
    <row r="479" spans="1:1" ht="13.8" thickBot="1" x14ac:dyDescent="0.3">
      <c r="A479" s="12"/>
    </row>
    <row r="480" spans="1:1" ht="13.8" thickBot="1" x14ac:dyDescent="0.3">
      <c r="A480" s="12"/>
    </row>
    <row r="481" spans="1:1" ht="13.8" thickBot="1" x14ac:dyDescent="0.3">
      <c r="A481" s="12"/>
    </row>
    <row r="482" spans="1:1" ht="13.8" thickBot="1" x14ac:dyDescent="0.3">
      <c r="A482" s="12"/>
    </row>
    <row r="483" spans="1:1" ht="13.8" thickBot="1" x14ac:dyDescent="0.3">
      <c r="A483" s="12"/>
    </row>
    <row r="484" spans="1:1" ht="13.8" thickBot="1" x14ac:dyDescent="0.3">
      <c r="A484" s="12"/>
    </row>
    <row r="485" spans="1:1" ht="13.8" thickBot="1" x14ac:dyDescent="0.3">
      <c r="A485" s="12"/>
    </row>
    <row r="486" spans="1:1" ht="13.8" thickBot="1" x14ac:dyDescent="0.3">
      <c r="A486" s="12"/>
    </row>
    <row r="487" spans="1:1" ht="13.8" thickBot="1" x14ac:dyDescent="0.3">
      <c r="A487" s="12"/>
    </row>
    <row r="488" spans="1:1" ht="13.8" thickBot="1" x14ac:dyDescent="0.3">
      <c r="A488" s="12"/>
    </row>
    <row r="489" spans="1:1" ht="13.8" thickBot="1" x14ac:dyDescent="0.3">
      <c r="A489" s="12"/>
    </row>
    <row r="490" spans="1:1" ht="13.8" thickBot="1" x14ac:dyDescent="0.3">
      <c r="A490" s="12"/>
    </row>
    <row r="491" spans="1:1" ht="13.8" thickBot="1" x14ac:dyDescent="0.3">
      <c r="A491" s="12"/>
    </row>
    <row r="492" spans="1:1" ht="13.8" thickBot="1" x14ac:dyDescent="0.3">
      <c r="A492" s="12"/>
    </row>
    <row r="493" spans="1:1" ht="13.8" thickBot="1" x14ac:dyDescent="0.3">
      <c r="A493" s="12"/>
    </row>
    <row r="494" spans="1:1" ht="13.8" thickBot="1" x14ac:dyDescent="0.3">
      <c r="A494" s="12"/>
    </row>
    <row r="495" spans="1:1" ht="13.8" thickBot="1" x14ac:dyDescent="0.3">
      <c r="A495" s="12"/>
    </row>
    <row r="496" spans="1:1" ht="13.8" thickBot="1" x14ac:dyDescent="0.3">
      <c r="A496" s="12"/>
    </row>
    <row r="497" spans="1:1" ht="13.8" thickBot="1" x14ac:dyDescent="0.3">
      <c r="A497" s="12"/>
    </row>
    <row r="498" spans="1:1" ht="13.8" thickBot="1" x14ac:dyDescent="0.3">
      <c r="A498" s="12"/>
    </row>
    <row r="499" spans="1:1" ht="13.8" thickBot="1" x14ac:dyDescent="0.3">
      <c r="A499" s="12"/>
    </row>
    <row r="500" spans="1:1" ht="13.8" thickBot="1" x14ac:dyDescent="0.3">
      <c r="A500" s="12"/>
    </row>
    <row r="501" spans="1:1" ht="13.8" thickBot="1" x14ac:dyDescent="0.3">
      <c r="A501" s="12"/>
    </row>
    <row r="502" spans="1:1" ht="13.8" thickBot="1" x14ac:dyDescent="0.3">
      <c r="A502" s="12"/>
    </row>
    <row r="503" spans="1:1" ht="13.8" thickBot="1" x14ac:dyDescent="0.3">
      <c r="A503" s="12"/>
    </row>
    <row r="504" spans="1:1" ht="13.8" thickBot="1" x14ac:dyDescent="0.3">
      <c r="A504" s="12"/>
    </row>
    <row r="505" spans="1:1" ht="13.8" thickBot="1" x14ac:dyDescent="0.3">
      <c r="A505" s="12"/>
    </row>
    <row r="506" spans="1:1" ht="13.8" thickBot="1" x14ac:dyDescent="0.3">
      <c r="A506" s="12"/>
    </row>
    <row r="507" spans="1:1" ht="13.8" thickBot="1" x14ac:dyDescent="0.3">
      <c r="A507" s="12"/>
    </row>
    <row r="508" spans="1:1" ht="13.8" thickBot="1" x14ac:dyDescent="0.3">
      <c r="A508" s="12"/>
    </row>
    <row r="509" spans="1:1" ht="13.8" thickBot="1" x14ac:dyDescent="0.3">
      <c r="A509" s="12"/>
    </row>
    <row r="510" spans="1:1" ht="13.8" thickBot="1" x14ac:dyDescent="0.3">
      <c r="A510" s="12"/>
    </row>
    <row r="511" spans="1:1" ht="13.8" thickBot="1" x14ac:dyDescent="0.3">
      <c r="A511" s="12"/>
    </row>
    <row r="512" spans="1:1" ht="13.8" thickBot="1" x14ac:dyDescent="0.3">
      <c r="A512" s="12"/>
    </row>
    <row r="513" spans="1:1" ht="13.8" thickBot="1" x14ac:dyDescent="0.3">
      <c r="A513" s="12"/>
    </row>
    <row r="514" spans="1:1" ht="13.8" thickBot="1" x14ac:dyDescent="0.3">
      <c r="A514" s="12"/>
    </row>
    <row r="515" spans="1:1" ht="13.8" thickBot="1" x14ac:dyDescent="0.3">
      <c r="A515" s="12"/>
    </row>
    <row r="516" spans="1:1" ht="13.8" thickBot="1" x14ac:dyDescent="0.3">
      <c r="A516" s="12"/>
    </row>
    <row r="517" spans="1:1" ht="13.8" thickBot="1" x14ac:dyDescent="0.3">
      <c r="A517" s="12"/>
    </row>
    <row r="518" spans="1:1" ht="13.8" thickBot="1" x14ac:dyDescent="0.3">
      <c r="A518" s="12"/>
    </row>
    <row r="519" spans="1:1" ht="13.8" thickBot="1" x14ac:dyDescent="0.3">
      <c r="A519" s="12"/>
    </row>
    <row r="520" spans="1:1" ht="13.8" thickBot="1" x14ac:dyDescent="0.3">
      <c r="A520" s="12"/>
    </row>
    <row r="521" spans="1:1" ht="13.8" thickBot="1" x14ac:dyDescent="0.3">
      <c r="A521" s="12"/>
    </row>
    <row r="522" spans="1:1" ht="13.8" thickBot="1" x14ac:dyDescent="0.3">
      <c r="A522" s="12"/>
    </row>
    <row r="523" spans="1:1" ht="13.8" thickBot="1" x14ac:dyDescent="0.3">
      <c r="A523" s="12"/>
    </row>
    <row r="524" spans="1:1" ht="13.8" thickBot="1" x14ac:dyDescent="0.3">
      <c r="A524" s="12"/>
    </row>
    <row r="525" spans="1:1" ht="13.8" thickBot="1" x14ac:dyDescent="0.3">
      <c r="A525" s="12"/>
    </row>
    <row r="526" spans="1:1" ht="13.8" thickBot="1" x14ac:dyDescent="0.3">
      <c r="A526" s="12"/>
    </row>
    <row r="527" spans="1:1" ht="13.8" thickBot="1" x14ac:dyDescent="0.3">
      <c r="A527" s="12"/>
    </row>
    <row r="528" spans="1:1" ht="13.8" thickBot="1" x14ac:dyDescent="0.3">
      <c r="A528" s="12"/>
    </row>
    <row r="529" spans="1:1" ht="13.8" thickBot="1" x14ac:dyDescent="0.3">
      <c r="A529" s="12"/>
    </row>
    <row r="530" spans="1:1" ht="13.8" thickBot="1" x14ac:dyDescent="0.3">
      <c r="A530" s="12"/>
    </row>
    <row r="531" spans="1:1" ht="13.8" thickBot="1" x14ac:dyDescent="0.3">
      <c r="A531" s="12"/>
    </row>
    <row r="532" spans="1:1" ht="13.8" thickBot="1" x14ac:dyDescent="0.3">
      <c r="A532" s="12"/>
    </row>
    <row r="533" spans="1:1" ht="13.8" thickBot="1" x14ac:dyDescent="0.3">
      <c r="A533" s="12"/>
    </row>
    <row r="534" spans="1:1" ht="13.8" thickBot="1" x14ac:dyDescent="0.3">
      <c r="A534" s="12"/>
    </row>
    <row r="535" spans="1:1" ht="13.8" thickBot="1" x14ac:dyDescent="0.3">
      <c r="A535" s="12"/>
    </row>
    <row r="536" spans="1:1" ht="13.8" thickBot="1" x14ac:dyDescent="0.3">
      <c r="A536" s="12"/>
    </row>
    <row r="537" spans="1:1" ht="13.8" thickBot="1" x14ac:dyDescent="0.3">
      <c r="A537" s="12"/>
    </row>
    <row r="538" spans="1:1" ht="13.8" thickBot="1" x14ac:dyDescent="0.3">
      <c r="A538" s="12"/>
    </row>
    <row r="539" spans="1:1" ht="13.8" thickBot="1" x14ac:dyDescent="0.3">
      <c r="A539" s="12"/>
    </row>
    <row r="540" spans="1:1" ht="13.8" thickBot="1" x14ac:dyDescent="0.3">
      <c r="A540" s="12"/>
    </row>
    <row r="541" spans="1:1" ht="13.8" thickBot="1" x14ac:dyDescent="0.3">
      <c r="A541" s="12"/>
    </row>
    <row r="542" spans="1:1" ht="13.8" thickBot="1" x14ac:dyDescent="0.3">
      <c r="A542" s="12"/>
    </row>
    <row r="543" spans="1:1" ht="13.8" thickBot="1" x14ac:dyDescent="0.3">
      <c r="A543" s="12"/>
    </row>
    <row r="544" spans="1:1" ht="13.8" thickBot="1" x14ac:dyDescent="0.3">
      <c r="A544" s="12"/>
    </row>
    <row r="545" spans="1:1" ht="13.8" thickBot="1" x14ac:dyDescent="0.3">
      <c r="A545" s="12"/>
    </row>
    <row r="546" spans="1:1" ht="13.8" thickBot="1" x14ac:dyDescent="0.3">
      <c r="A546" s="12"/>
    </row>
    <row r="547" spans="1:1" ht="13.8" thickBot="1" x14ac:dyDescent="0.3">
      <c r="A547" s="12"/>
    </row>
    <row r="548" spans="1:1" ht="13.8" thickBot="1" x14ac:dyDescent="0.3">
      <c r="A548" s="12"/>
    </row>
    <row r="549" spans="1:1" ht="13.8" thickBot="1" x14ac:dyDescent="0.3">
      <c r="A549" s="12"/>
    </row>
    <row r="550" spans="1:1" ht="13.8" thickBot="1" x14ac:dyDescent="0.3">
      <c r="A550" s="12"/>
    </row>
    <row r="551" spans="1:1" ht="13.8" thickBot="1" x14ac:dyDescent="0.3">
      <c r="A551" s="12"/>
    </row>
    <row r="552" spans="1:1" ht="13.8" thickBot="1" x14ac:dyDescent="0.3">
      <c r="A552" s="12"/>
    </row>
    <row r="553" spans="1:1" ht="13.8" thickBot="1" x14ac:dyDescent="0.3">
      <c r="A553" s="12"/>
    </row>
    <row r="554" spans="1:1" ht="13.8" thickBot="1" x14ac:dyDescent="0.3">
      <c r="A554" s="12"/>
    </row>
    <row r="555" spans="1:1" ht="13.8" thickBot="1" x14ac:dyDescent="0.3">
      <c r="A555" s="12"/>
    </row>
    <row r="556" spans="1:1" ht="13.8" thickBot="1" x14ac:dyDescent="0.3">
      <c r="A556" s="12"/>
    </row>
    <row r="557" spans="1:1" ht="13.8" thickBot="1" x14ac:dyDescent="0.3">
      <c r="A557" s="12"/>
    </row>
    <row r="558" spans="1:1" ht="13.8" thickBot="1" x14ac:dyDescent="0.3">
      <c r="A558" s="12"/>
    </row>
    <row r="559" spans="1:1" ht="13.8" thickBot="1" x14ac:dyDescent="0.3">
      <c r="A559" s="12"/>
    </row>
    <row r="560" spans="1:1" ht="13.8" thickBot="1" x14ac:dyDescent="0.3">
      <c r="A560" s="12"/>
    </row>
    <row r="561" spans="1:1" ht="13.8" thickBot="1" x14ac:dyDescent="0.3">
      <c r="A561" s="12"/>
    </row>
    <row r="562" spans="1:1" ht="13.8" thickBot="1" x14ac:dyDescent="0.3">
      <c r="A562" s="12"/>
    </row>
    <row r="563" spans="1:1" ht="13.8" thickBot="1" x14ac:dyDescent="0.3">
      <c r="A563" s="12"/>
    </row>
    <row r="564" spans="1:1" ht="13.8" thickBot="1" x14ac:dyDescent="0.3">
      <c r="A564" s="12"/>
    </row>
    <row r="565" spans="1:1" ht="13.8" thickBot="1" x14ac:dyDescent="0.3">
      <c r="A565" s="12"/>
    </row>
    <row r="566" spans="1:1" ht="13.8" thickBot="1" x14ac:dyDescent="0.3">
      <c r="A566" s="12"/>
    </row>
    <row r="567" spans="1:1" ht="13.8" thickBot="1" x14ac:dyDescent="0.3">
      <c r="A567" s="12"/>
    </row>
    <row r="568" spans="1:1" ht="13.8" thickBot="1" x14ac:dyDescent="0.3">
      <c r="A568" s="12"/>
    </row>
    <row r="569" spans="1:1" ht="13.8" thickBot="1" x14ac:dyDescent="0.3">
      <c r="A569" s="12"/>
    </row>
    <row r="570" spans="1:1" ht="13.8" thickBot="1" x14ac:dyDescent="0.3">
      <c r="A570" s="12"/>
    </row>
    <row r="571" spans="1:1" ht="13.8" thickBot="1" x14ac:dyDescent="0.3">
      <c r="A571" s="12"/>
    </row>
    <row r="572" spans="1:1" ht="13.8" thickBot="1" x14ac:dyDescent="0.3">
      <c r="A572" s="12"/>
    </row>
    <row r="573" spans="1:1" ht="13.8" thickBot="1" x14ac:dyDescent="0.3">
      <c r="A573" s="12"/>
    </row>
    <row r="574" spans="1:1" ht="13.8" thickBot="1" x14ac:dyDescent="0.3">
      <c r="A574" s="12"/>
    </row>
    <row r="575" spans="1:1" ht="13.8" thickBot="1" x14ac:dyDescent="0.3">
      <c r="A575" s="12"/>
    </row>
    <row r="576" spans="1:1" ht="13.8" thickBot="1" x14ac:dyDescent="0.3">
      <c r="A576" s="12"/>
    </row>
    <row r="577" spans="1:1" ht="13.8" thickBot="1" x14ac:dyDescent="0.3">
      <c r="A577" s="12"/>
    </row>
    <row r="578" spans="1:1" ht="13.8" thickBot="1" x14ac:dyDescent="0.3">
      <c r="A578" s="12"/>
    </row>
    <row r="579" spans="1:1" ht="13.8" thickBot="1" x14ac:dyDescent="0.3">
      <c r="A579" s="12"/>
    </row>
    <row r="580" spans="1:1" ht="13.8" thickBot="1" x14ac:dyDescent="0.3">
      <c r="A580" s="12"/>
    </row>
    <row r="581" spans="1:1" ht="13.8" thickBot="1" x14ac:dyDescent="0.3">
      <c r="A581" s="12"/>
    </row>
    <row r="582" spans="1:1" ht="13.8" thickBot="1" x14ac:dyDescent="0.3">
      <c r="A582" s="12"/>
    </row>
    <row r="583" spans="1:1" ht="13.8" thickBot="1" x14ac:dyDescent="0.3">
      <c r="A583" s="12"/>
    </row>
    <row r="584" spans="1:1" ht="13.8" thickBot="1" x14ac:dyDescent="0.3">
      <c r="A584" s="12"/>
    </row>
    <row r="585" spans="1:1" ht="13.8" thickBot="1" x14ac:dyDescent="0.3">
      <c r="A585" s="12"/>
    </row>
    <row r="586" spans="1:1" ht="13.8" thickBot="1" x14ac:dyDescent="0.3">
      <c r="A586" s="12"/>
    </row>
    <row r="587" spans="1:1" ht="13.8" thickBot="1" x14ac:dyDescent="0.3">
      <c r="A587" s="12"/>
    </row>
    <row r="588" spans="1:1" ht="13.8" thickBot="1" x14ac:dyDescent="0.3">
      <c r="A588" s="12"/>
    </row>
    <row r="589" spans="1:1" ht="13.8" thickBot="1" x14ac:dyDescent="0.3">
      <c r="A589" s="12"/>
    </row>
    <row r="590" spans="1:1" ht="13.8" thickBot="1" x14ac:dyDescent="0.3">
      <c r="A590" s="12"/>
    </row>
    <row r="591" spans="1:1" ht="13.8" thickBot="1" x14ac:dyDescent="0.3">
      <c r="A591" s="12"/>
    </row>
    <row r="592" spans="1:1" ht="13.8" thickBot="1" x14ac:dyDescent="0.3">
      <c r="A592" s="12"/>
    </row>
    <row r="593" spans="1:1" ht="13.8" thickBot="1" x14ac:dyDescent="0.3">
      <c r="A593" s="12"/>
    </row>
    <row r="594" spans="1:1" ht="13.8" thickBot="1" x14ac:dyDescent="0.3">
      <c r="A594" s="12"/>
    </row>
    <row r="595" spans="1:1" ht="13.8" thickBot="1" x14ac:dyDescent="0.3">
      <c r="A595" s="12"/>
    </row>
    <row r="596" spans="1:1" ht="13.8" thickBot="1" x14ac:dyDescent="0.3">
      <c r="A596" s="12"/>
    </row>
    <row r="597" spans="1:1" ht="13.8" thickBot="1" x14ac:dyDescent="0.3">
      <c r="A597" s="12"/>
    </row>
    <row r="598" spans="1:1" ht="13.8" thickBot="1" x14ac:dyDescent="0.3">
      <c r="A598" s="12"/>
    </row>
    <row r="599" spans="1:1" ht="13.8" thickBot="1" x14ac:dyDescent="0.3">
      <c r="A599" s="12"/>
    </row>
    <row r="600" spans="1:1" ht="13.8" thickBot="1" x14ac:dyDescent="0.3">
      <c r="A600" s="12"/>
    </row>
    <row r="601" spans="1:1" ht="13.8" thickBot="1" x14ac:dyDescent="0.3">
      <c r="A601" s="12"/>
    </row>
    <row r="602" spans="1:1" ht="13.8" thickBot="1" x14ac:dyDescent="0.3">
      <c r="A602" s="12"/>
    </row>
    <row r="603" spans="1:1" ht="13.8" thickBot="1" x14ac:dyDescent="0.3">
      <c r="A603" s="12"/>
    </row>
    <row r="604" spans="1:1" ht="13.8" thickBot="1" x14ac:dyDescent="0.3">
      <c r="A604" s="12"/>
    </row>
    <row r="605" spans="1:1" ht="13.8" thickBot="1" x14ac:dyDescent="0.3">
      <c r="A605" s="12"/>
    </row>
    <row r="606" spans="1:1" ht="13.8" thickBot="1" x14ac:dyDescent="0.3">
      <c r="A606" s="12"/>
    </row>
    <row r="607" spans="1:1" ht="13.8" thickBot="1" x14ac:dyDescent="0.3">
      <c r="A607" s="12"/>
    </row>
    <row r="608" spans="1:1" ht="13.8" thickBot="1" x14ac:dyDescent="0.3">
      <c r="A608" s="12"/>
    </row>
    <row r="609" spans="1:1" ht="13.8" thickBot="1" x14ac:dyDescent="0.3">
      <c r="A609" s="12"/>
    </row>
    <row r="610" spans="1:1" ht="13.8" thickBot="1" x14ac:dyDescent="0.3">
      <c r="A610" s="12"/>
    </row>
    <row r="611" spans="1:1" ht="13.8" thickBot="1" x14ac:dyDescent="0.3">
      <c r="A611" s="12"/>
    </row>
    <row r="612" spans="1:1" ht="13.8" thickBot="1" x14ac:dyDescent="0.3">
      <c r="A612" s="12"/>
    </row>
    <row r="613" spans="1:1" ht="13.8" thickBot="1" x14ac:dyDescent="0.3">
      <c r="A613" s="12"/>
    </row>
    <row r="614" spans="1:1" ht="13.8" thickBot="1" x14ac:dyDescent="0.3">
      <c r="A614" s="12"/>
    </row>
    <row r="615" spans="1:1" ht="13.8" thickBot="1" x14ac:dyDescent="0.3">
      <c r="A615" s="12"/>
    </row>
    <row r="616" spans="1:1" ht="13.8" thickBot="1" x14ac:dyDescent="0.3">
      <c r="A616" s="12"/>
    </row>
    <row r="617" spans="1:1" ht="13.8" thickBot="1" x14ac:dyDescent="0.3">
      <c r="A617" s="12"/>
    </row>
    <row r="618" spans="1:1" ht="13.8" thickBot="1" x14ac:dyDescent="0.3">
      <c r="A618" s="12"/>
    </row>
    <row r="619" spans="1:1" ht="13.8" thickBot="1" x14ac:dyDescent="0.3">
      <c r="A619" s="12"/>
    </row>
    <row r="620" spans="1:1" ht="13.8" thickBot="1" x14ac:dyDescent="0.3">
      <c r="A620" s="12"/>
    </row>
    <row r="621" spans="1:1" ht="13.8" thickBot="1" x14ac:dyDescent="0.3">
      <c r="A621" s="12"/>
    </row>
    <row r="622" spans="1:1" ht="13.8" thickBot="1" x14ac:dyDescent="0.3">
      <c r="A622" s="12"/>
    </row>
    <row r="623" spans="1:1" ht="13.8" thickBot="1" x14ac:dyDescent="0.3">
      <c r="A623" s="12"/>
    </row>
    <row r="624" spans="1:1" ht="13.8" thickBot="1" x14ac:dyDescent="0.3">
      <c r="A624" s="12"/>
    </row>
    <row r="625" spans="1:1" ht="13.8" thickBot="1" x14ac:dyDescent="0.3">
      <c r="A625" s="12"/>
    </row>
    <row r="626" spans="1:1" ht="13.8" thickBot="1" x14ac:dyDescent="0.3">
      <c r="A626" s="12"/>
    </row>
    <row r="627" spans="1:1" ht="13.8" thickBot="1" x14ac:dyDescent="0.3">
      <c r="A627" s="12"/>
    </row>
    <row r="628" spans="1:1" ht="13.8" thickBot="1" x14ac:dyDescent="0.3">
      <c r="A628" s="12"/>
    </row>
    <row r="629" spans="1:1" ht="13.8" thickBot="1" x14ac:dyDescent="0.3">
      <c r="A629" s="12"/>
    </row>
    <row r="630" spans="1:1" ht="13.8" thickBot="1" x14ac:dyDescent="0.3">
      <c r="A630" s="12"/>
    </row>
    <row r="631" spans="1:1" ht="13.8" thickBot="1" x14ac:dyDescent="0.3">
      <c r="A631" s="12"/>
    </row>
    <row r="632" spans="1:1" ht="13.8" thickBot="1" x14ac:dyDescent="0.3">
      <c r="A632" s="12"/>
    </row>
    <row r="633" spans="1:1" ht="13.8" thickBot="1" x14ac:dyDescent="0.3">
      <c r="A633" s="12"/>
    </row>
    <row r="634" spans="1:1" ht="13.8" thickBot="1" x14ac:dyDescent="0.3">
      <c r="A634" s="12"/>
    </row>
    <row r="635" spans="1:1" ht="13.8" thickBot="1" x14ac:dyDescent="0.3">
      <c r="A635" s="12"/>
    </row>
    <row r="636" spans="1:1" ht="13.8" thickBot="1" x14ac:dyDescent="0.3">
      <c r="A636" s="12"/>
    </row>
    <row r="637" spans="1:1" ht="13.8" thickBot="1" x14ac:dyDescent="0.3">
      <c r="A637" s="12"/>
    </row>
    <row r="638" spans="1:1" ht="13.8" thickBot="1" x14ac:dyDescent="0.3">
      <c r="A638" s="12"/>
    </row>
    <row r="639" spans="1:1" ht="13.8" thickBot="1" x14ac:dyDescent="0.3">
      <c r="A639" s="12"/>
    </row>
    <row r="640" spans="1:1" ht="13.8" thickBot="1" x14ac:dyDescent="0.3">
      <c r="A640" s="12"/>
    </row>
    <row r="641" spans="1:1" ht="13.8" thickBot="1" x14ac:dyDescent="0.3">
      <c r="A641" s="12"/>
    </row>
    <row r="642" spans="1:1" ht="13.8" thickBot="1" x14ac:dyDescent="0.3">
      <c r="A642" s="12"/>
    </row>
    <row r="643" spans="1:1" ht="13.8" thickBot="1" x14ac:dyDescent="0.3">
      <c r="A643" s="12"/>
    </row>
    <row r="644" spans="1:1" ht="13.8" thickBot="1" x14ac:dyDescent="0.3">
      <c r="A644" s="12"/>
    </row>
    <row r="645" spans="1:1" ht="13.8" thickBot="1" x14ac:dyDescent="0.3">
      <c r="A645" s="12"/>
    </row>
    <row r="646" spans="1:1" ht="13.8" thickBot="1" x14ac:dyDescent="0.3">
      <c r="A646" s="12"/>
    </row>
    <row r="647" spans="1:1" ht="13.8" thickBot="1" x14ac:dyDescent="0.3">
      <c r="A647" s="12"/>
    </row>
    <row r="648" spans="1:1" ht="13.8" thickBot="1" x14ac:dyDescent="0.3">
      <c r="A648" s="12"/>
    </row>
    <row r="649" spans="1:1" ht="13.8" thickBot="1" x14ac:dyDescent="0.3">
      <c r="A649" s="12"/>
    </row>
    <row r="650" spans="1:1" ht="13.8" thickBot="1" x14ac:dyDescent="0.3">
      <c r="A650" s="12"/>
    </row>
    <row r="651" spans="1:1" ht="13.8" thickBot="1" x14ac:dyDescent="0.3">
      <c r="A651" s="12"/>
    </row>
    <row r="652" spans="1:1" ht="13.8" thickBot="1" x14ac:dyDescent="0.3">
      <c r="A652" s="12"/>
    </row>
    <row r="653" spans="1:1" ht="13.8" thickBot="1" x14ac:dyDescent="0.3">
      <c r="A653" s="12"/>
    </row>
    <row r="654" spans="1:1" ht="13.8" thickBot="1" x14ac:dyDescent="0.3">
      <c r="A654" s="12"/>
    </row>
    <row r="655" spans="1:1" ht="13.8" thickBot="1" x14ac:dyDescent="0.3">
      <c r="A655" s="12"/>
    </row>
    <row r="656" spans="1:1" ht="13.8" thickBot="1" x14ac:dyDescent="0.3">
      <c r="A656" s="12"/>
    </row>
    <row r="657" spans="1:1" ht="13.8" thickBot="1" x14ac:dyDescent="0.3">
      <c r="A657" s="12"/>
    </row>
    <row r="658" spans="1:1" ht="13.8" thickBot="1" x14ac:dyDescent="0.3">
      <c r="A658" s="12"/>
    </row>
    <row r="659" spans="1:1" ht="13.8" thickBot="1" x14ac:dyDescent="0.3">
      <c r="A659" s="12"/>
    </row>
    <row r="660" spans="1:1" ht="13.8" thickBot="1" x14ac:dyDescent="0.3">
      <c r="A660" s="12"/>
    </row>
    <row r="661" spans="1:1" ht="13.8" thickBot="1" x14ac:dyDescent="0.3">
      <c r="A661" s="12"/>
    </row>
    <row r="662" spans="1:1" ht="13.8" thickBot="1" x14ac:dyDescent="0.3">
      <c r="A662" s="12"/>
    </row>
    <row r="663" spans="1:1" ht="13.8" thickBot="1" x14ac:dyDescent="0.3">
      <c r="A663" s="12"/>
    </row>
    <row r="664" spans="1:1" ht="13.8" thickBot="1" x14ac:dyDescent="0.3">
      <c r="A664" s="12"/>
    </row>
    <row r="665" spans="1:1" ht="13.8" thickBot="1" x14ac:dyDescent="0.3">
      <c r="A665" s="12"/>
    </row>
    <row r="666" spans="1:1" ht="13.8" thickBot="1" x14ac:dyDescent="0.3">
      <c r="A666" s="12"/>
    </row>
    <row r="667" spans="1:1" ht="13.8" thickBot="1" x14ac:dyDescent="0.3">
      <c r="A667" s="12"/>
    </row>
    <row r="668" spans="1:1" ht="13.8" thickBot="1" x14ac:dyDescent="0.3">
      <c r="A668" s="12"/>
    </row>
    <row r="669" spans="1:1" ht="13.8" thickBot="1" x14ac:dyDescent="0.3">
      <c r="A669" s="12"/>
    </row>
    <row r="670" spans="1:1" ht="13.8" thickBot="1" x14ac:dyDescent="0.3">
      <c r="A670" s="12"/>
    </row>
    <row r="671" spans="1:1" ht="13.8" thickBot="1" x14ac:dyDescent="0.3">
      <c r="A671" s="12"/>
    </row>
    <row r="672" spans="1:1" ht="13.8" thickBot="1" x14ac:dyDescent="0.3">
      <c r="A672" s="12"/>
    </row>
    <row r="673" spans="1:1" ht="13.8" thickBot="1" x14ac:dyDescent="0.3">
      <c r="A673" s="12"/>
    </row>
    <row r="674" spans="1:1" ht="13.8" thickBot="1" x14ac:dyDescent="0.3">
      <c r="A674" s="12"/>
    </row>
    <row r="675" spans="1:1" ht="13.8" thickBot="1" x14ac:dyDescent="0.3">
      <c r="A675" s="12"/>
    </row>
    <row r="676" spans="1:1" ht="13.8" thickBot="1" x14ac:dyDescent="0.3">
      <c r="A676" s="12"/>
    </row>
    <row r="677" spans="1:1" ht="13.8" thickBot="1" x14ac:dyDescent="0.3">
      <c r="A677" s="12"/>
    </row>
    <row r="678" spans="1:1" ht="13.8" thickBot="1" x14ac:dyDescent="0.3">
      <c r="A678" s="12"/>
    </row>
    <row r="679" spans="1:1" ht="13.8" thickBot="1" x14ac:dyDescent="0.3">
      <c r="A679" s="12"/>
    </row>
    <row r="680" spans="1:1" ht="13.8" thickBot="1" x14ac:dyDescent="0.3">
      <c r="A680" s="12"/>
    </row>
    <row r="681" spans="1:1" ht="13.8" thickBot="1" x14ac:dyDescent="0.3">
      <c r="A681" s="12"/>
    </row>
    <row r="682" spans="1:1" ht="13.8" thickBot="1" x14ac:dyDescent="0.3">
      <c r="A682" s="12"/>
    </row>
    <row r="683" spans="1:1" ht="13.8" thickBot="1" x14ac:dyDescent="0.3">
      <c r="A683" s="12"/>
    </row>
    <row r="684" spans="1:1" ht="13.8" thickBot="1" x14ac:dyDescent="0.3">
      <c r="A684" s="12"/>
    </row>
    <row r="685" spans="1:1" ht="13.8" thickBot="1" x14ac:dyDescent="0.3">
      <c r="A685" s="12"/>
    </row>
    <row r="686" spans="1:1" ht="13.8" thickBot="1" x14ac:dyDescent="0.3">
      <c r="A686" s="12"/>
    </row>
    <row r="687" spans="1:1" ht="13.8" thickBot="1" x14ac:dyDescent="0.3">
      <c r="A687" s="12"/>
    </row>
    <row r="688" spans="1:1" ht="13.8" thickBot="1" x14ac:dyDescent="0.3">
      <c r="A688" s="12"/>
    </row>
    <row r="689" spans="1:1" ht="13.8" thickBot="1" x14ac:dyDescent="0.3">
      <c r="A689" s="12"/>
    </row>
    <row r="690" spans="1:1" ht="13.8" thickBot="1" x14ac:dyDescent="0.3">
      <c r="A690" s="12"/>
    </row>
    <row r="691" spans="1:1" ht="13.8" thickBot="1" x14ac:dyDescent="0.3">
      <c r="A691" s="12"/>
    </row>
    <row r="692" spans="1:1" ht="13.8" thickBot="1" x14ac:dyDescent="0.3">
      <c r="A692" s="12"/>
    </row>
    <row r="693" spans="1:1" ht="13.8" thickBot="1" x14ac:dyDescent="0.3">
      <c r="A693" s="12"/>
    </row>
    <row r="694" spans="1:1" ht="13.8" thickBot="1" x14ac:dyDescent="0.3">
      <c r="A694" s="12"/>
    </row>
    <row r="695" spans="1:1" ht="13.8" thickBot="1" x14ac:dyDescent="0.3">
      <c r="A695" s="12"/>
    </row>
    <row r="696" spans="1:1" ht="13.8" thickBot="1" x14ac:dyDescent="0.3">
      <c r="A696" s="12"/>
    </row>
    <row r="697" spans="1:1" ht="13.8" thickBot="1" x14ac:dyDescent="0.3">
      <c r="A697" s="12"/>
    </row>
    <row r="698" spans="1:1" ht="13.8" thickBot="1" x14ac:dyDescent="0.3">
      <c r="A698" s="12"/>
    </row>
    <row r="699" spans="1:1" ht="13.8" thickBot="1" x14ac:dyDescent="0.3">
      <c r="A699" s="12"/>
    </row>
    <row r="700" spans="1:1" ht="13.8" thickBot="1" x14ac:dyDescent="0.3">
      <c r="A700" s="12"/>
    </row>
    <row r="701" spans="1:1" ht="13.8" thickBot="1" x14ac:dyDescent="0.3">
      <c r="A701" s="12"/>
    </row>
    <row r="702" spans="1:1" ht="13.8" thickBot="1" x14ac:dyDescent="0.3">
      <c r="A702" s="12"/>
    </row>
    <row r="703" spans="1:1" ht="13.8" thickBot="1" x14ac:dyDescent="0.3">
      <c r="A703" s="12"/>
    </row>
    <row r="704" spans="1:1" ht="13.8" thickBot="1" x14ac:dyDescent="0.3">
      <c r="A704" s="12"/>
    </row>
    <row r="705" spans="1:1" ht="13.8" thickBot="1" x14ac:dyDescent="0.3">
      <c r="A705" s="12"/>
    </row>
    <row r="706" spans="1:1" ht="13.8" thickBot="1" x14ac:dyDescent="0.3">
      <c r="A706" s="12"/>
    </row>
    <row r="707" spans="1:1" ht="13.8" thickBot="1" x14ac:dyDescent="0.3">
      <c r="A707" s="12"/>
    </row>
    <row r="708" spans="1:1" ht="13.8" thickBot="1" x14ac:dyDescent="0.3">
      <c r="A708" s="12"/>
    </row>
    <row r="709" spans="1:1" ht="13.8" thickBot="1" x14ac:dyDescent="0.3">
      <c r="A709" s="12"/>
    </row>
    <row r="710" spans="1:1" ht="13.8" thickBot="1" x14ac:dyDescent="0.3">
      <c r="A710" s="12"/>
    </row>
    <row r="711" spans="1:1" ht="13.8" thickBot="1" x14ac:dyDescent="0.3">
      <c r="A711" s="12"/>
    </row>
    <row r="712" spans="1:1" ht="13.8" thickBot="1" x14ac:dyDescent="0.3">
      <c r="A712" s="12"/>
    </row>
    <row r="713" spans="1:1" ht="13.8" thickBot="1" x14ac:dyDescent="0.3">
      <c r="A713" s="12"/>
    </row>
    <row r="714" spans="1:1" ht="13.8" thickBot="1" x14ac:dyDescent="0.3">
      <c r="A714" s="12"/>
    </row>
    <row r="715" spans="1:1" ht="13.8" thickBot="1" x14ac:dyDescent="0.3">
      <c r="A715" s="12"/>
    </row>
    <row r="716" spans="1:1" ht="13.8" thickBot="1" x14ac:dyDescent="0.3">
      <c r="A716" s="12"/>
    </row>
    <row r="717" spans="1:1" ht="13.8" thickBot="1" x14ac:dyDescent="0.3">
      <c r="A717" s="12"/>
    </row>
    <row r="718" spans="1:1" ht="13.8" thickBot="1" x14ac:dyDescent="0.3">
      <c r="A718" s="12"/>
    </row>
    <row r="719" spans="1:1" ht="13.8" thickBot="1" x14ac:dyDescent="0.3">
      <c r="A719" s="12"/>
    </row>
    <row r="720" spans="1:1" ht="13.8" thickBot="1" x14ac:dyDescent="0.3">
      <c r="A720" s="12"/>
    </row>
    <row r="721" spans="1:1" ht="13.8" thickBot="1" x14ac:dyDescent="0.3">
      <c r="A721" s="12"/>
    </row>
    <row r="722" spans="1:1" ht="13.8" thickBot="1" x14ac:dyDescent="0.3">
      <c r="A722" s="12"/>
    </row>
    <row r="723" spans="1:1" ht="13.8" thickBot="1" x14ac:dyDescent="0.3">
      <c r="A723" s="12"/>
    </row>
    <row r="724" spans="1:1" ht="13.8" thickBot="1" x14ac:dyDescent="0.3">
      <c r="A724" s="12"/>
    </row>
    <row r="725" spans="1:1" ht="13.8" thickBot="1" x14ac:dyDescent="0.3">
      <c r="A725" s="12"/>
    </row>
    <row r="726" spans="1:1" ht="13.8" thickBot="1" x14ac:dyDescent="0.3">
      <c r="A726" s="12"/>
    </row>
    <row r="727" spans="1:1" ht="13.8" thickBot="1" x14ac:dyDescent="0.3">
      <c r="A727" s="12"/>
    </row>
    <row r="728" spans="1:1" ht="13.8" thickBot="1" x14ac:dyDescent="0.3">
      <c r="A728" s="12"/>
    </row>
    <row r="729" spans="1:1" ht="13.8" thickBot="1" x14ac:dyDescent="0.3">
      <c r="A729" s="12"/>
    </row>
    <row r="730" spans="1:1" ht="13.8" thickBot="1" x14ac:dyDescent="0.3">
      <c r="A730" s="12"/>
    </row>
    <row r="731" spans="1:1" ht="13.8" thickBot="1" x14ac:dyDescent="0.3">
      <c r="A731" s="12"/>
    </row>
    <row r="732" spans="1:1" ht="13.8" thickBot="1" x14ac:dyDescent="0.3">
      <c r="A732" s="12"/>
    </row>
    <row r="733" spans="1:1" ht="13.8" thickBot="1" x14ac:dyDescent="0.3">
      <c r="A733" s="12"/>
    </row>
    <row r="734" spans="1:1" ht="13.8" thickBot="1" x14ac:dyDescent="0.3">
      <c r="A734" s="12"/>
    </row>
    <row r="735" spans="1:1" ht="13.8" thickBot="1" x14ac:dyDescent="0.3">
      <c r="A735" s="12"/>
    </row>
    <row r="736" spans="1:1" ht="13.8" thickBot="1" x14ac:dyDescent="0.3">
      <c r="A736" s="12"/>
    </row>
    <row r="737" spans="1:1" ht="13.8" thickBot="1" x14ac:dyDescent="0.3">
      <c r="A737" s="12"/>
    </row>
    <row r="738" spans="1:1" ht="13.8" thickBot="1" x14ac:dyDescent="0.3">
      <c r="A738" s="12"/>
    </row>
    <row r="739" spans="1:1" ht="13.8" thickBot="1" x14ac:dyDescent="0.3">
      <c r="A739" s="12"/>
    </row>
    <row r="740" spans="1:1" ht="13.8" thickBot="1" x14ac:dyDescent="0.3">
      <c r="A740" s="12"/>
    </row>
    <row r="741" spans="1:1" ht="13.8" thickBot="1" x14ac:dyDescent="0.3">
      <c r="A741" s="12"/>
    </row>
    <row r="742" spans="1:1" ht="13.8" thickBot="1" x14ac:dyDescent="0.3">
      <c r="A742" s="12"/>
    </row>
    <row r="743" spans="1:1" ht="13.8" thickBot="1" x14ac:dyDescent="0.3">
      <c r="A743" s="12"/>
    </row>
    <row r="744" spans="1:1" ht="13.8" thickBot="1" x14ac:dyDescent="0.3">
      <c r="A744" s="12"/>
    </row>
    <row r="745" spans="1:1" ht="13.8" thickBot="1" x14ac:dyDescent="0.3">
      <c r="A745" s="12"/>
    </row>
    <row r="746" spans="1:1" ht="13.8" thickBot="1" x14ac:dyDescent="0.3">
      <c r="A746" s="12"/>
    </row>
    <row r="747" spans="1:1" ht="13.8" thickBot="1" x14ac:dyDescent="0.3">
      <c r="A747" s="12"/>
    </row>
    <row r="748" spans="1:1" ht="13.8" thickBot="1" x14ac:dyDescent="0.3">
      <c r="A748" s="12"/>
    </row>
    <row r="749" spans="1:1" ht="13.8" thickBot="1" x14ac:dyDescent="0.3">
      <c r="A749" s="12"/>
    </row>
    <row r="750" spans="1:1" ht="13.8" thickBot="1" x14ac:dyDescent="0.3">
      <c r="A750" s="12"/>
    </row>
    <row r="751" spans="1:1" ht="13.8" thickBot="1" x14ac:dyDescent="0.3">
      <c r="A751" s="12"/>
    </row>
    <row r="752" spans="1:1" ht="13.8" thickBot="1" x14ac:dyDescent="0.3">
      <c r="A752" s="12"/>
    </row>
    <row r="753" spans="1:1" ht="13.8" thickBot="1" x14ac:dyDescent="0.3">
      <c r="A753" s="12"/>
    </row>
    <row r="754" spans="1:1" ht="13.8" thickBot="1" x14ac:dyDescent="0.3">
      <c r="A754" s="12"/>
    </row>
    <row r="755" spans="1:1" ht="13.8" thickBot="1" x14ac:dyDescent="0.3">
      <c r="A755" s="12"/>
    </row>
    <row r="756" spans="1:1" ht="13.8" thickBot="1" x14ac:dyDescent="0.3">
      <c r="A756" s="12"/>
    </row>
    <row r="757" spans="1:1" ht="13.8" thickBot="1" x14ac:dyDescent="0.3">
      <c r="A757" s="12"/>
    </row>
    <row r="758" spans="1:1" ht="13.8" thickBot="1" x14ac:dyDescent="0.3">
      <c r="A758" s="12"/>
    </row>
    <row r="759" spans="1:1" ht="13.8" thickBot="1" x14ac:dyDescent="0.3">
      <c r="A759" s="12"/>
    </row>
    <row r="760" spans="1:1" ht="13.8" thickBot="1" x14ac:dyDescent="0.3">
      <c r="A760" s="12"/>
    </row>
    <row r="761" spans="1:1" ht="13.8" thickBot="1" x14ac:dyDescent="0.3">
      <c r="A761" s="12"/>
    </row>
    <row r="762" spans="1:1" ht="13.8" thickBot="1" x14ac:dyDescent="0.3">
      <c r="A762" s="12"/>
    </row>
    <row r="763" spans="1:1" ht="13.8" thickBot="1" x14ac:dyDescent="0.3">
      <c r="A763" s="12"/>
    </row>
    <row r="764" spans="1:1" ht="13.8" thickBot="1" x14ac:dyDescent="0.3">
      <c r="A764" s="12"/>
    </row>
    <row r="765" spans="1:1" ht="13.8" thickBot="1" x14ac:dyDescent="0.3">
      <c r="A765" s="12"/>
    </row>
    <row r="766" spans="1:1" ht="13.8" thickBot="1" x14ac:dyDescent="0.3">
      <c r="A766" s="12"/>
    </row>
    <row r="767" spans="1:1" ht="13.8" thickBot="1" x14ac:dyDescent="0.3">
      <c r="A767" s="12"/>
    </row>
    <row r="768" spans="1:1" ht="13.8" thickBot="1" x14ac:dyDescent="0.3">
      <c r="A768" s="12"/>
    </row>
    <row r="769" spans="1:1" ht="13.8" thickBot="1" x14ac:dyDescent="0.3">
      <c r="A769" s="12"/>
    </row>
    <row r="770" spans="1:1" ht="13.8" thickBot="1" x14ac:dyDescent="0.3">
      <c r="A770" s="12"/>
    </row>
    <row r="771" spans="1:1" ht="13.8" thickBot="1" x14ac:dyDescent="0.3">
      <c r="A771" s="12"/>
    </row>
    <row r="772" spans="1:1" ht="13.8" thickBot="1" x14ac:dyDescent="0.3">
      <c r="A772" s="12"/>
    </row>
    <row r="773" spans="1:1" ht="13.8" thickBot="1" x14ac:dyDescent="0.3">
      <c r="A773" s="12"/>
    </row>
    <row r="774" spans="1:1" ht="13.8" thickBot="1" x14ac:dyDescent="0.3">
      <c r="A774" s="12"/>
    </row>
    <row r="775" spans="1:1" ht="13.8" thickBot="1" x14ac:dyDescent="0.3">
      <c r="A775" s="12"/>
    </row>
    <row r="776" spans="1:1" ht="13.8" thickBot="1" x14ac:dyDescent="0.3">
      <c r="A776" s="12"/>
    </row>
    <row r="777" spans="1:1" ht="13.8" thickBot="1" x14ac:dyDescent="0.3">
      <c r="A777" s="12"/>
    </row>
    <row r="778" spans="1:1" ht="13.8" thickBot="1" x14ac:dyDescent="0.3">
      <c r="A778" s="12"/>
    </row>
    <row r="779" spans="1:1" ht="13.8" thickBot="1" x14ac:dyDescent="0.3">
      <c r="A779" s="12"/>
    </row>
    <row r="780" spans="1:1" ht="13.8" thickBot="1" x14ac:dyDescent="0.3">
      <c r="A780" s="12"/>
    </row>
    <row r="781" spans="1:1" ht="13.8" thickBot="1" x14ac:dyDescent="0.3">
      <c r="A781" s="12"/>
    </row>
    <row r="782" spans="1:1" ht="13.8" thickBot="1" x14ac:dyDescent="0.3">
      <c r="A782" s="12"/>
    </row>
    <row r="783" spans="1:1" ht="13.8" thickBot="1" x14ac:dyDescent="0.3">
      <c r="A783" s="12"/>
    </row>
    <row r="784" spans="1:1" ht="13.8" thickBot="1" x14ac:dyDescent="0.3">
      <c r="A784" s="12"/>
    </row>
    <row r="785" spans="1:1" ht="13.8" thickBot="1" x14ac:dyDescent="0.3">
      <c r="A785" s="12"/>
    </row>
    <row r="786" spans="1:1" ht="13.8" thickBot="1" x14ac:dyDescent="0.3">
      <c r="A786" s="12"/>
    </row>
    <row r="787" spans="1:1" ht="13.8" thickBot="1" x14ac:dyDescent="0.3">
      <c r="A787" s="12"/>
    </row>
    <row r="788" spans="1:1" ht="13.8" thickBot="1" x14ac:dyDescent="0.3">
      <c r="A788" s="12"/>
    </row>
    <row r="789" spans="1:1" ht="13.8" thickBot="1" x14ac:dyDescent="0.3">
      <c r="A789" s="12"/>
    </row>
    <row r="790" spans="1:1" ht="13.8" thickBot="1" x14ac:dyDescent="0.3">
      <c r="A790" s="12"/>
    </row>
    <row r="791" spans="1:1" ht="13.8" thickBot="1" x14ac:dyDescent="0.3">
      <c r="A791" s="12"/>
    </row>
    <row r="792" spans="1:1" ht="13.8" thickBot="1" x14ac:dyDescent="0.3">
      <c r="A792" s="12"/>
    </row>
    <row r="793" spans="1:1" ht="13.8" thickBot="1" x14ac:dyDescent="0.3">
      <c r="A793" s="12"/>
    </row>
    <row r="794" spans="1:1" ht="13.8" thickBot="1" x14ac:dyDescent="0.3">
      <c r="A794" s="12"/>
    </row>
    <row r="795" spans="1:1" ht="13.8" thickBot="1" x14ac:dyDescent="0.3">
      <c r="A795" s="12"/>
    </row>
    <row r="796" spans="1:1" ht="13.8" thickBot="1" x14ac:dyDescent="0.3">
      <c r="A796" s="12"/>
    </row>
    <row r="797" spans="1:1" ht="13.8" thickBot="1" x14ac:dyDescent="0.3">
      <c r="A797" s="12"/>
    </row>
    <row r="798" spans="1:1" ht="13.8" thickBot="1" x14ac:dyDescent="0.3">
      <c r="A798" s="12"/>
    </row>
    <row r="799" spans="1:1" ht="13.8" thickBot="1" x14ac:dyDescent="0.3">
      <c r="A799" s="12"/>
    </row>
    <row r="800" spans="1:1" ht="13.8" thickBot="1" x14ac:dyDescent="0.3">
      <c r="A800" s="12"/>
    </row>
    <row r="801" spans="1:1" ht="13.8" thickBot="1" x14ac:dyDescent="0.3">
      <c r="A801" s="12"/>
    </row>
    <row r="802" spans="1:1" ht="13.8" thickBot="1" x14ac:dyDescent="0.3">
      <c r="A802" s="12"/>
    </row>
    <row r="803" spans="1:1" ht="13.8" thickBot="1" x14ac:dyDescent="0.3">
      <c r="A803" s="12"/>
    </row>
    <row r="804" spans="1:1" ht="13.8" thickBot="1" x14ac:dyDescent="0.3">
      <c r="A804" s="12"/>
    </row>
    <row r="805" spans="1:1" ht="13.8" thickBot="1" x14ac:dyDescent="0.3">
      <c r="A805" s="12"/>
    </row>
    <row r="806" spans="1:1" ht="13.8" thickBot="1" x14ac:dyDescent="0.3">
      <c r="A806" s="12"/>
    </row>
    <row r="807" spans="1:1" ht="13.8" thickBot="1" x14ac:dyDescent="0.3">
      <c r="A807" s="12"/>
    </row>
    <row r="808" spans="1:1" ht="13.8" thickBot="1" x14ac:dyDescent="0.3">
      <c r="A808" s="12"/>
    </row>
    <row r="809" spans="1:1" ht="13.8" thickBot="1" x14ac:dyDescent="0.3">
      <c r="A809" s="12"/>
    </row>
    <row r="810" spans="1:1" ht="13.8" thickBot="1" x14ac:dyDescent="0.3">
      <c r="A810" s="12"/>
    </row>
    <row r="811" spans="1:1" ht="13.8" thickBot="1" x14ac:dyDescent="0.3">
      <c r="A811" s="12"/>
    </row>
    <row r="812" spans="1:1" ht="13.8" thickBot="1" x14ac:dyDescent="0.3">
      <c r="A812" s="12"/>
    </row>
    <row r="813" spans="1:1" ht="13.8" thickBot="1" x14ac:dyDescent="0.3">
      <c r="A813" s="12"/>
    </row>
    <row r="814" spans="1:1" ht="13.8" thickBot="1" x14ac:dyDescent="0.3">
      <c r="A814" s="12"/>
    </row>
    <row r="815" spans="1:1" ht="13.8" thickBot="1" x14ac:dyDescent="0.3">
      <c r="A815" s="12"/>
    </row>
    <row r="816" spans="1:1" ht="13.8" thickBot="1" x14ac:dyDescent="0.3">
      <c r="A816" s="12"/>
    </row>
    <row r="817" spans="1:1" ht="13.8" thickBot="1" x14ac:dyDescent="0.3">
      <c r="A817" s="12"/>
    </row>
    <row r="818" spans="1:1" ht="13.8" thickBot="1" x14ac:dyDescent="0.3">
      <c r="A818" s="12"/>
    </row>
    <row r="819" spans="1:1" ht="13.8" thickBot="1" x14ac:dyDescent="0.3">
      <c r="A819" s="12"/>
    </row>
    <row r="820" spans="1:1" ht="13.8" thickBot="1" x14ac:dyDescent="0.3">
      <c r="A820" s="12"/>
    </row>
    <row r="821" spans="1:1" ht="13.8" thickBot="1" x14ac:dyDescent="0.3">
      <c r="A821" s="12"/>
    </row>
    <row r="822" spans="1:1" ht="13.8" thickBot="1" x14ac:dyDescent="0.3">
      <c r="A822" s="12"/>
    </row>
    <row r="823" spans="1:1" ht="13.8" thickBot="1" x14ac:dyDescent="0.3">
      <c r="A823" s="12"/>
    </row>
    <row r="824" spans="1:1" ht="13.8" thickBot="1" x14ac:dyDescent="0.3">
      <c r="A824" s="12"/>
    </row>
    <row r="825" spans="1:1" ht="13.8" thickBot="1" x14ac:dyDescent="0.3">
      <c r="A825" s="12"/>
    </row>
    <row r="826" spans="1:1" ht="13.8" thickBot="1" x14ac:dyDescent="0.3">
      <c r="A826" s="12"/>
    </row>
    <row r="827" spans="1:1" ht="13.8" thickBot="1" x14ac:dyDescent="0.3">
      <c r="A827" s="12"/>
    </row>
    <row r="828" spans="1:1" ht="13.8" thickBot="1" x14ac:dyDescent="0.3">
      <c r="A828" s="12"/>
    </row>
    <row r="829" spans="1:1" ht="15.75" customHeight="1" thickBot="1" x14ac:dyDescent="0.3">
      <c r="A829" s="12"/>
    </row>
    <row r="830" spans="1:1" ht="15.75" customHeight="1" thickBot="1" x14ac:dyDescent="0.3">
      <c r="A830" s="12"/>
    </row>
    <row r="831" spans="1:1" ht="15.75" customHeight="1" thickBot="1" x14ac:dyDescent="0.3">
      <c r="A831" s="12"/>
    </row>
    <row r="832" spans="1:1" ht="15.75" customHeight="1" thickBot="1" x14ac:dyDescent="0.3">
      <c r="A832" s="12"/>
    </row>
    <row r="833" spans="1:1" ht="15.75" customHeight="1" thickBot="1" x14ac:dyDescent="0.3">
      <c r="A833" s="12"/>
    </row>
    <row r="834" spans="1:1" ht="15.75" customHeight="1" thickBot="1" x14ac:dyDescent="0.3">
      <c r="A834" s="12"/>
    </row>
    <row r="835" spans="1:1" ht="15.75" customHeight="1" thickBot="1" x14ac:dyDescent="0.3">
      <c r="A835" s="12"/>
    </row>
    <row r="836" spans="1:1" ht="15.75" customHeight="1" thickBot="1" x14ac:dyDescent="0.3">
      <c r="A836" s="12"/>
    </row>
    <row r="837" spans="1:1" ht="15.75" customHeight="1" thickBot="1" x14ac:dyDescent="0.3">
      <c r="A837" s="12"/>
    </row>
    <row r="838" spans="1:1" ht="15.75" customHeight="1" thickBot="1" x14ac:dyDescent="0.3">
      <c r="A838" s="12"/>
    </row>
    <row r="839" spans="1:1" ht="15.75" customHeight="1" thickBot="1" x14ac:dyDescent="0.3">
      <c r="A839" s="12"/>
    </row>
    <row r="840" spans="1:1" ht="15.75" customHeight="1" thickBot="1" x14ac:dyDescent="0.3">
      <c r="A840" s="12"/>
    </row>
    <row r="841" spans="1:1" ht="15.75" customHeight="1" thickBot="1" x14ac:dyDescent="0.3">
      <c r="A841" s="12"/>
    </row>
    <row r="842" spans="1:1" ht="15.75" customHeight="1" thickBot="1" x14ac:dyDescent="0.3">
      <c r="A842" s="12"/>
    </row>
    <row r="843" spans="1:1" ht="15.75" customHeight="1" thickBot="1" x14ac:dyDescent="0.3">
      <c r="A843" s="12"/>
    </row>
    <row r="844" spans="1:1" ht="15.75" customHeight="1" thickBot="1" x14ac:dyDescent="0.3">
      <c r="A844" s="12"/>
    </row>
    <row r="845" spans="1:1" ht="15.75" customHeight="1" thickBot="1" x14ac:dyDescent="0.3">
      <c r="A845" s="12"/>
    </row>
    <row r="846" spans="1:1" ht="15.75" customHeight="1" thickBot="1" x14ac:dyDescent="0.3">
      <c r="A846" s="12"/>
    </row>
    <row r="847" spans="1:1" ht="15.75" customHeight="1" thickBot="1" x14ac:dyDescent="0.3">
      <c r="A847" s="12"/>
    </row>
    <row r="848" spans="1:1" ht="15.75" customHeight="1" thickBot="1" x14ac:dyDescent="0.3">
      <c r="A848" s="9"/>
    </row>
    <row r="849" spans="1:1" ht="15.75" customHeight="1" thickBot="1" x14ac:dyDescent="0.3">
      <c r="A849" s="9"/>
    </row>
    <row r="850" spans="1:1" ht="15.75" customHeight="1" thickBot="1" x14ac:dyDescent="0.3">
      <c r="A850" s="9"/>
    </row>
    <row r="851" spans="1:1" ht="15.75" customHeight="1" thickBot="1" x14ac:dyDescent="0.3">
      <c r="A851" s="9"/>
    </row>
    <row r="852" spans="1:1" ht="15.75" customHeight="1" thickBot="1" x14ac:dyDescent="0.3">
      <c r="A852" s="9"/>
    </row>
    <row r="853" spans="1:1" ht="15.75" customHeight="1" thickBot="1" x14ac:dyDescent="0.3">
      <c r="A853" s="9"/>
    </row>
    <row r="854" spans="1:1" ht="15.75" customHeight="1" thickBot="1" x14ac:dyDescent="0.3">
      <c r="A854" s="9"/>
    </row>
    <row r="855" spans="1:1" ht="15.75" customHeight="1" thickBot="1" x14ac:dyDescent="0.3">
      <c r="A855" s="9"/>
    </row>
    <row r="856" spans="1:1" ht="15.75" customHeight="1" thickBot="1" x14ac:dyDescent="0.3">
      <c r="A856" s="9"/>
    </row>
    <row r="857" spans="1:1" ht="15.75" customHeight="1" thickBot="1" x14ac:dyDescent="0.3">
      <c r="A857" s="9"/>
    </row>
    <row r="858" spans="1:1" ht="15.75" customHeight="1" thickBot="1" x14ac:dyDescent="0.3">
      <c r="A858" s="9"/>
    </row>
    <row r="859" spans="1:1" ht="15.75" customHeight="1" thickBot="1" x14ac:dyDescent="0.3">
      <c r="A859" s="9"/>
    </row>
    <row r="860" spans="1:1" ht="15.75" customHeight="1" thickBot="1" x14ac:dyDescent="0.3">
      <c r="A860" s="9"/>
    </row>
    <row r="861" spans="1:1" ht="15.75" customHeight="1" thickBot="1" x14ac:dyDescent="0.3">
      <c r="A861" s="9"/>
    </row>
    <row r="862" spans="1:1" ht="15.75" customHeight="1" thickBot="1" x14ac:dyDescent="0.3">
      <c r="A862" s="9"/>
    </row>
    <row r="863" spans="1:1" ht="15.75" customHeight="1" thickBot="1" x14ac:dyDescent="0.3">
      <c r="A863" s="9"/>
    </row>
    <row r="864" spans="1:1" ht="15.75" customHeight="1" thickBot="1" x14ac:dyDescent="0.3">
      <c r="A864" s="9"/>
    </row>
    <row r="865" spans="1:1" ht="15.75" customHeight="1" thickBot="1" x14ac:dyDescent="0.3">
      <c r="A865" s="9"/>
    </row>
    <row r="866" spans="1:1" ht="15.75" customHeight="1" thickBot="1" x14ac:dyDescent="0.3">
      <c r="A866" s="9"/>
    </row>
    <row r="867" spans="1:1" ht="15.75" customHeight="1" thickBot="1" x14ac:dyDescent="0.3">
      <c r="A867" s="9"/>
    </row>
    <row r="868" spans="1:1" ht="15.75" customHeight="1" thickBot="1" x14ac:dyDescent="0.3">
      <c r="A868" s="9"/>
    </row>
    <row r="869" spans="1:1" ht="15.75" customHeight="1" thickBot="1" x14ac:dyDescent="0.3">
      <c r="A869" s="9"/>
    </row>
    <row r="870" spans="1:1" ht="15.75" customHeight="1" thickBot="1" x14ac:dyDescent="0.3">
      <c r="A870" s="9"/>
    </row>
    <row r="871" spans="1:1" ht="15.75" customHeight="1" thickBot="1" x14ac:dyDescent="0.3">
      <c r="A871" s="9"/>
    </row>
    <row r="872" spans="1:1" ht="15.75" customHeight="1" thickBot="1" x14ac:dyDescent="0.3">
      <c r="A872" s="9"/>
    </row>
    <row r="873" spans="1:1" ht="15.75" customHeight="1" thickBot="1" x14ac:dyDescent="0.3">
      <c r="A873" s="9"/>
    </row>
    <row r="874" spans="1:1" ht="15.75" customHeight="1" thickBot="1" x14ac:dyDescent="0.3">
      <c r="A874" s="9"/>
    </row>
    <row r="875" spans="1:1" ht="15.75" customHeight="1" thickBot="1" x14ac:dyDescent="0.3">
      <c r="A875" s="9"/>
    </row>
    <row r="876" spans="1:1" ht="15.75" customHeight="1" thickBot="1" x14ac:dyDescent="0.3">
      <c r="A876" s="9"/>
    </row>
    <row r="877" spans="1:1" ht="15.75" customHeight="1" thickBot="1" x14ac:dyDescent="0.3">
      <c r="A877" s="9"/>
    </row>
    <row r="878" spans="1:1" ht="15.75" customHeight="1" thickBot="1" x14ac:dyDescent="0.3">
      <c r="A878" s="9"/>
    </row>
    <row r="879" spans="1:1" ht="15.75" customHeight="1" thickBot="1" x14ac:dyDescent="0.3">
      <c r="A879" s="9"/>
    </row>
    <row r="880" spans="1:1" ht="15.75" customHeight="1" thickBot="1" x14ac:dyDescent="0.3">
      <c r="A880" s="9"/>
    </row>
    <row r="881" spans="1:1" ht="15.75" customHeight="1" thickBot="1" x14ac:dyDescent="0.3">
      <c r="A881" s="9"/>
    </row>
    <row r="882" spans="1:1" ht="15.75" customHeight="1" thickBot="1" x14ac:dyDescent="0.3">
      <c r="A882" s="9"/>
    </row>
    <row r="883" spans="1:1" ht="15.75" customHeight="1" thickBot="1" x14ac:dyDescent="0.3">
      <c r="A883" s="9"/>
    </row>
    <row r="884" spans="1:1" ht="15.75" customHeight="1" thickBot="1" x14ac:dyDescent="0.3">
      <c r="A884" s="9"/>
    </row>
    <row r="885" spans="1:1" ht="15.75" customHeight="1" thickBot="1" x14ac:dyDescent="0.3">
      <c r="A885" s="9"/>
    </row>
    <row r="886" spans="1:1" ht="15.75" customHeight="1" thickBot="1" x14ac:dyDescent="0.3">
      <c r="A886" s="9"/>
    </row>
    <row r="887" spans="1:1" ht="15.75" customHeight="1" thickBot="1" x14ac:dyDescent="0.3">
      <c r="A887" s="9"/>
    </row>
    <row r="888" spans="1:1" ht="15.75" customHeight="1" thickBot="1" x14ac:dyDescent="0.3">
      <c r="A888" s="9"/>
    </row>
    <row r="889" spans="1:1" ht="15.75" customHeight="1" thickBot="1" x14ac:dyDescent="0.3">
      <c r="A889" s="9"/>
    </row>
    <row r="890" spans="1:1" ht="15.75" customHeight="1" thickBot="1" x14ac:dyDescent="0.3">
      <c r="A890" s="9"/>
    </row>
    <row r="891" spans="1:1" ht="15.75" customHeight="1" thickBot="1" x14ac:dyDescent="0.3">
      <c r="A891" s="9"/>
    </row>
    <row r="892" spans="1:1" ht="15.75" customHeight="1" thickBot="1" x14ac:dyDescent="0.3">
      <c r="A892" s="9"/>
    </row>
    <row r="893" spans="1:1" ht="15.75" customHeight="1" thickBot="1" x14ac:dyDescent="0.3">
      <c r="A893" s="9"/>
    </row>
    <row r="894" spans="1:1" ht="15.75" customHeight="1" thickBot="1" x14ac:dyDescent="0.3">
      <c r="A894" s="9"/>
    </row>
    <row r="895" spans="1:1" ht="15.75" customHeight="1" thickBot="1" x14ac:dyDescent="0.3">
      <c r="A895" s="9"/>
    </row>
    <row r="896" spans="1:1" ht="15.75" customHeight="1" thickBot="1" x14ac:dyDescent="0.3">
      <c r="A896" s="9"/>
    </row>
    <row r="897" spans="1:1" ht="15.75" customHeight="1" thickBot="1" x14ac:dyDescent="0.3">
      <c r="A897" s="9"/>
    </row>
    <row r="898" spans="1:1" ht="15.75" customHeight="1" thickBot="1" x14ac:dyDescent="0.3">
      <c r="A898" s="9"/>
    </row>
    <row r="899" spans="1:1" ht="15.75" customHeight="1" thickBot="1" x14ac:dyDescent="0.3">
      <c r="A899" s="9"/>
    </row>
    <row r="900" spans="1:1" ht="15.75" customHeight="1" thickBot="1" x14ac:dyDescent="0.3">
      <c r="A900" s="9"/>
    </row>
    <row r="901" spans="1:1" ht="15.75" customHeight="1" thickBot="1" x14ac:dyDescent="0.3">
      <c r="A901" s="9"/>
    </row>
    <row r="902" spans="1:1" ht="15.75" customHeight="1" thickBot="1" x14ac:dyDescent="0.3">
      <c r="A902" s="9"/>
    </row>
    <row r="903" spans="1:1" ht="15.75" customHeight="1" thickBot="1" x14ac:dyDescent="0.3">
      <c r="A903" s="9"/>
    </row>
    <row r="904" spans="1:1" ht="15.75" customHeight="1" thickBot="1" x14ac:dyDescent="0.3">
      <c r="A904" s="9"/>
    </row>
    <row r="905" spans="1:1" ht="15.75" customHeight="1" thickBot="1" x14ac:dyDescent="0.3">
      <c r="A905" s="9"/>
    </row>
    <row r="906" spans="1:1" ht="15.75" customHeight="1" thickBot="1" x14ac:dyDescent="0.3">
      <c r="A906" s="9"/>
    </row>
    <row r="907" spans="1:1" ht="15.75" customHeight="1" thickBot="1" x14ac:dyDescent="0.3">
      <c r="A907" s="9"/>
    </row>
    <row r="908" spans="1:1" ht="15.75" customHeight="1" thickBot="1" x14ac:dyDescent="0.3">
      <c r="A908" s="9"/>
    </row>
    <row r="909" spans="1:1" ht="15.75" customHeight="1" thickBot="1" x14ac:dyDescent="0.3">
      <c r="A909" s="9"/>
    </row>
    <row r="910" spans="1:1" ht="15.75" customHeight="1" thickBot="1" x14ac:dyDescent="0.3">
      <c r="A910" s="9"/>
    </row>
    <row r="911" spans="1:1" ht="15.75" customHeight="1" thickBot="1" x14ac:dyDescent="0.3">
      <c r="A911" s="9"/>
    </row>
    <row r="912" spans="1:1" ht="15.75" customHeight="1" thickBot="1" x14ac:dyDescent="0.3">
      <c r="A912" s="9"/>
    </row>
    <row r="913" spans="1:1" ht="15.75" customHeight="1" thickBot="1" x14ac:dyDescent="0.3">
      <c r="A913" s="9"/>
    </row>
    <row r="914" spans="1:1" ht="15.75" customHeight="1" thickBot="1" x14ac:dyDescent="0.3">
      <c r="A914" s="9"/>
    </row>
    <row r="915" spans="1:1" ht="15.75" customHeight="1" thickBot="1" x14ac:dyDescent="0.3">
      <c r="A915" s="9"/>
    </row>
    <row r="916" spans="1:1" ht="15.75" customHeight="1" thickBot="1" x14ac:dyDescent="0.3">
      <c r="A916" s="9"/>
    </row>
    <row r="917" spans="1:1" ht="15.75" customHeight="1" thickBot="1" x14ac:dyDescent="0.3">
      <c r="A917" s="9"/>
    </row>
    <row r="918" spans="1:1" ht="15.75" customHeight="1" thickBot="1" x14ac:dyDescent="0.3">
      <c r="A918" s="9"/>
    </row>
    <row r="919" spans="1:1" ht="15.75" customHeight="1" thickBot="1" x14ac:dyDescent="0.3">
      <c r="A919" s="9"/>
    </row>
    <row r="920" spans="1:1" ht="15.75" customHeight="1" thickBot="1" x14ac:dyDescent="0.3">
      <c r="A920" s="9"/>
    </row>
    <row r="921" spans="1:1" ht="15.75" customHeight="1" thickBot="1" x14ac:dyDescent="0.3">
      <c r="A921" s="9"/>
    </row>
    <row r="922" spans="1:1" ht="15.75" customHeight="1" thickBot="1" x14ac:dyDescent="0.3">
      <c r="A922" s="9"/>
    </row>
    <row r="923" spans="1:1" ht="15.75" customHeight="1" thickBot="1" x14ac:dyDescent="0.3">
      <c r="A923" s="9"/>
    </row>
    <row r="924" spans="1:1" ht="15.75" customHeight="1" thickBot="1" x14ac:dyDescent="0.3">
      <c r="A924" s="9"/>
    </row>
    <row r="925" spans="1:1" ht="15.75" customHeight="1" thickBot="1" x14ac:dyDescent="0.3">
      <c r="A925" s="9"/>
    </row>
    <row r="926" spans="1:1" ht="15.75" customHeight="1" thickBot="1" x14ac:dyDescent="0.3">
      <c r="A926" s="9"/>
    </row>
    <row r="927" spans="1:1" ht="15.75" customHeight="1" thickBot="1" x14ac:dyDescent="0.3">
      <c r="A927" s="9"/>
    </row>
    <row r="928" spans="1:1" ht="15.75" customHeight="1" thickBot="1" x14ac:dyDescent="0.3">
      <c r="A928" s="9"/>
    </row>
    <row r="929" spans="1:1" ht="15.75" customHeight="1" thickBot="1" x14ac:dyDescent="0.3">
      <c r="A929" s="9"/>
    </row>
    <row r="930" spans="1:1" ht="15.75" customHeight="1" thickBot="1" x14ac:dyDescent="0.3">
      <c r="A930" s="9"/>
    </row>
    <row r="931" spans="1:1" ht="15.75" customHeight="1" thickBot="1" x14ac:dyDescent="0.3">
      <c r="A931" s="9"/>
    </row>
    <row r="932" spans="1:1" ht="15.75" customHeight="1" thickBot="1" x14ac:dyDescent="0.3">
      <c r="A932" s="9"/>
    </row>
    <row r="933" spans="1:1" ht="15.75" customHeight="1" thickBot="1" x14ac:dyDescent="0.3">
      <c r="A933" s="9"/>
    </row>
    <row r="934" spans="1:1" ht="15.75" customHeight="1" thickBot="1" x14ac:dyDescent="0.3">
      <c r="A934" s="9"/>
    </row>
    <row r="935" spans="1:1" ht="15.75" customHeight="1" thickBot="1" x14ac:dyDescent="0.3">
      <c r="A935" s="9"/>
    </row>
    <row r="936" spans="1:1" ht="15.75" customHeight="1" thickBot="1" x14ac:dyDescent="0.3">
      <c r="A936" s="9"/>
    </row>
    <row r="937" spans="1:1" ht="15.75" customHeight="1" thickBot="1" x14ac:dyDescent="0.3">
      <c r="A937" s="9"/>
    </row>
    <row r="938" spans="1:1" ht="15.75" customHeight="1" thickBot="1" x14ac:dyDescent="0.3">
      <c r="A938" s="9"/>
    </row>
    <row r="939" spans="1:1" ht="15.75" customHeight="1" thickBot="1" x14ac:dyDescent="0.3">
      <c r="A939" s="9"/>
    </row>
    <row r="940" spans="1:1" ht="15.75" customHeight="1" thickBot="1" x14ac:dyDescent="0.3">
      <c r="A940" s="9"/>
    </row>
    <row r="941" spans="1:1" ht="15.75" customHeight="1" thickBot="1" x14ac:dyDescent="0.3">
      <c r="A941" s="9"/>
    </row>
    <row r="942" spans="1:1" ht="15.75" customHeight="1" thickBot="1" x14ac:dyDescent="0.3">
      <c r="A942" s="9"/>
    </row>
    <row r="943" spans="1:1" ht="15.75" customHeight="1" thickBot="1" x14ac:dyDescent="0.3">
      <c r="A943" s="9"/>
    </row>
    <row r="944" spans="1:1" ht="15.75" customHeight="1" thickBot="1" x14ac:dyDescent="0.3">
      <c r="A944" s="9"/>
    </row>
    <row r="945" spans="1:1" ht="15.75" customHeight="1" thickBot="1" x14ac:dyDescent="0.3">
      <c r="A945" s="9"/>
    </row>
    <row r="946" spans="1:1" ht="15.75" customHeight="1" thickBot="1" x14ac:dyDescent="0.3">
      <c r="A946" s="9"/>
    </row>
    <row r="947" spans="1:1" ht="15.75" customHeight="1" thickBot="1" x14ac:dyDescent="0.3">
      <c r="A947" s="9"/>
    </row>
    <row r="948" spans="1:1" ht="15.75" customHeight="1" thickBot="1" x14ac:dyDescent="0.3">
      <c r="A948" s="9"/>
    </row>
    <row r="949" spans="1:1" ht="15.75" customHeight="1" thickBot="1" x14ac:dyDescent="0.3">
      <c r="A949" s="9"/>
    </row>
    <row r="950" spans="1:1" ht="15.75" customHeight="1" thickBot="1" x14ac:dyDescent="0.3">
      <c r="A950" s="9"/>
    </row>
    <row r="951" spans="1:1" ht="15.75" customHeight="1" thickBot="1" x14ac:dyDescent="0.3">
      <c r="A951" s="9"/>
    </row>
    <row r="952" spans="1:1" ht="15.75" customHeight="1" thickBot="1" x14ac:dyDescent="0.3">
      <c r="A952" s="9"/>
    </row>
    <row r="953" spans="1:1" ht="15.75" customHeight="1" thickBot="1" x14ac:dyDescent="0.3">
      <c r="A953" s="9"/>
    </row>
    <row r="954" spans="1:1" ht="15.75" customHeight="1" thickBot="1" x14ac:dyDescent="0.3">
      <c r="A954" s="9"/>
    </row>
    <row r="955" spans="1:1" ht="15.75" customHeight="1" thickBot="1" x14ac:dyDescent="0.3">
      <c r="A955" s="9"/>
    </row>
    <row r="956" spans="1:1" ht="15.75" customHeight="1" thickBot="1" x14ac:dyDescent="0.3">
      <c r="A956" s="9"/>
    </row>
    <row r="957" spans="1:1" ht="15.75" customHeight="1" thickBot="1" x14ac:dyDescent="0.3">
      <c r="A957" s="9"/>
    </row>
    <row r="958" spans="1:1" ht="15.75" customHeight="1" thickBot="1" x14ac:dyDescent="0.3">
      <c r="A958" s="9"/>
    </row>
    <row r="959" spans="1:1" ht="15.75" customHeight="1" thickBot="1" x14ac:dyDescent="0.3">
      <c r="A959" s="9"/>
    </row>
    <row r="960" spans="1:1" ht="15.75" customHeight="1" thickBot="1" x14ac:dyDescent="0.3">
      <c r="A960" s="9"/>
    </row>
    <row r="961" spans="1:1" ht="15.75" customHeight="1" thickBot="1" x14ac:dyDescent="0.3">
      <c r="A961" s="9"/>
    </row>
    <row r="962" spans="1:1" ht="15.75" customHeight="1" thickBot="1" x14ac:dyDescent="0.3">
      <c r="A962" s="9"/>
    </row>
    <row r="963" spans="1:1" ht="15.75" customHeight="1" thickBot="1" x14ac:dyDescent="0.3">
      <c r="A963" s="9"/>
    </row>
    <row r="964" spans="1:1" ht="15.75" customHeight="1" thickBot="1" x14ac:dyDescent="0.3">
      <c r="A964" s="9"/>
    </row>
    <row r="965" spans="1:1" ht="15.75" customHeight="1" thickBot="1" x14ac:dyDescent="0.3">
      <c r="A965" s="9"/>
    </row>
    <row r="966" spans="1:1" ht="15.75" customHeight="1" thickBot="1" x14ac:dyDescent="0.3">
      <c r="A966" s="9"/>
    </row>
    <row r="967" spans="1:1" ht="15.75" customHeight="1" thickBot="1" x14ac:dyDescent="0.3">
      <c r="A967" s="9"/>
    </row>
    <row r="968" spans="1:1" ht="15.75" customHeight="1" thickBot="1" x14ac:dyDescent="0.3">
      <c r="A968" s="9"/>
    </row>
    <row r="969" spans="1:1" ht="15.75" customHeight="1" thickBot="1" x14ac:dyDescent="0.3">
      <c r="A969" s="9"/>
    </row>
    <row r="970" spans="1:1" ht="15.75" customHeight="1" thickBot="1" x14ac:dyDescent="0.3">
      <c r="A970" s="9"/>
    </row>
    <row r="971" spans="1:1" ht="15.75" customHeight="1" thickBot="1" x14ac:dyDescent="0.3">
      <c r="A971" s="9"/>
    </row>
    <row r="972" spans="1:1" ht="15.75" customHeight="1" thickBot="1" x14ac:dyDescent="0.3">
      <c r="A972" s="9"/>
    </row>
    <row r="973" spans="1:1" ht="15.75" customHeight="1" thickBot="1" x14ac:dyDescent="0.3">
      <c r="A973" s="9"/>
    </row>
    <row r="974" spans="1:1" ht="15.75" customHeight="1" thickBot="1" x14ac:dyDescent="0.3">
      <c r="A974" s="9"/>
    </row>
    <row r="975" spans="1:1" ht="15.75" customHeight="1" thickBot="1" x14ac:dyDescent="0.3">
      <c r="A975" s="9"/>
    </row>
    <row r="976" spans="1:1" ht="15.75" customHeight="1" thickBot="1" x14ac:dyDescent="0.3">
      <c r="A976" s="9"/>
    </row>
    <row r="977" spans="1:1" ht="15.75" customHeight="1" thickBot="1" x14ac:dyDescent="0.3">
      <c r="A977" s="9"/>
    </row>
    <row r="978" spans="1:1" ht="15.75" customHeight="1" thickBot="1" x14ac:dyDescent="0.3">
      <c r="A978" s="9"/>
    </row>
    <row r="979" spans="1:1" ht="15.75" customHeight="1" thickBot="1" x14ac:dyDescent="0.3">
      <c r="A979" s="9"/>
    </row>
    <row r="980" spans="1:1" ht="15.75" customHeight="1" thickBot="1" x14ac:dyDescent="0.3">
      <c r="A980" s="9"/>
    </row>
    <row r="981" spans="1:1" ht="15.75" customHeight="1" thickBot="1" x14ac:dyDescent="0.3">
      <c r="A981" s="9"/>
    </row>
    <row r="982" spans="1:1" ht="15.75" customHeight="1" thickBot="1" x14ac:dyDescent="0.3">
      <c r="A982" s="9"/>
    </row>
    <row r="983" spans="1:1" ht="15.75" customHeight="1" thickBot="1" x14ac:dyDescent="0.3">
      <c r="A983" s="9"/>
    </row>
    <row r="984" spans="1:1" ht="15.75" customHeight="1" thickBot="1" x14ac:dyDescent="0.3">
      <c r="A984" s="9"/>
    </row>
    <row r="985" spans="1:1" ht="15.75" customHeight="1" thickBot="1" x14ac:dyDescent="0.3">
      <c r="A985" s="9"/>
    </row>
    <row r="986" spans="1:1" ht="15.75" customHeight="1" thickBot="1" x14ac:dyDescent="0.3">
      <c r="A986" s="9"/>
    </row>
    <row r="987" spans="1:1" ht="15.75" customHeight="1" thickBot="1" x14ac:dyDescent="0.3">
      <c r="A987" s="9"/>
    </row>
    <row r="988" spans="1:1" ht="15.75" customHeight="1" thickBot="1" x14ac:dyDescent="0.3">
      <c r="A988" s="9"/>
    </row>
    <row r="989" spans="1:1" ht="15.75" customHeight="1" thickBot="1" x14ac:dyDescent="0.3">
      <c r="A989" s="9"/>
    </row>
    <row r="990" spans="1:1" ht="15.75" customHeight="1" thickBot="1" x14ac:dyDescent="0.3">
      <c r="A990" s="9"/>
    </row>
    <row r="991" spans="1:1" ht="15.75" customHeight="1" thickBot="1" x14ac:dyDescent="0.3">
      <c r="A991" s="9"/>
    </row>
    <row r="992" spans="1:1" ht="15.75" customHeight="1" thickBot="1" x14ac:dyDescent="0.3">
      <c r="A992" s="9"/>
    </row>
    <row r="993" spans="1:1" ht="15.75" customHeight="1" thickBot="1" x14ac:dyDescent="0.3">
      <c r="A993" s="9"/>
    </row>
    <row r="994" spans="1:1" ht="15.75" customHeight="1" thickBot="1" x14ac:dyDescent="0.3">
      <c r="A994" s="9"/>
    </row>
    <row r="995" spans="1:1" ht="15.75" customHeight="1" thickBot="1" x14ac:dyDescent="0.3">
      <c r="A995" s="9"/>
    </row>
    <row r="996" spans="1:1" ht="15.75" customHeight="1" thickBot="1" x14ac:dyDescent="0.3">
      <c r="A996" s="9"/>
    </row>
    <row r="997" spans="1:1" ht="15.75" customHeight="1" thickBot="1" x14ac:dyDescent="0.3">
      <c r="A997" s="9"/>
    </row>
    <row r="998" spans="1:1" ht="15.75" customHeight="1" thickBot="1" x14ac:dyDescent="0.3">
      <c r="A998" s="9"/>
    </row>
    <row r="999" spans="1:1" ht="15.75" customHeight="1" thickBot="1" x14ac:dyDescent="0.3">
      <c r="A999" s="9"/>
    </row>
    <row r="1000" spans="1:1" ht="15.75" customHeight="1" thickBot="1" x14ac:dyDescent="0.3">
      <c r="A1000" s="9"/>
    </row>
    <row r="1001" spans="1:1" ht="15.75" customHeight="1" thickBot="1" x14ac:dyDescent="0.3">
      <c r="A1001" s="9"/>
    </row>
    <row r="1002" spans="1:1" ht="15.75" customHeight="1" thickBot="1" x14ac:dyDescent="0.3">
      <c r="A1002" s="9"/>
    </row>
    <row r="1003" spans="1:1" ht="15.75" customHeight="1" thickBot="1" x14ac:dyDescent="0.3">
      <c r="A1003" s="9"/>
    </row>
    <row r="1004" spans="1:1" ht="15.75" customHeight="1" thickBot="1" x14ac:dyDescent="0.3">
      <c r="A1004" s="9"/>
    </row>
    <row r="1005" spans="1:1" ht="15.75" customHeight="1" thickBot="1" x14ac:dyDescent="0.3">
      <c r="A1005" s="9"/>
    </row>
    <row r="1006" spans="1:1" ht="15.75" customHeight="1" thickBot="1" x14ac:dyDescent="0.3">
      <c r="A1006" s="9"/>
    </row>
    <row r="1007" spans="1:1" ht="15.75" customHeight="1" thickBot="1" x14ac:dyDescent="0.3">
      <c r="A1007" s="9"/>
    </row>
    <row r="1008" spans="1:1" ht="15.75" customHeight="1" thickBot="1" x14ac:dyDescent="0.3">
      <c r="A1008" s="9"/>
    </row>
    <row r="1009" spans="1:1" ht="15.75" customHeight="1" thickBot="1" x14ac:dyDescent="0.3">
      <c r="A1009" s="9"/>
    </row>
    <row r="1010" spans="1:1" ht="15.75" customHeight="1" thickBot="1" x14ac:dyDescent="0.3">
      <c r="A1010" s="9"/>
    </row>
    <row r="1011" spans="1:1" ht="15.75" customHeight="1" thickBot="1" x14ac:dyDescent="0.3">
      <c r="A1011" s="9"/>
    </row>
    <row r="1012" spans="1:1" ht="15.75" customHeight="1" thickBot="1" x14ac:dyDescent="0.3">
      <c r="A1012" s="9"/>
    </row>
    <row r="1013" spans="1:1" ht="15.75" customHeight="1" thickBot="1" x14ac:dyDescent="0.3">
      <c r="A1013" s="9"/>
    </row>
    <row r="1014" spans="1:1" ht="15.75" customHeight="1" thickBot="1" x14ac:dyDescent="0.3">
      <c r="A1014" s="9"/>
    </row>
    <row r="1015" spans="1:1" ht="15.75" customHeight="1" thickBot="1" x14ac:dyDescent="0.3">
      <c r="A1015" s="9"/>
    </row>
    <row r="1016" spans="1:1" ht="15.75" customHeight="1" thickBot="1" x14ac:dyDescent="0.3">
      <c r="A1016" s="9"/>
    </row>
    <row r="1017" spans="1:1" ht="15.75" customHeight="1" thickBot="1" x14ac:dyDescent="0.3">
      <c r="A1017" s="9"/>
    </row>
    <row r="1018" spans="1:1" ht="15.75" customHeight="1" thickBot="1" x14ac:dyDescent="0.3">
      <c r="A1018" s="9"/>
    </row>
    <row r="1019" spans="1:1" ht="15.75" customHeight="1" thickBot="1" x14ac:dyDescent="0.3">
      <c r="A1019" s="9"/>
    </row>
    <row r="1020" spans="1:1" ht="15.75" customHeight="1" thickBot="1" x14ac:dyDescent="0.3">
      <c r="A1020" s="9"/>
    </row>
    <row r="1021" spans="1:1" ht="15.75" customHeight="1" thickBot="1" x14ac:dyDescent="0.3">
      <c r="A1021" s="9"/>
    </row>
    <row r="1022" spans="1:1" ht="15.75" customHeight="1" thickBot="1" x14ac:dyDescent="0.3">
      <c r="A1022" s="9"/>
    </row>
    <row r="1023" spans="1:1" ht="15.75" customHeight="1" thickBot="1" x14ac:dyDescent="0.3">
      <c r="A1023" s="9"/>
    </row>
    <row r="1024" spans="1:1" ht="15.75" customHeight="1" thickBot="1" x14ac:dyDescent="0.3">
      <c r="A1024" s="9"/>
    </row>
    <row r="1025" spans="1:1" ht="15.75" customHeight="1" thickBot="1" x14ac:dyDescent="0.3">
      <c r="A1025" s="9"/>
    </row>
    <row r="1026" spans="1:1" ht="15.75" customHeight="1" thickBot="1" x14ac:dyDescent="0.3">
      <c r="A1026" s="9"/>
    </row>
    <row r="1027" spans="1:1" ht="15.75" customHeight="1" thickBot="1" x14ac:dyDescent="0.3">
      <c r="A1027" s="9"/>
    </row>
    <row r="1028" spans="1:1" ht="15.75" customHeight="1" thickBot="1" x14ac:dyDescent="0.3">
      <c r="A1028" s="9"/>
    </row>
    <row r="1029" spans="1:1" ht="15.75" customHeight="1" thickBot="1" x14ac:dyDescent="0.3">
      <c r="A1029" s="9"/>
    </row>
    <row r="1030" spans="1:1" ht="15.75" customHeight="1" thickBot="1" x14ac:dyDescent="0.3">
      <c r="A1030" s="9"/>
    </row>
    <row r="1031" spans="1:1" ht="15.75" customHeight="1" thickBot="1" x14ac:dyDescent="0.3">
      <c r="A1031" s="9"/>
    </row>
    <row r="1032" spans="1:1" ht="15.75" customHeight="1" thickBot="1" x14ac:dyDescent="0.3">
      <c r="A1032" s="9"/>
    </row>
    <row r="1033" spans="1:1" ht="15.75" customHeight="1" thickBot="1" x14ac:dyDescent="0.3">
      <c r="A1033" s="9"/>
    </row>
    <row r="1034" spans="1:1" ht="15.75" customHeight="1" thickBot="1" x14ac:dyDescent="0.3">
      <c r="A1034" s="9"/>
    </row>
    <row r="1035" spans="1:1" ht="15.75" customHeight="1" thickBot="1" x14ac:dyDescent="0.3">
      <c r="A1035" s="9"/>
    </row>
    <row r="1036" spans="1:1" ht="15.75" customHeight="1" thickBot="1" x14ac:dyDescent="0.3">
      <c r="A1036" s="9"/>
    </row>
    <row r="1037" spans="1:1" ht="15.75" customHeight="1" thickBot="1" x14ac:dyDescent="0.3">
      <c r="A1037" s="9"/>
    </row>
    <row r="1038" spans="1:1" ht="15.75" customHeight="1" thickBot="1" x14ac:dyDescent="0.3">
      <c r="A1038" s="9"/>
    </row>
    <row r="1039" spans="1:1" ht="15.75" customHeight="1" thickBot="1" x14ac:dyDescent="0.3">
      <c r="A1039" s="9"/>
    </row>
    <row r="1040" spans="1:1" ht="15.75" customHeight="1" thickBot="1" x14ac:dyDescent="0.3">
      <c r="A1040" s="9"/>
    </row>
    <row r="1041" spans="1:1" ht="15.75" customHeight="1" thickBot="1" x14ac:dyDescent="0.3">
      <c r="A1041" s="9"/>
    </row>
    <row r="1042" spans="1:1" ht="15.75" customHeight="1" thickBot="1" x14ac:dyDescent="0.3">
      <c r="A1042" s="9"/>
    </row>
    <row r="1043" spans="1:1" ht="15.75" customHeight="1" thickBot="1" x14ac:dyDescent="0.3">
      <c r="A1043" s="9"/>
    </row>
    <row r="1044" spans="1:1" ht="15.75" customHeight="1" thickBot="1" x14ac:dyDescent="0.3">
      <c r="A1044" s="9"/>
    </row>
    <row r="1045" spans="1:1" ht="15.75" customHeight="1" thickBot="1" x14ac:dyDescent="0.3">
      <c r="A1045" s="9"/>
    </row>
    <row r="1046" spans="1:1" ht="15.75" customHeight="1" thickBot="1" x14ac:dyDescent="0.3">
      <c r="A1046" s="9"/>
    </row>
    <row r="1047" spans="1:1" ht="15.75" customHeight="1" thickBot="1" x14ac:dyDescent="0.3">
      <c r="A1047" s="9"/>
    </row>
    <row r="1048" spans="1:1" ht="15.75" customHeight="1" thickBot="1" x14ac:dyDescent="0.3">
      <c r="A1048" s="9"/>
    </row>
    <row r="1049" spans="1:1" ht="15.75" customHeight="1" thickBot="1" x14ac:dyDescent="0.3">
      <c r="A1049" s="9"/>
    </row>
    <row r="1050" spans="1:1" ht="15.75" customHeight="1" thickBot="1" x14ac:dyDescent="0.3">
      <c r="A1050" s="9"/>
    </row>
    <row r="1051" spans="1:1" ht="15.75" customHeight="1" thickBot="1" x14ac:dyDescent="0.3">
      <c r="A1051" s="9"/>
    </row>
    <row r="1052" spans="1:1" ht="15.75" customHeight="1" thickBot="1" x14ac:dyDescent="0.3">
      <c r="A1052" s="9"/>
    </row>
    <row r="1053" spans="1:1" ht="15.75" customHeight="1" thickBot="1" x14ac:dyDescent="0.3">
      <c r="A1053" s="9"/>
    </row>
    <row r="1054" spans="1:1" ht="15.75" customHeight="1" thickBot="1" x14ac:dyDescent="0.3">
      <c r="A1054" s="9"/>
    </row>
    <row r="1055" spans="1:1" ht="15.75" customHeight="1" thickBot="1" x14ac:dyDescent="0.3">
      <c r="A1055" s="9"/>
    </row>
    <row r="1056" spans="1:1" ht="15.75" customHeight="1" thickBot="1" x14ac:dyDescent="0.3">
      <c r="A1056" s="9"/>
    </row>
    <row r="1057" spans="1:1" ht="15.75" customHeight="1" thickBot="1" x14ac:dyDescent="0.3">
      <c r="A1057" s="9"/>
    </row>
    <row r="1058" spans="1:1" ht="15.75" customHeight="1" thickBot="1" x14ac:dyDescent="0.3">
      <c r="A1058" s="9"/>
    </row>
    <row r="1059" spans="1:1" ht="15.75" customHeight="1" thickBot="1" x14ac:dyDescent="0.3">
      <c r="A1059" s="9"/>
    </row>
    <row r="1060" spans="1:1" ht="15.75" customHeight="1" thickBot="1" x14ac:dyDescent="0.3">
      <c r="A1060" s="9"/>
    </row>
    <row r="1061" spans="1:1" ht="15.75" customHeight="1" thickBot="1" x14ac:dyDescent="0.3">
      <c r="A1061" s="9"/>
    </row>
    <row r="1062" spans="1:1" ht="15.75" customHeight="1" thickBot="1" x14ac:dyDescent="0.3">
      <c r="A1062" s="9"/>
    </row>
    <row r="1063" spans="1:1" ht="15.75" customHeight="1" thickBot="1" x14ac:dyDescent="0.3">
      <c r="A1063" s="9"/>
    </row>
    <row r="1064" spans="1:1" ht="15.75" customHeight="1" thickBot="1" x14ac:dyDescent="0.3">
      <c r="A1064" s="9"/>
    </row>
    <row r="1065" spans="1:1" ht="15.75" customHeight="1" thickBot="1" x14ac:dyDescent="0.3">
      <c r="A1065" s="9"/>
    </row>
    <row r="1066" spans="1:1" ht="15.75" customHeight="1" thickBot="1" x14ac:dyDescent="0.3">
      <c r="A1066" s="9"/>
    </row>
    <row r="1067" spans="1:1" ht="15.75" customHeight="1" thickBot="1" x14ac:dyDescent="0.3">
      <c r="A1067" s="9"/>
    </row>
    <row r="1068" spans="1:1" ht="15.75" customHeight="1" thickBot="1" x14ac:dyDescent="0.3">
      <c r="A1068" s="9"/>
    </row>
    <row r="1069" spans="1:1" ht="15.75" customHeight="1" thickBot="1" x14ac:dyDescent="0.3">
      <c r="A1069" s="9"/>
    </row>
    <row r="1070" spans="1:1" ht="15.75" customHeight="1" thickBot="1" x14ac:dyDescent="0.3">
      <c r="A1070" s="9"/>
    </row>
    <row r="1071" spans="1:1" ht="15.75" customHeight="1" thickBot="1" x14ac:dyDescent="0.3">
      <c r="A1071" s="9"/>
    </row>
    <row r="1072" spans="1:1" ht="15.75" customHeight="1" thickBot="1" x14ac:dyDescent="0.3">
      <c r="A1072" s="9"/>
    </row>
    <row r="1073" spans="1:1" ht="15.75" customHeight="1" thickBot="1" x14ac:dyDescent="0.3">
      <c r="A1073" s="9"/>
    </row>
    <row r="1074" spans="1:1" ht="15.75" customHeight="1" thickBot="1" x14ac:dyDescent="0.3">
      <c r="A1074" s="9"/>
    </row>
    <row r="1075" spans="1:1" ht="15.75" customHeight="1" thickBot="1" x14ac:dyDescent="0.3">
      <c r="A1075" s="9"/>
    </row>
    <row r="1076" spans="1:1" ht="15.75" customHeight="1" thickBot="1" x14ac:dyDescent="0.3">
      <c r="A1076" s="9"/>
    </row>
    <row r="1077" spans="1:1" ht="15.75" customHeight="1" thickBot="1" x14ac:dyDescent="0.3">
      <c r="A1077" s="9"/>
    </row>
    <row r="1078" spans="1:1" ht="15.75" customHeight="1" thickBot="1" x14ac:dyDescent="0.3">
      <c r="A1078" s="9"/>
    </row>
    <row r="1079" spans="1:1" ht="15.75" customHeight="1" thickBot="1" x14ac:dyDescent="0.3">
      <c r="A1079" s="9"/>
    </row>
    <row r="1080" spans="1:1" ht="15.75" customHeight="1" thickBot="1" x14ac:dyDescent="0.3">
      <c r="A1080" s="9"/>
    </row>
    <row r="1081" spans="1:1" ht="15.75" customHeight="1" thickBot="1" x14ac:dyDescent="0.3">
      <c r="A1081" s="9"/>
    </row>
    <row r="1082" spans="1:1" ht="15.75" customHeight="1" thickBot="1" x14ac:dyDescent="0.3">
      <c r="A1082" s="9"/>
    </row>
    <row r="1083" spans="1:1" ht="15.75" customHeight="1" thickBot="1" x14ac:dyDescent="0.3">
      <c r="A1083" s="9"/>
    </row>
    <row r="1084" spans="1:1" ht="15.75" customHeight="1" thickBot="1" x14ac:dyDescent="0.3">
      <c r="A1084" s="9"/>
    </row>
    <row r="1085" spans="1:1" ht="15.75" customHeight="1" thickBot="1" x14ac:dyDescent="0.3">
      <c r="A1085" s="9"/>
    </row>
    <row r="1086" spans="1:1" ht="15.75" customHeight="1" thickBot="1" x14ac:dyDescent="0.3">
      <c r="A1086" s="9"/>
    </row>
    <row r="1087" spans="1:1" ht="15.75" customHeight="1" thickBot="1" x14ac:dyDescent="0.3">
      <c r="A1087" s="9"/>
    </row>
    <row r="1088" spans="1:1" ht="15.75" customHeight="1" thickBot="1" x14ac:dyDescent="0.3">
      <c r="A1088" s="9"/>
    </row>
    <row r="1089" spans="1:1" ht="15.75" customHeight="1" thickBot="1" x14ac:dyDescent="0.3">
      <c r="A1089" s="9"/>
    </row>
    <row r="1090" spans="1:1" ht="15.75" customHeight="1" thickBot="1" x14ac:dyDescent="0.3">
      <c r="A1090" s="9"/>
    </row>
    <row r="1091" spans="1:1" ht="15.75" customHeight="1" thickBot="1" x14ac:dyDescent="0.3">
      <c r="A1091" s="9"/>
    </row>
    <row r="1092" spans="1:1" ht="15.75" customHeight="1" thickBot="1" x14ac:dyDescent="0.3">
      <c r="A1092" s="9"/>
    </row>
    <row r="1093" spans="1:1" ht="15.75" customHeight="1" thickBot="1" x14ac:dyDescent="0.3">
      <c r="A1093" s="9"/>
    </row>
    <row r="1094" spans="1:1" ht="15.75" customHeight="1" thickBot="1" x14ac:dyDescent="0.3">
      <c r="A1094" s="9"/>
    </row>
    <row r="1095" spans="1:1" ht="15.75" customHeight="1" thickBot="1" x14ac:dyDescent="0.3">
      <c r="A1095" s="9"/>
    </row>
    <row r="1096" spans="1:1" ht="15.75" customHeight="1" thickBot="1" x14ac:dyDescent="0.3">
      <c r="A1096" s="9"/>
    </row>
    <row r="1097" spans="1:1" ht="15.75" customHeight="1" thickBot="1" x14ac:dyDescent="0.3">
      <c r="A1097" s="9"/>
    </row>
    <row r="1098" spans="1:1" ht="15.75" customHeight="1" thickBot="1" x14ac:dyDescent="0.3">
      <c r="A1098" s="9"/>
    </row>
    <row r="1099" spans="1:1" ht="15.75" customHeight="1" thickBot="1" x14ac:dyDescent="0.3">
      <c r="A1099" s="9"/>
    </row>
    <row r="1100" spans="1:1" ht="15.75" customHeight="1" thickBot="1" x14ac:dyDescent="0.3">
      <c r="A1100" s="9"/>
    </row>
    <row r="1101" spans="1:1" ht="15.75" customHeight="1" thickBot="1" x14ac:dyDescent="0.3">
      <c r="A1101" s="9"/>
    </row>
    <row r="1102" spans="1:1" ht="15.75" customHeight="1" thickBot="1" x14ac:dyDescent="0.3">
      <c r="A1102" s="9"/>
    </row>
    <row r="1103" spans="1:1" ht="15.75" customHeight="1" thickBot="1" x14ac:dyDescent="0.3">
      <c r="A1103" s="9"/>
    </row>
    <row r="1104" spans="1:1" ht="15.75" customHeight="1" thickBot="1" x14ac:dyDescent="0.3">
      <c r="A1104" s="9"/>
    </row>
    <row r="1105" spans="1:1" ht="15.75" customHeight="1" thickBot="1" x14ac:dyDescent="0.3">
      <c r="A1105" s="9"/>
    </row>
    <row r="1106" spans="1:1" ht="15.75" customHeight="1" thickBot="1" x14ac:dyDescent="0.3">
      <c r="A1106" s="9"/>
    </row>
    <row r="1107" spans="1:1" ht="15.75" customHeight="1" thickBot="1" x14ac:dyDescent="0.3">
      <c r="A1107" s="9"/>
    </row>
    <row r="1108" spans="1:1" ht="15.75" customHeight="1" thickBot="1" x14ac:dyDescent="0.3">
      <c r="A1108" s="9"/>
    </row>
    <row r="1109" spans="1:1" ht="15.75" customHeight="1" thickBot="1" x14ac:dyDescent="0.3">
      <c r="A1109" s="9"/>
    </row>
    <row r="1110" spans="1:1" ht="15.75" customHeight="1" thickBot="1" x14ac:dyDescent="0.3">
      <c r="A1110" s="9"/>
    </row>
    <row r="1111" spans="1:1" ht="15.75" customHeight="1" thickBot="1" x14ac:dyDescent="0.3">
      <c r="A1111" s="9"/>
    </row>
    <row r="1112" spans="1:1" ht="15.75" customHeight="1" thickBot="1" x14ac:dyDescent="0.3">
      <c r="A1112" s="9"/>
    </row>
    <row r="1113" spans="1:1" ht="15.75" customHeight="1" thickBot="1" x14ac:dyDescent="0.3">
      <c r="A1113" s="9"/>
    </row>
    <row r="1114" spans="1:1" ht="15.75" customHeight="1" thickBot="1" x14ac:dyDescent="0.3">
      <c r="A1114" s="9"/>
    </row>
    <row r="1115" spans="1:1" ht="15.75" customHeight="1" thickBot="1" x14ac:dyDescent="0.3">
      <c r="A1115" s="9"/>
    </row>
    <row r="1116" spans="1:1" ht="15.75" customHeight="1" thickBot="1" x14ac:dyDescent="0.3">
      <c r="A1116" s="9"/>
    </row>
    <row r="1117" spans="1:1" ht="15.75" customHeight="1" thickBot="1" x14ac:dyDescent="0.3">
      <c r="A1117" s="9"/>
    </row>
    <row r="1118" spans="1:1" ht="15.75" customHeight="1" thickBot="1" x14ac:dyDescent="0.3">
      <c r="A1118" s="9"/>
    </row>
    <row r="1119" spans="1:1" ht="15.75" customHeight="1" thickBot="1" x14ac:dyDescent="0.3">
      <c r="A1119" s="9"/>
    </row>
    <row r="1120" spans="1:1" ht="15.75" customHeight="1" thickBot="1" x14ac:dyDescent="0.3">
      <c r="A1120" s="9"/>
    </row>
    <row r="1121" spans="1:1" ht="15.75" customHeight="1" thickBot="1" x14ac:dyDescent="0.3">
      <c r="A1121" s="9"/>
    </row>
    <row r="1122" spans="1:1" ht="15.75" customHeight="1" thickBot="1" x14ac:dyDescent="0.3">
      <c r="A1122" s="9"/>
    </row>
    <row r="1123" spans="1:1" ht="15.75" customHeight="1" thickBot="1" x14ac:dyDescent="0.3">
      <c r="A1123" s="9"/>
    </row>
    <row r="1124" spans="1:1" ht="15.75" customHeight="1" thickBot="1" x14ac:dyDescent="0.3">
      <c r="A1124" s="9"/>
    </row>
    <row r="1125" spans="1:1" ht="15.75" customHeight="1" thickBot="1" x14ac:dyDescent="0.3">
      <c r="A1125" s="9"/>
    </row>
    <row r="1126" spans="1:1" ht="15.75" customHeight="1" thickBot="1" x14ac:dyDescent="0.3">
      <c r="A1126" s="9"/>
    </row>
    <row r="1127" spans="1:1" ht="15.75" customHeight="1" thickBot="1" x14ac:dyDescent="0.3">
      <c r="A1127" s="9"/>
    </row>
    <row r="1128" spans="1:1" ht="15.75" customHeight="1" thickBot="1" x14ac:dyDescent="0.3">
      <c r="A1128" s="9"/>
    </row>
    <row r="1129" spans="1:1" ht="15.75" customHeight="1" thickBot="1" x14ac:dyDescent="0.3">
      <c r="A1129" s="9"/>
    </row>
    <row r="1130" spans="1:1" ht="15.75" customHeight="1" thickBot="1" x14ac:dyDescent="0.3">
      <c r="A1130" s="9"/>
    </row>
    <row r="1131" spans="1:1" ht="15.75" customHeight="1" thickBot="1" x14ac:dyDescent="0.3">
      <c r="A1131" s="9"/>
    </row>
    <row r="1132" spans="1:1" ht="15.75" customHeight="1" thickBot="1" x14ac:dyDescent="0.3">
      <c r="A1132" s="9"/>
    </row>
    <row r="1133" spans="1:1" ht="15.75" customHeight="1" thickBot="1" x14ac:dyDescent="0.3">
      <c r="A1133" s="9"/>
    </row>
    <row r="1134" spans="1:1" ht="15.75" customHeight="1" thickBot="1" x14ac:dyDescent="0.3">
      <c r="A1134" s="9"/>
    </row>
    <row r="1135" spans="1:1" ht="15.75" customHeight="1" thickBot="1" x14ac:dyDescent="0.3">
      <c r="A1135" s="9"/>
    </row>
    <row r="1136" spans="1:1" ht="15.75" customHeight="1" thickBot="1" x14ac:dyDescent="0.3">
      <c r="A1136" s="9"/>
    </row>
    <row r="1137" spans="1:1" ht="15.75" customHeight="1" thickBot="1" x14ac:dyDescent="0.3">
      <c r="A1137" s="9"/>
    </row>
    <row r="1138" spans="1:1" ht="15.75" customHeight="1" thickBot="1" x14ac:dyDescent="0.3">
      <c r="A1138" s="9"/>
    </row>
    <row r="1139" spans="1:1" ht="15.75" customHeight="1" thickBot="1" x14ac:dyDescent="0.3">
      <c r="A1139" s="9"/>
    </row>
    <row r="1140" spans="1:1" ht="15.75" customHeight="1" thickBot="1" x14ac:dyDescent="0.3">
      <c r="A1140" s="9"/>
    </row>
    <row r="1141" spans="1:1" ht="15.75" customHeight="1" thickBot="1" x14ac:dyDescent="0.3">
      <c r="A1141" s="9"/>
    </row>
    <row r="1142" spans="1:1" ht="15.75" customHeight="1" thickBot="1" x14ac:dyDescent="0.3">
      <c r="A1142" s="9"/>
    </row>
    <row r="1143" spans="1:1" ht="15.75" customHeight="1" thickBot="1" x14ac:dyDescent="0.3">
      <c r="A1143" s="9"/>
    </row>
    <row r="1144" spans="1:1" ht="15.75" customHeight="1" thickBot="1" x14ac:dyDescent="0.3">
      <c r="A1144" s="9"/>
    </row>
    <row r="1145" spans="1:1" ht="15.75" customHeight="1" thickBot="1" x14ac:dyDescent="0.3">
      <c r="A1145" s="9"/>
    </row>
    <row r="1146" spans="1:1" ht="15.75" customHeight="1" thickBot="1" x14ac:dyDescent="0.3">
      <c r="A1146" s="9"/>
    </row>
    <row r="1147" spans="1:1" ht="15.75" customHeight="1" thickBot="1" x14ac:dyDescent="0.3">
      <c r="A1147" s="9"/>
    </row>
    <row r="1148" spans="1:1" ht="15.75" customHeight="1" thickBot="1" x14ac:dyDescent="0.3">
      <c r="A1148" s="9"/>
    </row>
    <row r="1149" spans="1:1" ht="15.75" customHeight="1" thickBot="1" x14ac:dyDescent="0.3">
      <c r="A1149" s="9"/>
    </row>
    <row r="1150" spans="1:1" ht="15.75" customHeight="1" thickBot="1" x14ac:dyDescent="0.3">
      <c r="A1150" s="9"/>
    </row>
    <row r="1151" spans="1:1" ht="15.75" customHeight="1" thickBot="1" x14ac:dyDescent="0.3">
      <c r="A1151" s="9"/>
    </row>
    <row r="1152" spans="1:1" ht="15.75" customHeight="1" thickBot="1" x14ac:dyDescent="0.3">
      <c r="A1152" s="9"/>
    </row>
    <row r="1153" spans="1:1" ht="15.75" customHeight="1" thickBot="1" x14ac:dyDescent="0.3">
      <c r="A1153" s="9"/>
    </row>
    <row r="1154" spans="1:1" ht="15.75" customHeight="1" thickBot="1" x14ac:dyDescent="0.3">
      <c r="A1154" s="9"/>
    </row>
    <row r="1155" spans="1:1" ht="15.75" customHeight="1" thickBot="1" x14ac:dyDescent="0.3">
      <c r="A1155" s="9"/>
    </row>
    <row r="1156" spans="1:1" ht="15.75" customHeight="1" thickBot="1" x14ac:dyDescent="0.3">
      <c r="A1156" s="9"/>
    </row>
    <row r="1157" spans="1:1" ht="15.75" customHeight="1" thickBot="1" x14ac:dyDescent="0.3">
      <c r="A1157" s="9"/>
    </row>
    <row r="1158" spans="1:1" ht="15.75" customHeight="1" thickBot="1" x14ac:dyDescent="0.3">
      <c r="A1158" s="9"/>
    </row>
    <row r="1159" spans="1:1" ht="15.75" customHeight="1" thickBot="1" x14ac:dyDescent="0.3">
      <c r="A1159" s="9"/>
    </row>
    <row r="1160" spans="1:1" ht="15.75" customHeight="1" thickBot="1" x14ac:dyDescent="0.3">
      <c r="A1160" s="9"/>
    </row>
    <row r="1161" spans="1:1" ht="15.75" customHeight="1" thickBot="1" x14ac:dyDescent="0.3">
      <c r="A1161" s="9"/>
    </row>
    <row r="1162" spans="1:1" ht="15.75" customHeight="1" thickBot="1" x14ac:dyDescent="0.3">
      <c r="A1162" s="9"/>
    </row>
    <row r="1163" spans="1:1" ht="15.75" customHeight="1" thickBot="1" x14ac:dyDescent="0.3">
      <c r="A1163" s="9"/>
    </row>
    <row r="1164" spans="1:1" ht="15.75" customHeight="1" thickBot="1" x14ac:dyDescent="0.3">
      <c r="A1164" s="9"/>
    </row>
    <row r="1165" spans="1:1" ht="15.75" customHeight="1" thickBot="1" x14ac:dyDescent="0.3">
      <c r="A1165" s="9"/>
    </row>
    <row r="1166" spans="1:1" ht="15.75" customHeight="1" thickBot="1" x14ac:dyDescent="0.3">
      <c r="A1166" s="9"/>
    </row>
    <row r="1167" spans="1:1" ht="15.75" customHeight="1" thickBot="1" x14ac:dyDescent="0.3">
      <c r="A1167" s="9"/>
    </row>
    <row r="1168" spans="1:1" ht="15.75" customHeight="1" thickBot="1" x14ac:dyDescent="0.3">
      <c r="A1168" s="9"/>
    </row>
    <row r="1169" spans="1:1" ht="15.75" customHeight="1" thickBot="1" x14ac:dyDescent="0.3">
      <c r="A1169" s="9"/>
    </row>
    <row r="1170" spans="1:1" ht="15.75" customHeight="1" thickBot="1" x14ac:dyDescent="0.3">
      <c r="A1170" s="9"/>
    </row>
    <row r="1171" spans="1:1" ht="15.75" customHeight="1" thickBot="1" x14ac:dyDescent="0.3">
      <c r="A1171" s="9"/>
    </row>
    <row r="1172" spans="1:1" ht="15.75" customHeight="1" thickBot="1" x14ac:dyDescent="0.3">
      <c r="A1172" s="9"/>
    </row>
    <row r="1173" spans="1:1" ht="15.75" customHeight="1" thickBot="1" x14ac:dyDescent="0.3">
      <c r="A1173" s="9"/>
    </row>
    <row r="1174" spans="1:1" ht="15.75" customHeight="1" thickBot="1" x14ac:dyDescent="0.3">
      <c r="A1174" s="9"/>
    </row>
    <row r="1175" spans="1:1" ht="15.75" customHeight="1" thickBot="1" x14ac:dyDescent="0.3">
      <c r="A1175" s="9"/>
    </row>
    <row r="1176" spans="1:1" ht="15.75" customHeight="1" thickBot="1" x14ac:dyDescent="0.3">
      <c r="A1176" s="9"/>
    </row>
    <row r="1177" spans="1:1" ht="15.75" customHeight="1" thickBot="1" x14ac:dyDescent="0.3">
      <c r="A1177" s="9"/>
    </row>
    <row r="1178" spans="1:1" ht="15.75" customHeight="1" thickBot="1" x14ac:dyDescent="0.3">
      <c r="A1178" s="9"/>
    </row>
    <row r="1179" spans="1:1" ht="15.75" customHeight="1" thickBot="1" x14ac:dyDescent="0.3">
      <c r="A1179" s="9"/>
    </row>
    <row r="1180" spans="1:1" ht="15.75" customHeight="1" thickBot="1" x14ac:dyDescent="0.3">
      <c r="A1180" s="9"/>
    </row>
    <row r="1181" spans="1:1" ht="15.75" customHeight="1" thickBot="1" x14ac:dyDescent="0.3">
      <c r="A1181" s="9"/>
    </row>
    <row r="1182" spans="1:1" ht="15.75" customHeight="1" thickBot="1" x14ac:dyDescent="0.3">
      <c r="A1182" s="9"/>
    </row>
    <row r="1183" spans="1:1" ht="15.75" customHeight="1" thickBot="1" x14ac:dyDescent="0.3">
      <c r="A1183" s="9"/>
    </row>
    <row r="1184" spans="1:1" ht="15.75" customHeight="1" thickBot="1" x14ac:dyDescent="0.3">
      <c r="A1184" s="9"/>
    </row>
    <row r="1185" spans="1:1" ht="15.75" customHeight="1" thickBot="1" x14ac:dyDescent="0.3">
      <c r="A1185" s="9"/>
    </row>
    <row r="1186" spans="1:1" ht="15.75" customHeight="1" thickBot="1" x14ac:dyDescent="0.3">
      <c r="A1186" s="9"/>
    </row>
    <row r="1187" spans="1:1" ht="15.75" customHeight="1" thickBot="1" x14ac:dyDescent="0.3">
      <c r="A1187" s="9"/>
    </row>
    <row r="1188" spans="1:1" ht="15.75" customHeight="1" thickBot="1" x14ac:dyDescent="0.3">
      <c r="A1188" s="9"/>
    </row>
    <row r="1189" spans="1:1" ht="15.75" customHeight="1" thickBot="1" x14ac:dyDescent="0.3">
      <c r="A1189" s="9"/>
    </row>
    <row r="1190" spans="1:1" ht="15.75" customHeight="1" thickBot="1" x14ac:dyDescent="0.3">
      <c r="A1190" s="9"/>
    </row>
    <row r="1191" spans="1:1" ht="15.75" customHeight="1" thickBot="1" x14ac:dyDescent="0.3">
      <c r="A1191" s="9"/>
    </row>
    <row r="1192" spans="1:1" ht="15.75" customHeight="1" thickBot="1" x14ac:dyDescent="0.3">
      <c r="A1192" s="9"/>
    </row>
    <row r="1193" spans="1:1" ht="15.75" customHeight="1" thickBot="1" x14ac:dyDescent="0.3">
      <c r="A1193" s="9"/>
    </row>
    <row r="1194" spans="1:1" ht="15.75" customHeight="1" thickBot="1" x14ac:dyDescent="0.3">
      <c r="A1194" s="9"/>
    </row>
    <row r="1195" spans="1:1" ht="15.75" customHeight="1" thickBot="1" x14ac:dyDescent="0.3">
      <c r="A1195" s="9"/>
    </row>
    <row r="1196" spans="1:1" ht="15.75" customHeight="1" thickBot="1" x14ac:dyDescent="0.3">
      <c r="A1196" s="9"/>
    </row>
    <row r="1197" spans="1:1" ht="15.75" customHeight="1" thickBot="1" x14ac:dyDescent="0.3">
      <c r="A1197" s="9"/>
    </row>
    <row r="1198" spans="1:1" ht="15.75" customHeight="1" thickBot="1" x14ac:dyDescent="0.3">
      <c r="A1198" s="9"/>
    </row>
    <row r="1199" spans="1:1" ht="15.75" customHeight="1" thickBot="1" x14ac:dyDescent="0.3">
      <c r="A1199" s="9"/>
    </row>
    <row r="1200" spans="1:1" ht="15.75" customHeight="1" thickBot="1" x14ac:dyDescent="0.3">
      <c r="A1200" s="9"/>
    </row>
    <row r="1201" spans="1:1" ht="15.75" customHeight="1" thickBot="1" x14ac:dyDescent="0.3">
      <c r="A1201" s="9"/>
    </row>
    <row r="1202" spans="1:1" ht="15.75" customHeight="1" thickBot="1" x14ac:dyDescent="0.3">
      <c r="A1202" s="9"/>
    </row>
    <row r="1203" spans="1:1" ht="15.75" customHeight="1" thickBot="1" x14ac:dyDescent="0.3">
      <c r="A1203" s="9"/>
    </row>
    <row r="1204" spans="1:1" ht="15.75" customHeight="1" thickBot="1" x14ac:dyDescent="0.3">
      <c r="A1204" s="9"/>
    </row>
    <row r="1205" spans="1:1" ht="15.75" customHeight="1" thickBot="1" x14ac:dyDescent="0.3">
      <c r="A1205" s="9"/>
    </row>
    <row r="1206" spans="1:1" ht="15.75" customHeight="1" thickBot="1" x14ac:dyDescent="0.3">
      <c r="A1206" s="9"/>
    </row>
    <row r="1207" spans="1:1" ht="15.75" customHeight="1" thickBot="1" x14ac:dyDescent="0.3">
      <c r="A1207" s="9"/>
    </row>
    <row r="1208" spans="1:1" ht="15.75" customHeight="1" thickBot="1" x14ac:dyDescent="0.3">
      <c r="A1208" s="9"/>
    </row>
    <row r="1209" spans="1:1" ht="15.75" customHeight="1" thickBot="1" x14ac:dyDescent="0.3">
      <c r="A1209" s="9"/>
    </row>
    <row r="1210" spans="1:1" ht="15.75" customHeight="1" thickBot="1" x14ac:dyDescent="0.3">
      <c r="A1210" s="9"/>
    </row>
    <row r="1211" spans="1:1" ht="15.75" customHeight="1" thickBot="1" x14ac:dyDescent="0.3">
      <c r="A1211" s="9"/>
    </row>
    <row r="1212" spans="1:1" ht="15.75" customHeight="1" thickBot="1" x14ac:dyDescent="0.3">
      <c r="A1212" s="9"/>
    </row>
    <row r="1213" spans="1:1" ht="15.75" customHeight="1" thickBot="1" x14ac:dyDescent="0.3">
      <c r="A1213" s="9"/>
    </row>
    <row r="1214" spans="1:1" ht="15.75" customHeight="1" thickBot="1" x14ac:dyDescent="0.3">
      <c r="A1214" s="9"/>
    </row>
    <row r="1215" spans="1:1" ht="15.75" customHeight="1" thickBot="1" x14ac:dyDescent="0.3">
      <c r="A1215" s="9"/>
    </row>
    <row r="1216" spans="1:1" ht="15.75" customHeight="1" thickBot="1" x14ac:dyDescent="0.3">
      <c r="A1216" s="9"/>
    </row>
    <row r="1217" spans="1:1" ht="15.75" customHeight="1" thickBot="1" x14ac:dyDescent="0.3">
      <c r="A1217" s="9"/>
    </row>
    <row r="1218" spans="1:1" ht="15.75" customHeight="1" thickBot="1" x14ac:dyDescent="0.3">
      <c r="A1218" s="9"/>
    </row>
    <row r="1219" spans="1:1" ht="15.75" customHeight="1" thickBot="1" x14ac:dyDescent="0.3">
      <c r="A1219" s="9"/>
    </row>
    <row r="1220" spans="1:1" ht="15.75" customHeight="1" thickBot="1" x14ac:dyDescent="0.3">
      <c r="A1220" s="9"/>
    </row>
    <row r="1221" spans="1:1" ht="15.75" customHeight="1" thickBot="1" x14ac:dyDescent="0.3">
      <c r="A1221" s="9"/>
    </row>
    <row r="1222" spans="1:1" ht="15.75" customHeight="1" thickBot="1" x14ac:dyDescent="0.3">
      <c r="A1222" s="9"/>
    </row>
    <row r="1223" spans="1:1" ht="15.75" customHeight="1" thickBot="1" x14ac:dyDescent="0.3">
      <c r="A1223" s="9"/>
    </row>
    <row r="1224" spans="1:1" ht="15.75" customHeight="1" thickBot="1" x14ac:dyDescent="0.3">
      <c r="A1224" s="9"/>
    </row>
    <row r="1225" spans="1:1" ht="15.75" customHeight="1" thickBot="1" x14ac:dyDescent="0.3">
      <c r="A1225" s="9"/>
    </row>
    <row r="1226" spans="1:1" ht="15.75" customHeight="1" thickBot="1" x14ac:dyDescent="0.3">
      <c r="A1226" s="9"/>
    </row>
    <row r="1227" spans="1:1" ht="15.75" customHeight="1" thickBot="1" x14ac:dyDescent="0.3">
      <c r="A1227" s="9"/>
    </row>
    <row r="1228" spans="1:1" ht="15.75" customHeight="1" thickBot="1" x14ac:dyDescent="0.3">
      <c r="A1228" s="9"/>
    </row>
    <row r="1229" spans="1:1" ht="15.75" customHeight="1" thickBot="1" x14ac:dyDescent="0.3">
      <c r="A1229" s="9"/>
    </row>
    <row r="1230" spans="1:1" ht="15.75" customHeight="1" thickBot="1" x14ac:dyDescent="0.3">
      <c r="A1230" s="9"/>
    </row>
    <row r="1231" spans="1:1" ht="15.75" customHeight="1" thickBot="1" x14ac:dyDescent="0.3">
      <c r="A1231" s="9"/>
    </row>
    <row r="1232" spans="1:1" ht="15.75" customHeight="1" thickBot="1" x14ac:dyDescent="0.3">
      <c r="A1232" s="9"/>
    </row>
    <row r="1233" spans="1:1" ht="15.75" customHeight="1" thickBot="1" x14ac:dyDescent="0.3">
      <c r="A1233" s="9"/>
    </row>
    <row r="1234" spans="1:1" ht="15.75" customHeight="1" thickBot="1" x14ac:dyDescent="0.3">
      <c r="A1234" s="9"/>
    </row>
    <row r="1235" spans="1:1" ht="15.75" customHeight="1" thickBot="1" x14ac:dyDescent="0.3">
      <c r="A1235" s="9"/>
    </row>
    <row r="1236" spans="1:1" ht="15.75" customHeight="1" thickBot="1" x14ac:dyDescent="0.3">
      <c r="A1236" s="9"/>
    </row>
    <row r="1237" spans="1:1" ht="15.75" customHeight="1" thickBot="1" x14ac:dyDescent="0.3">
      <c r="A1237" s="9"/>
    </row>
    <row r="1238" spans="1:1" ht="15.75" customHeight="1" thickBot="1" x14ac:dyDescent="0.3">
      <c r="A1238" s="9"/>
    </row>
    <row r="1239" spans="1:1" ht="15.75" customHeight="1" thickBot="1" x14ac:dyDescent="0.3">
      <c r="A1239" s="9"/>
    </row>
    <row r="1240" spans="1:1" ht="15.75" customHeight="1" thickBot="1" x14ac:dyDescent="0.3">
      <c r="A1240" s="9"/>
    </row>
    <row r="1241" spans="1:1" ht="15.75" customHeight="1" thickBot="1" x14ac:dyDescent="0.3">
      <c r="A1241" s="9"/>
    </row>
    <row r="1242" spans="1:1" ht="15.75" customHeight="1" thickBot="1" x14ac:dyDescent="0.3">
      <c r="A1242" s="9"/>
    </row>
    <row r="1243" spans="1:1" ht="15.75" customHeight="1" thickBot="1" x14ac:dyDescent="0.3">
      <c r="A1243" s="9"/>
    </row>
    <row r="1244" spans="1:1" ht="15.75" customHeight="1" thickBot="1" x14ac:dyDescent="0.3">
      <c r="A1244" s="9"/>
    </row>
    <row r="1245" spans="1:1" ht="15.75" customHeight="1" thickBot="1" x14ac:dyDescent="0.3">
      <c r="A1245" s="9"/>
    </row>
    <row r="1246" spans="1:1" ht="15.75" customHeight="1" thickBot="1" x14ac:dyDescent="0.3">
      <c r="A1246" s="9"/>
    </row>
    <row r="1247" spans="1:1" ht="15.75" customHeight="1" thickBot="1" x14ac:dyDescent="0.3">
      <c r="A1247" s="9"/>
    </row>
    <row r="1248" spans="1:1" ht="15.75" customHeight="1" thickBot="1" x14ac:dyDescent="0.3">
      <c r="A1248" s="9"/>
    </row>
    <row r="1249" spans="1:1" ht="15.75" customHeight="1" thickBot="1" x14ac:dyDescent="0.3">
      <c r="A1249" s="9"/>
    </row>
    <row r="1250" spans="1:1" ht="15.75" customHeight="1" thickBot="1" x14ac:dyDescent="0.3">
      <c r="A1250" s="9"/>
    </row>
    <row r="1251" spans="1:1" ht="15.75" customHeight="1" thickBot="1" x14ac:dyDescent="0.3">
      <c r="A1251" s="9"/>
    </row>
    <row r="1252" spans="1:1" ht="15.75" customHeight="1" thickBot="1" x14ac:dyDescent="0.3">
      <c r="A1252" s="9"/>
    </row>
    <row r="1253" spans="1:1" ht="15.75" customHeight="1" thickBot="1" x14ac:dyDescent="0.3">
      <c r="A1253" s="9"/>
    </row>
    <row r="1254" spans="1:1" ht="15.75" customHeight="1" thickBot="1" x14ac:dyDescent="0.3">
      <c r="A1254" s="9"/>
    </row>
    <row r="1255" spans="1:1" ht="15.75" customHeight="1" thickBot="1" x14ac:dyDescent="0.3">
      <c r="A1255" s="9"/>
    </row>
    <row r="1256" spans="1:1" ht="15.75" customHeight="1" thickBot="1" x14ac:dyDescent="0.3">
      <c r="A1256" s="9"/>
    </row>
    <row r="1257" spans="1:1" ht="15.75" customHeight="1" thickBot="1" x14ac:dyDescent="0.3">
      <c r="A1257" s="9"/>
    </row>
    <row r="1258" spans="1:1" ht="15.75" customHeight="1" thickBot="1" x14ac:dyDescent="0.3">
      <c r="A1258" s="9"/>
    </row>
    <row r="1259" spans="1:1" ht="15.75" customHeight="1" thickBot="1" x14ac:dyDescent="0.3">
      <c r="A1259" s="9"/>
    </row>
    <row r="1260" spans="1:1" ht="15.75" customHeight="1" thickBot="1" x14ac:dyDescent="0.3">
      <c r="A1260" s="9"/>
    </row>
    <row r="1261" spans="1:1" ht="15.75" customHeight="1" thickBot="1" x14ac:dyDescent="0.3">
      <c r="A1261" s="9"/>
    </row>
    <row r="1262" spans="1:1" ht="15.75" customHeight="1" thickBot="1" x14ac:dyDescent="0.3">
      <c r="A1262" s="9"/>
    </row>
    <row r="1263" spans="1:1" ht="15.75" customHeight="1" thickBot="1" x14ac:dyDescent="0.3">
      <c r="A1263" s="9"/>
    </row>
    <row r="1264" spans="1:1" ht="15.75" customHeight="1" thickBot="1" x14ac:dyDescent="0.3">
      <c r="A1264" s="9"/>
    </row>
    <row r="1265" spans="1:1" ht="15.75" customHeight="1" thickBot="1" x14ac:dyDescent="0.3">
      <c r="A1265" s="9"/>
    </row>
    <row r="1266" spans="1:1" ht="15.75" customHeight="1" thickBot="1" x14ac:dyDescent="0.3">
      <c r="A1266" s="9"/>
    </row>
    <row r="1267" spans="1:1" ht="15.75" customHeight="1" thickBot="1" x14ac:dyDescent="0.3">
      <c r="A1267" s="9"/>
    </row>
    <row r="1268" spans="1:1" ht="15.75" customHeight="1" thickBot="1" x14ac:dyDescent="0.3">
      <c r="A1268" s="9"/>
    </row>
    <row r="1269" spans="1:1" ht="15.75" customHeight="1" thickBot="1" x14ac:dyDescent="0.3">
      <c r="A1269" s="9"/>
    </row>
    <row r="1270" spans="1:1" ht="15.75" customHeight="1" thickBot="1" x14ac:dyDescent="0.3">
      <c r="A1270" s="9"/>
    </row>
    <row r="1271" spans="1:1" ht="15.75" customHeight="1" thickBot="1" x14ac:dyDescent="0.3">
      <c r="A1271" s="9"/>
    </row>
    <row r="1272" spans="1:1" ht="15.75" customHeight="1" thickBot="1" x14ac:dyDescent="0.3">
      <c r="A1272" s="9"/>
    </row>
    <row r="1273" spans="1:1" ht="15.75" customHeight="1" thickBot="1" x14ac:dyDescent="0.3">
      <c r="A1273" s="9"/>
    </row>
    <row r="1274" spans="1:1" ht="15.75" customHeight="1" thickBot="1" x14ac:dyDescent="0.3">
      <c r="A1274" s="9"/>
    </row>
    <row r="1275" spans="1:1" ht="15.75" customHeight="1" thickBot="1" x14ac:dyDescent="0.3">
      <c r="A1275" s="9"/>
    </row>
    <row r="1276" spans="1:1" ht="15.75" customHeight="1" thickBot="1" x14ac:dyDescent="0.3">
      <c r="A1276" s="9"/>
    </row>
    <row r="1277" spans="1:1" ht="15.75" customHeight="1" thickBot="1" x14ac:dyDescent="0.3">
      <c r="A1277" s="9"/>
    </row>
    <row r="1278" spans="1:1" ht="15.75" customHeight="1" thickBot="1" x14ac:dyDescent="0.3">
      <c r="A1278" s="9"/>
    </row>
    <row r="1279" spans="1:1" ht="15.75" customHeight="1" thickBot="1" x14ac:dyDescent="0.3">
      <c r="A1279" s="9"/>
    </row>
    <row r="1280" spans="1:1" ht="15.75" customHeight="1" thickBot="1" x14ac:dyDescent="0.3">
      <c r="A1280" s="9"/>
    </row>
    <row r="1281" spans="1:1" ht="15.75" customHeight="1" thickBot="1" x14ac:dyDescent="0.3">
      <c r="A1281" s="9"/>
    </row>
    <row r="1282" spans="1:1" ht="15.75" customHeight="1" thickBot="1" x14ac:dyDescent="0.3">
      <c r="A1282" s="9"/>
    </row>
    <row r="1283" spans="1:1" ht="15.75" customHeight="1" thickBot="1" x14ac:dyDescent="0.3">
      <c r="A1283" s="9"/>
    </row>
    <row r="1284" spans="1:1" ht="15.75" customHeight="1" thickBot="1" x14ac:dyDescent="0.3">
      <c r="A1284" s="9"/>
    </row>
    <row r="1285" spans="1:1" ht="15.75" customHeight="1" thickBot="1" x14ac:dyDescent="0.3">
      <c r="A1285" s="9"/>
    </row>
    <row r="1286" spans="1:1" ht="15.75" customHeight="1" thickBot="1" x14ac:dyDescent="0.3">
      <c r="A1286" s="9"/>
    </row>
    <row r="1287" spans="1:1" ht="15.75" customHeight="1" thickBot="1" x14ac:dyDescent="0.3">
      <c r="A1287" s="9"/>
    </row>
    <row r="1288" spans="1:1" ht="15.75" customHeight="1" thickBot="1" x14ac:dyDescent="0.3">
      <c r="A1288" s="9"/>
    </row>
    <row r="1289" spans="1:1" ht="15.75" customHeight="1" thickBot="1" x14ac:dyDescent="0.3">
      <c r="A1289" s="9"/>
    </row>
    <row r="1290" spans="1:1" ht="15.75" customHeight="1" thickBot="1" x14ac:dyDescent="0.3">
      <c r="A1290" s="9"/>
    </row>
    <row r="1291" spans="1:1" ht="15.75" customHeight="1" thickBot="1" x14ac:dyDescent="0.3">
      <c r="A1291" s="9"/>
    </row>
    <row r="1292" spans="1:1" ht="15.75" customHeight="1" thickBot="1" x14ac:dyDescent="0.3">
      <c r="A1292" s="9"/>
    </row>
    <row r="1293" spans="1:1" ht="15.75" customHeight="1" thickBot="1" x14ac:dyDescent="0.3">
      <c r="A1293" s="9"/>
    </row>
    <row r="1294" spans="1:1" ht="15.75" customHeight="1" thickBot="1" x14ac:dyDescent="0.3">
      <c r="A1294" s="9"/>
    </row>
    <row r="1295" spans="1:1" ht="15.75" customHeight="1" thickBot="1" x14ac:dyDescent="0.3">
      <c r="A1295" s="9"/>
    </row>
    <row r="1296" spans="1:1" ht="15.75" customHeight="1" thickBot="1" x14ac:dyDescent="0.3">
      <c r="A1296" s="9"/>
    </row>
    <row r="1297" spans="1:1" ht="15.75" customHeight="1" thickBot="1" x14ac:dyDescent="0.3">
      <c r="A1297" s="9"/>
    </row>
    <row r="1298" spans="1:1" ht="15.75" customHeight="1" thickBot="1" x14ac:dyDescent="0.3">
      <c r="A1298" s="9"/>
    </row>
    <row r="1299" spans="1:1" ht="15.75" customHeight="1" thickBot="1" x14ac:dyDescent="0.3">
      <c r="A1299" s="9"/>
    </row>
    <row r="1300" spans="1:1" ht="15.75" customHeight="1" thickBot="1" x14ac:dyDescent="0.3">
      <c r="A1300" s="9"/>
    </row>
    <row r="1301" spans="1:1" ht="15.75" customHeight="1" thickBot="1" x14ac:dyDescent="0.3">
      <c r="A1301" s="9"/>
    </row>
    <row r="1302" spans="1:1" ht="15.75" customHeight="1" thickBot="1" x14ac:dyDescent="0.3">
      <c r="A1302" s="9"/>
    </row>
    <row r="1303" spans="1:1" ht="15.75" customHeight="1" thickBot="1" x14ac:dyDescent="0.3">
      <c r="A1303" s="9"/>
    </row>
    <row r="1304" spans="1:1" ht="15.75" customHeight="1" thickBot="1" x14ac:dyDescent="0.3">
      <c r="A1304" s="9"/>
    </row>
    <row r="1305" spans="1:1" ht="15.75" customHeight="1" thickBot="1" x14ac:dyDescent="0.3">
      <c r="A1305" s="9"/>
    </row>
    <row r="1306" spans="1:1" ht="15.75" customHeight="1" thickBot="1" x14ac:dyDescent="0.3">
      <c r="A1306" s="9"/>
    </row>
    <row r="1307" spans="1:1" ht="15.75" customHeight="1" thickBot="1" x14ac:dyDescent="0.3">
      <c r="A1307" s="9"/>
    </row>
    <row r="1308" spans="1:1" ht="15.75" customHeight="1" thickBot="1" x14ac:dyDescent="0.3">
      <c r="A1308" s="9"/>
    </row>
    <row r="1309" spans="1:1" ht="15.75" customHeight="1" thickBot="1" x14ac:dyDescent="0.3">
      <c r="A1309" s="9"/>
    </row>
    <row r="1310" spans="1:1" ht="15.75" customHeight="1" thickBot="1" x14ac:dyDescent="0.3">
      <c r="A1310" s="9"/>
    </row>
    <row r="1311" spans="1:1" ht="15.75" customHeight="1" thickBot="1" x14ac:dyDescent="0.3">
      <c r="A1311" s="9"/>
    </row>
    <row r="1312" spans="1:1" ht="15.75" customHeight="1" thickBot="1" x14ac:dyDescent="0.3">
      <c r="A1312" s="9"/>
    </row>
    <row r="1313" spans="1:1" ht="15.75" customHeight="1" thickBot="1" x14ac:dyDescent="0.3">
      <c r="A1313" s="9"/>
    </row>
    <row r="1314" spans="1:1" ht="15.75" customHeight="1" thickBot="1" x14ac:dyDescent="0.3">
      <c r="A1314" s="9"/>
    </row>
    <row r="1315" spans="1:1" ht="15.75" customHeight="1" thickBot="1" x14ac:dyDescent="0.3">
      <c r="A1315" s="9"/>
    </row>
    <row r="1316" spans="1:1" ht="15.75" customHeight="1" thickBot="1" x14ac:dyDescent="0.3">
      <c r="A1316" s="9"/>
    </row>
    <row r="1317" spans="1:1" ht="15.75" customHeight="1" thickBot="1" x14ac:dyDescent="0.3">
      <c r="A1317" s="9"/>
    </row>
    <row r="1318" spans="1:1" ht="15.75" customHeight="1" thickBot="1" x14ac:dyDescent="0.3">
      <c r="A1318" s="9"/>
    </row>
    <row r="1319" spans="1:1" ht="15.75" customHeight="1" thickBot="1" x14ac:dyDescent="0.3">
      <c r="A1319" s="9"/>
    </row>
    <row r="1320" spans="1:1" ht="15.75" customHeight="1" thickBot="1" x14ac:dyDescent="0.3">
      <c r="A1320" s="9"/>
    </row>
    <row r="1321" spans="1:1" ht="15.75" customHeight="1" thickBot="1" x14ac:dyDescent="0.3">
      <c r="A1321" s="9"/>
    </row>
    <row r="1322" spans="1:1" ht="15.75" customHeight="1" thickBot="1" x14ac:dyDescent="0.3">
      <c r="A1322" s="9"/>
    </row>
    <row r="1323" spans="1:1" ht="15.75" customHeight="1" thickBot="1" x14ac:dyDescent="0.3">
      <c r="A1323" s="9"/>
    </row>
    <row r="1324" spans="1:1" ht="15.75" customHeight="1" thickBot="1" x14ac:dyDescent="0.3">
      <c r="A1324" s="9"/>
    </row>
    <row r="1325" spans="1:1" ht="15.75" customHeight="1" thickBot="1" x14ac:dyDescent="0.3">
      <c r="A1325" s="9"/>
    </row>
    <row r="1326" spans="1:1" ht="15.75" customHeight="1" thickBot="1" x14ac:dyDescent="0.3">
      <c r="A1326" s="9"/>
    </row>
    <row r="1327" spans="1:1" ht="15.75" customHeight="1" thickBot="1" x14ac:dyDescent="0.3">
      <c r="A1327" s="9"/>
    </row>
    <row r="1328" spans="1:1" ht="15.75" customHeight="1" thickBot="1" x14ac:dyDescent="0.3">
      <c r="A1328" s="9"/>
    </row>
    <row r="1329" spans="1:1" ht="15.75" customHeight="1" thickBot="1" x14ac:dyDescent="0.3">
      <c r="A1329" s="9"/>
    </row>
    <row r="1330" spans="1:1" ht="15.75" customHeight="1" thickBot="1" x14ac:dyDescent="0.3">
      <c r="A1330" s="9"/>
    </row>
    <row r="1331" spans="1:1" ht="15.75" customHeight="1" thickBot="1" x14ac:dyDescent="0.3">
      <c r="A1331" s="9"/>
    </row>
    <row r="1332" spans="1:1" ht="15.75" customHeight="1" thickBot="1" x14ac:dyDescent="0.3">
      <c r="A1332" s="9"/>
    </row>
    <row r="1333" spans="1:1" ht="15.75" customHeight="1" thickBot="1" x14ac:dyDescent="0.3">
      <c r="A1333" s="9"/>
    </row>
    <row r="1334" spans="1:1" ht="15.75" customHeight="1" thickBot="1" x14ac:dyDescent="0.3">
      <c r="A1334" s="9"/>
    </row>
    <row r="1335" spans="1:1" ht="15.75" customHeight="1" thickBot="1" x14ac:dyDescent="0.3">
      <c r="A1335" s="9"/>
    </row>
    <row r="1336" spans="1:1" ht="15.75" customHeight="1" thickBot="1" x14ac:dyDescent="0.3">
      <c r="A1336" s="9"/>
    </row>
    <row r="1337" spans="1:1" ht="15.75" customHeight="1" thickBot="1" x14ac:dyDescent="0.3">
      <c r="A1337" s="9"/>
    </row>
    <row r="1338" spans="1:1" ht="15.75" customHeight="1" thickBot="1" x14ac:dyDescent="0.3">
      <c r="A1338" s="9"/>
    </row>
    <row r="1339" spans="1:1" ht="15.75" customHeight="1" thickBot="1" x14ac:dyDescent="0.3">
      <c r="A1339" s="9"/>
    </row>
    <row r="1340" spans="1:1" ht="15.75" customHeight="1" thickBot="1" x14ac:dyDescent="0.3">
      <c r="A1340" s="9"/>
    </row>
    <row r="1341" spans="1:1" ht="15.75" customHeight="1" thickBot="1" x14ac:dyDescent="0.3">
      <c r="A1341" s="9"/>
    </row>
    <row r="1342" spans="1:1" ht="15.75" customHeight="1" thickBot="1" x14ac:dyDescent="0.3">
      <c r="A1342" s="9"/>
    </row>
    <row r="1343" spans="1:1" ht="15.75" customHeight="1" thickBot="1" x14ac:dyDescent="0.3">
      <c r="A1343" s="9"/>
    </row>
    <row r="1344" spans="1:1" ht="15.75" customHeight="1" thickBot="1" x14ac:dyDescent="0.3">
      <c r="A1344" s="9"/>
    </row>
    <row r="1345" spans="1:1" ht="15.75" customHeight="1" thickBot="1" x14ac:dyDescent="0.3">
      <c r="A1345" s="9"/>
    </row>
    <row r="1346" spans="1:1" ht="15.75" customHeight="1" thickBot="1" x14ac:dyDescent="0.3">
      <c r="A1346" s="9"/>
    </row>
    <row r="1347" spans="1:1" ht="15.75" customHeight="1" thickBot="1" x14ac:dyDescent="0.3">
      <c r="A1347" s="9"/>
    </row>
    <row r="1348" spans="1:1" ht="15.75" customHeight="1" thickBot="1" x14ac:dyDescent="0.3">
      <c r="A1348" s="9"/>
    </row>
    <row r="1349" spans="1:1" ht="15.75" customHeight="1" thickBot="1" x14ac:dyDescent="0.3">
      <c r="A1349" s="9"/>
    </row>
    <row r="1350" spans="1:1" ht="15.75" customHeight="1" thickBot="1" x14ac:dyDescent="0.3">
      <c r="A1350" s="9"/>
    </row>
    <row r="1351" spans="1:1" ht="15.75" customHeight="1" thickBot="1" x14ac:dyDescent="0.3">
      <c r="A1351" s="9"/>
    </row>
    <row r="1352" spans="1:1" ht="15.75" customHeight="1" thickBot="1" x14ac:dyDescent="0.3">
      <c r="A1352" s="9"/>
    </row>
    <row r="1353" spans="1:1" ht="15.75" customHeight="1" thickBot="1" x14ac:dyDescent="0.3">
      <c r="A1353" s="9"/>
    </row>
    <row r="1354" spans="1:1" ht="15.75" customHeight="1" thickBot="1" x14ac:dyDescent="0.3">
      <c r="A1354" s="9"/>
    </row>
    <row r="1355" spans="1:1" ht="15.75" customHeight="1" thickBot="1" x14ac:dyDescent="0.3">
      <c r="A1355" s="9"/>
    </row>
    <row r="1356" spans="1:1" ht="15.75" customHeight="1" thickBot="1" x14ac:dyDescent="0.3">
      <c r="A1356" s="9"/>
    </row>
    <row r="1357" spans="1:1" ht="15.75" customHeight="1" thickBot="1" x14ac:dyDescent="0.3">
      <c r="A1357" s="9"/>
    </row>
    <row r="1358" spans="1:1" ht="15.75" customHeight="1" thickBot="1" x14ac:dyDescent="0.3">
      <c r="A1358" s="9"/>
    </row>
    <row r="1359" spans="1:1" ht="15.75" customHeight="1" thickBot="1" x14ac:dyDescent="0.3">
      <c r="A1359" s="9"/>
    </row>
    <row r="1360" spans="1:1" ht="15.75" customHeight="1" thickBot="1" x14ac:dyDescent="0.3">
      <c r="A1360" s="9"/>
    </row>
    <row r="1361" spans="1:1" ht="15.75" customHeight="1" thickBot="1" x14ac:dyDescent="0.3">
      <c r="A1361" s="9"/>
    </row>
    <row r="1362" spans="1:1" ht="15.75" customHeight="1" thickBot="1" x14ac:dyDescent="0.3">
      <c r="A1362" s="9"/>
    </row>
    <row r="1363" spans="1:1" ht="15.75" customHeight="1" thickBot="1" x14ac:dyDescent="0.3">
      <c r="A1363" s="9"/>
    </row>
    <row r="1364" spans="1:1" ht="15.75" customHeight="1" thickBot="1" x14ac:dyDescent="0.3">
      <c r="A1364" s="9"/>
    </row>
    <row r="1365" spans="1:1" ht="15.75" customHeight="1" thickBot="1" x14ac:dyDescent="0.3">
      <c r="A1365" s="9"/>
    </row>
    <row r="1366" spans="1:1" ht="15.75" customHeight="1" thickBot="1" x14ac:dyDescent="0.3">
      <c r="A1366" s="9"/>
    </row>
    <row r="1367" spans="1:1" ht="15.75" customHeight="1" thickBot="1" x14ac:dyDescent="0.3">
      <c r="A1367" s="9"/>
    </row>
    <row r="1368" spans="1:1" ht="15.75" customHeight="1" thickBot="1" x14ac:dyDescent="0.3">
      <c r="A1368" s="9"/>
    </row>
    <row r="1369" spans="1:1" ht="15.75" customHeight="1" thickBot="1" x14ac:dyDescent="0.3">
      <c r="A1369" s="9"/>
    </row>
    <row r="1370" spans="1:1" ht="15.75" customHeight="1" thickBot="1" x14ac:dyDescent="0.3">
      <c r="A1370" s="9"/>
    </row>
    <row r="1371" spans="1:1" ht="15.75" customHeight="1" thickBot="1" x14ac:dyDescent="0.3">
      <c r="A1371" s="9"/>
    </row>
    <row r="1372" spans="1:1" ht="15.75" customHeight="1" thickBot="1" x14ac:dyDescent="0.3">
      <c r="A1372" s="9"/>
    </row>
    <row r="1373" spans="1:1" ht="15.75" customHeight="1" thickBot="1" x14ac:dyDescent="0.3">
      <c r="A1373" s="9"/>
    </row>
    <row r="1374" spans="1:1" ht="15.75" customHeight="1" thickBot="1" x14ac:dyDescent="0.3">
      <c r="A1374" s="9"/>
    </row>
    <row r="1375" spans="1:1" ht="15.75" customHeight="1" thickBot="1" x14ac:dyDescent="0.3">
      <c r="A1375" s="9"/>
    </row>
    <row r="1376" spans="1:1" ht="15.75" customHeight="1" thickBot="1" x14ac:dyDescent="0.3">
      <c r="A1376" s="9"/>
    </row>
    <row r="1377" spans="1:1" ht="15.75" customHeight="1" thickBot="1" x14ac:dyDescent="0.3">
      <c r="A1377" s="9"/>
    </row>
    <row r="1378" spans="1:1" ht="15.75" customHeight="1" thickBot="1" x14ac:dyDescent="0.3">
      <c r="A1378" s="9"/>
    </row>
    <row r="1379" spans="1:1" ht="15.75" customHeight="1" thickBot="1" x14ac:dyDescent="0.3">
      <c r="A1379" s="9"/>
    </row>
    <row r="1380" spans="1:1" ht="15.75" customHeight="1" thickBot="1" x14ac:dyDescent="0.3">
      <c r="A1380" s="9"/>
    </row>
    <row r="1381" spans="1:1" ht="15.75" customHeight="1" thickBot="1" x14ac:dyDescent="0.3">
      <c r="A1381" s="9"/>
    </row>
    <row r="1382" spans="1:1" ht="15.75" customHeight="1" thickBot="1" x14ac:dyDescent="0.3">
      <c r="A1382" s="9"/>
    </row>
    <row r="1383" spans="1:1" ht="15.75" customHeight="1" thickBot="1" x14ac:dyDescent="0.3">
      <c r="A1383" s="9"/>
    </row>
    <row r="1384" spans="1:1" ht="15.75" customHeight="1" thickBot="1" x14ac:dyDescent="0.3">
      <c r="A1384" s="9"/>
    </row>
    <row r="1385" spans="1:1" ht="15.75" customHeight="1" thickBot="1" x14ac:dyDescent="0.3">
      <c r="A1385" s="9"/>
    </row>
    <row r="1386" spans="1:1" ht="15.75" customHeight="1" thickBot="1" x14ac:dyDescent="0.3">
      <c r="A1386" s="9"/>
    </row>
    <row r="1387" spans="1:1" ht="15.75" customHeight="1" thickBot="1" x14ac:dyDescent="0.3">
      <c r="A1387" s="9"/>
    </row>
    <row r="1388" spans="1:1" ht="15.75" customHeight="1" thickBot="1" x14ac:dyDescent="0.3">
      <c r="A1388" s="9"/>
    </row>
    <row r="1389" spans="1:1" ht="15.75" customHeight="1" thickBot="1" x14ac:dyDescent="0.3">
      <c r="A1389" s="9"/>
    </row>
    <row r="1390" spans="1:1" ht="15.75" customHeight="1" thickBot="1" x14ac:dyDescent="0.3">
      <c r="A1390" s="9"/>
    </row>
    <row r="1391" spans="1:1" ht="15.75" customHeight="1" thickBot="1" x14ac:dyDescent="0.3">
      <c r="A1391" s="9"/>
    </row>
    <row r="1392" spans="1:1" ht="15.75" customHeight="1" thickBot="1" x14ac:dyDescent="0.3">
      <c r="A1392" s="9"/>
    </row>
    <row r="1393" spans="1:1" ht="15.75" customHeight="1" thickBot="1" x14ac:dyDescent="0.3">
      <c r="A1393" s="9"/>
    </row>
    <row r="1394" spans="1:1" ht="15.75" customHeight="1" thickBot="1" x14ac:dyDescent="0.3">
      <c r="A1394" s="9"/>
    </row>
    <row r="1395" spans="1:1" ht="15.75" customHeight="1" thickBot="1" x14ac:dyDescent="0.3">
      <c r="A1395" s="9"/>
    </row>
    <row r="1396" spans="1:1" ht="15.75" customHeight="1" thickBot="1" x14ac:dyDescent="0.3">
      <c r="A1396" s="9"/>
    </row>
    <row r="1397" spans="1:1" ht="15.75" customHeight="1" thickBot="1" x14ac:dyDescent="0.3">
      <c r="A1397" s="9"/>
    </row>
    <row r="1398" spans="1:1" ht="15.75" customHeight="1" thickBot="1" x14ac:dyDescent="0.3">
      <c r="A1398" s="9"/>
    </row>
    <row r="1399" spans="1:1" ht="15.75" customHeight="1" thickBot="1" x14ac:dyDescent="0.3">
      <c r="A1399" s="9"/>
    </row>
    <row r="1400" spans="1:1" ht="15.75" customHeight="1" thickBot="1" x14ac:dyDescent="0.3">
      <c r="A1400" s="9"/>
    </row>
    <row r="1401" spans="1:1" ht="15.75" customHeight="1" thickBot="1" x14ac:dyDescent="0.3">
      <c r="A1401" s="9"/>
    </row>
    <row r="1402" spans="1:1" ht="15.75" customHeight="1" thickBot="1" x14ac:dyDescent="0.3">
      <c r="A1402" s="9"/>
    </row>
    <row r="1403" spans="1:1" ht="15.75" customHeight="1" thickBot="1" x14ac:dyDescent="0.3">
      <c r="A1403" s="9"/>
    </row>
    <row r="1404" spans="1:1" ht="15.75" customHeight="1" thickBot="1" x14ac:dyDescent="0.3">
      <c r="A1404" s="9"/>
    </row>
    <row r="1405" spans="1:1" ht="15.75" customHeight="1" thickBot="1" x14ac:dyDescent="0.3">
      <c r="A1405" s="9"/>
    </row>
    <row r="1406" spans="1:1" ht="15.75" customHeight="1" thickBot="1" x14ac:dyDescent="0.3">
      <c r="A1406" s="9"/>
    </row>
    <row r="1407" spans="1:1" ht="15.75" customHeight="1" thickBot="1" x14ac:dyDescent="0.3">
      <c r="A1407" s="9"/>
    </row>
    <row r="1408" spans="1:1" ht="15.75" customHeight="1" thickBot="1" x14ac:dyDescent="0.3">
      <c r="A1408" s="9"/>
    </row>
    <row r="1409" spans="1:1" ht="15.75" customHeight="1" thickBot="1" x14ac:dyDescent="0.3">
      <c r="A1409" s="9"/>
    </row>
    <row r="1410" spans="1:1" ht="15.75" customHeight="1" thickBot="1" x14ac:dyDescent="0.3">
      <c r="A1410" s="9"/>
    </row>
    <row r="1411" spans="1:1" ht="15.75" customHeight="1" thickBot="1" x14ac:dyDescent="0.3">
      <c r="A1411" s="9"/>
    </row>
    <row r="1412" spans="1:1" ht="15.75" customHeight="1" thickBot="1" x14ac:dyDescent="0.3">
      <c r="A1412" s="9"/>
    </row>
    <row r="1413" spans="1:1" ht="15.75" customHeight="1" thickBot="1" x14ac:dyDescent="0.3">
      <c r="A1413" s="9"/>
    </row>
    <row r="1414" spans="1:1" ht="15.75" customHeight="1" thickBot="1" x14ac:dyDescent="0.3">
      <c r="A1414" s="9"/>
    </row>
    <row r="1415" spans="1:1" ht="15.75" customHeight="1" thickBot="1" x14ac:dyDescent="0.3">
      <c r="A1415" s="9"/>
    </row>
    <row r="1416" spans="1:1" ht="15.75" customHeight="1" thickBot="1" x14ac:dyDescent="0.3">
      <c r="A1416" s="9"/>
    </row>
    <row r="1417" spans="1:1" ht="15.75" customHeight="1" thickBot="1" x14ac:dyDescent="0.3">
      <c r="A1417" s="9"/>
    </row>
    <row r="1418" spans="1:1" ht="15.75" customHeight="1" thickBot="1" x14ac:dyDescent="0.3">
      <c r="A1418" s="9"/>
    </row>
    <row r="1419" spans="1:1" ht="15.75" customHeight="1" thickBot="1" x14ac:dyDescent="0.3">
      <c r="A1419" s="9"/>
    </row>
    <row r="1420" spans="1:1" ht="15.75" customHeight="1" thickBot="1" x14ac:dyDescent="0.3">
      <c r="A1420" s="9"/>
    </row>
    <row r="1421" spans="1:1" ht="15.75" customHeight="1" thickBot="1" x14ac:dyDescent="0.3">
      <c r="A1421" s="9"/>
    </row>
    <row r="1422" spans="1:1" ht="15.75" customHeight="1" thickBot="1" x14ac:dyDescent="0.3">
      <c r="A1422" s="9"/>
    </row>
    <row r="1423" spans="1:1" ht="15.75" customHeight="1" thickBot="1" x14ac:dyDescent="0.3">
      <c r="A1423" s="9"/>
    </row>
    <row r="1424" spans="1:1" ht="15.75" customHeight="1" thickBot="1" x14ac:dyDescent="0.3">
      <c r="A1424" s="9"/>
    </row>
    <row r="1425" spans="1:1" ht="15.75" customHeight="1" thickBot="1" x14ac:dyDescent="0.3">
      <c r="A1425" s="9"/>
    </row>
    <row r="1426" spans="1:1" ht="15.75" customHeight="1" thickBot="1" x14ac:dyDescent="0.3">
      <c r="A1426" s="9"/>
    </row>
    <row r="1427" spans="1:1" ht="15.75" customHeight="1" thickBot="1" x14ac:dyDescent="0.3">
      <c r="A1427" s="9"/>
    </row>
    <row r="1428" spans="1:1" ht="15.75" customHeight="1" thickBot="1" x14ac:dyDescent="0.3">
      <c r="A1428" s="9"/>
    </row>
    <row r="1429" spans="1:1" ht="15.75" customHeight="1" thickBot="1" x14ac:dyDescent="0.3">
      <c r="A1429" s="9"/>
    </row>
    <row r="1430" spans="1:1" ht="15.75" customHeight="1" thickBot="1" x14ac:dyDescent="0.3">
      <c r="A1430" s="9"/>
    </row>
    <row r="1431" spans="1:1" ht="15.75" customHeight="1" thickBot="1" x14ac:dyDescent="0.3">
      <c r="A1431" s="9"/>
    </row>
    <row r="1432" spans="1:1" ht="15.75" customHeight="1" thickBot="1" x14ac:dyDescent="0.3">
      <c r="A1432" s="9"/>
    </row>
    <row r="1433" spans="1:1" ht="15.75" customHeight="1" thickBot="1" x14ac:dyDescent="0.3">
      <c r="A1433" s="9"/>
    </row>
    <row r="1434" spans="1:1" ht="15.75" customHeight="1" thickBot="1" x14ac:dyDescent="0.3">
      <c r="A1434" s="9"/>
    </row>
    <row r="1435" spans="1:1" ht="15.75" customHeight="1" thickBot="1" x14ac:dyDescent="0.3">
      <c r="A1435" s="9"/>
    </row>
    <row r="1436" spans="1:1" ht="15.75" customHeight="1" thickBot="1" x14ac:dyDescent="0.3">
      <c r="A1436" s="9"/>
    </row>
    <row r="1437" spans="1:1" ht="15.75" customHeight="1" thickBot="1" x14ac:dyDescent="0.3">
      <c r="A1437" s="9"/>
    </row>
    <row r="1438" spans="1:1" ht="15.75" customHeight="1" thickBot="1" x14ac:dyDescent="0.3">
      <c r="A1438" s="9"/>
    </row>
    <row r="1439" spans="1:1" ht="15.75" customHeight="1" thickBot="1" x14ac:dyDescent="0.3">
      <c r="A1439" s="9"/>
    </row>
    <row r="1440" spans="1:1" ht="15.75" customHeight="1" thickBot="1" x14ac:dyDescent="0.3">
      <c r="A1440" s="9"/>
    </row>
    <row r="1441" spans="1:1" ht="15.75" customHeight="1" thickBot="1" x14ac:dyDescent="0.3">
      <c r="A1441" s="9"/>
    </row>
    <row r="1442" spans="1:1" ht="15.75" customHeight="1" thickBot="1" x14ac:dyDescent="0.3">
      <c r="A1442" s="9"/>
    </row>
    <row r="1443" spans="1:1" ht="15.75" customHeight="1" thickBot="1" x14ac:dyDescent="0.3">
      <c r="A1443" s="9"/>
    </row>
    <row r="1444" spans="1:1" ht="15.75" customHeight="1" thickBot="1" x14ac:dyDescent="0.3">
      <c r="A1444" s="9"/>
    </row>
    <row r="1445" spans="1:1" ht="15.75" customHeight="1" thickBot="1" x14ac:dyDescent="0.3">
      <c r="A1445" s="9"/>
    </row>
    <row r="1446" spans="1:1" ht="15.75" customHeight="1" thickBot="1" x14ac:dyDescent="0.3">
      <c r="A1446" s="9"/>
    </row>
    <row r="1447" spans="1:1" ht="15.75" customHeight="1" thickBot="1" x14ac:dyDescent="0.3">
      <c r="A1447" s="9"/>
    </row>
    <row r="1448" spans="1:1" ht="15.75" customHeight="1" thickBot="1" x14ac:dyDescent="0.3">
      <c r="A1448" s="9"/>
    </row>
    <row r="1449" spans="1:1" ht="15.75" customHeight="1" thickBot="1" x14ac:dyDescent="0.3">
      <c r="A1449" s="9"/>
    </row>
    <row r="1450" spans="1:1" ht="15.75" customHeight="1" thickBot="1" x14ac:dyDescent="0.3">
      <c r="A1450" s="9"/>
    </row>
    <row r="1451" spans="1:1" ht="15.75" customHeight="1" thickBot="1" x14ac:dyDescent="0.3">
      <c r="A1451" s="9"/>
    </row>
    <row r="1452" spans="1:1" ht="15.75" customHeight="1" thickBot="1" x14ac:dyDescent="0.3">
      <c r="A1452" s="9"/>
    </row>
    <row r="1453" spans="1:1" ht="15.75" customHeight="1" thickBot="1" x14ac:dyDescent="0.3">
      <c r="A1453" s="9"/>
    </row>
    <row r="1454" spans="1:1" ht="15.75" customHeight="1" thickBot="1" x14ac:dyDescent="0.3">
      <c r="A1454" s="9"/>
    </row>
    <row r="1455" spans="1:1" ht="15.75" customHeight="1" thickBot="1" x14ac:dyDescent="0.3">
      <c r="A1455" s="9"/>
    </row>
    <row r="1456" spans="1:1" ht="15.75" customHeight="1" thickBot="1" x14ac:dyDescent="0.3">
      <c r="A1456" s="9"/>
    </row>
    <row r="1457" spans="1:1" ht="15.75" customHeight="1" thickBot="1" x14ac:dyDescent="0.3">
      <c r="A1457" s="9"/>
    </row>
    <row r="1458" spans="1:1" ht="15.75" customHeight="1" thickBot="1" x14ac:dyDescent="0.3">
      <c r="A1458" s="9"/>
    </row>
    <row r="1459" spans="1:1" ht="15.75" customHeight="1" thickBot="1" x14ac:dyDescent="0.3">
      <c r="A1459" s="9"/>
    </row>
    <row r="1460" spans="1:1" ht="15.75" customHeight="1" thickBot="1" x14ac:dyDescent="0.3">
      <c r="A1460" s="9"/>
    </row>
    <row r="1461" spans="1:1" ht="15.75" customHeight="1" thickBot="1" x14ac:dyDescent="0.3">
      <c r="A1461" s="9"/>
    </row>
    <row r="1462" spans="1:1" ht="15.75" customHeight="1" thickBot="1" x14ac:dyDescent="0.3">
      <c r="A1462" s="9"/>
    </row>
    <row r="1463" spans="1:1" ht="15.75" customHeight="1" thickBot="1" x14ac:dyDescent="0.3">
      <c r="A1463" s="9"/>
    </row>
    <row r="1464" spans="1:1" ht="15.75" customHeight="1" thickBot="1" x14ac:dyDescent="0.3">
      <c r="A1464" s="9"/>
    </row>
    <row r="1465" spans="1:1" ht="15.75" customHeight="1" thickBot="1" x14ac:dyDescent="0.3">
      <c r="A1465" s="9"/>
    </row>
    <row r="1466" spans="1:1" ht="15.75" customHeight="1" thickBot="1" x14ac:dyDescent="0.3">
      <c r="A1466" s="9"/>
    </row>
    <row r="1467" spans="1:1" ht="15.75" customHeight="1" thickBot="1" x14ac:dyDescent="0.3">
      <c r="A1467" s="9"/>
    </row>
    <row r="1468" spans="1:1" ht="15.75" customHeight="1" thickBot="1" x14ac:dyDescent="0.3">
      <c r="A1468" s="9"/>
    </row>
    <row r="1469" spans="1:1" ht="15.75" customHeight="1" thickBot="1" x14ac:dyDescent="0.3">
      <c r="A1469" s="9"/>
    </row>
    <row r="1470" spans="1:1" ht="15.75" customHeight="1" thickBot="1" x14ac:dyDescent="0.3">
      <c r="A1470" s="9"/>
    </row>
    <row r="1471" spans="1:1" ht="15.75" customHeight="1" thickBot="1" x14ac:dyDescent="0.3">
      <c r="A1471" s="9"/>
    </row>
    <row r="1472" spans="1:1" ht="15.75" customHeight="1" thickBot="1" x14ac:dyDescent="0.3">
      <c r="A1472" s="9"/>
    </row>
    <row r="1473" spans="1:1" ht="15.75" customHeight="1" thickBot="1" x14ac:dyDescent="0.3">
      <c r="A1473" s="9"/>
    </row>
    <row r="1474" spans="1:1" ht="15.75" customHeight="1" thickBot="1" x14ac:dyDescent="0.3">
      <c r="A1474" s="9"/>
    </row>
    <row r="1475" spans="1:1" ht="15.75" customHeight="1" thickBot="1" x14ac:dyDescent="0.3">
      <c r="A1475" s="9"/>
    </row>
    <row r="1476" spans="1:1" ht="15.75" customHeight="1" thickBot="1" x14ac:dyDescent="0.3">
      <c r="A1476" s="9"/>
    </row>
    <row r="1477" spans="1:1" ht="15.75" customHeight="1" thickBot="1" x14ac:dyDescent="0.3">
      <c r="A1477" s="9"/>
    </row>
    <row r="1478" spans="1:1" ht="15.75" customHeight="1" thickBot="1" x14ac:dyDescent="0.3">
      <c r="A1478" s="9"/>
    </row>
    <row r="1479" spans="1:1" ht="15.75" customHeight="1" thickBot="1" x14ac:dyDescent="0.3">
      <c r="A1479" s="9"/>
    </row>
    <row r="1480" spans="1:1" ht="15.75" customHeight="1" thickBot="1" x14ac:dyDescent="0.3">
      <c r="A1480" s="9"/>
    </row>
    <row r="1481" spans="1:1" ht="15.75" customHeight="1" thickBot="1" x14ac:dyDescent="0.3">
      <c r="A1481" s="9"/>
    </row>
    <row r="1482" spans="1:1" ht="15.75" customHeight="1" thickBot="1" x14ac:dyDescent="0.3">
      <c r="A1482" s="9"/>
    </row>
    <row r="1483" spans="1:1" ht="15.75" customHeight="1" thickBot="1" x14ac:dyDescent="0.3">
      <c r="A1483" s="9"/>
    </row>
    <row r="1484" spans="1:1" ht="15.75" customHeight="1" thickBot="1" x14ac:dyDescent="0.3">
      <c r="A1484" s="9"/>
    </row>
    <row r="1485" spans="1:1" ht="15.75" customHeight="1" thickBot="1" x14ac:dyDescent="0.3">
      <c r="A1485" s="9"/>
    </row>
    <row r="1486" spans="1:1" ht="15.75" customHeight="1" thickBot="1" x14ac:dyDescent="0.3">
      <c r="A1486" s="9"/>
    </row>
    <row r="1487" spans="1:1" ht="15.75" customHeight="1" thickBot="1" x14ac:dyDescent="0.3">
      <c r="A1487" s="9"/>
    </row>
    <row r="1488" spans="1:1" ht="15.75" customHeight="1" thickBot="1" x14ac:dyDescent="0.3">
      <c r="A1488" s="9"/>
    </row>
    <row r="1489" spans="1:1" ht="15.75" customHeight="1" thickBot="1" x14ac:dyDescent="0.3">
      <c r="A1489" s="9"/>
    </row>
    <row r="1490" spans="1:1" ht="15.75" customHeight="1" thickBot="1" x14ac:dyDescent="0.3">
      <c r="A1490" s="9"/>
    </row>
    <row r="1491" spans="1:1" ht="15.75" customHeight="1" thickBot="1" x14ac:dyDescent="0.3">
      <c r="A1491" s="9"/>
    </row>
    <row r="1492" spans="1:1" ht="15.75" customHeight="1" thickBot="1" x14ac:dyDescent="0.3">
      <c r="A1492" s="9"/>
    </row>
    <row r="1493" spans="1:1" ht="15.75" customHeight="1" thickBot="1" x14ac:dyDescent="0.3">
      <c r="A1493" s="9"/>
    </row>
    <row r="1494" spans="1:1" ht="15.75" customHeight="1" thickBot="1" x14ac:dyDescent="0.3">
      <c r="A1494" s="9"/>
    </row>
    <row r="1495" spans="1:1" ht="15.75" customHeight="1" thickBot="1" x14ac:dyDescent="0.3">
      <c r="A1495" s="9"/>
    </row>
    <row r="1496" spans="1:1" ht="15.75" customHeight="1" thickBot="1" x14ac:dyDescent="0.3">
      <c r="A1496" s="9"/>
    </row>
    <row r="1497" spans="1:1" ht="15.75" customHeight="1" thickBot="1" x14ac:dyDescent="0.3">
      <c r="A1497" s="9"/>
    </row>
    <row r="1498" spans="1:1" ht="15.75" customHeight="1" thickBot="1" x14ac:dyDescent="0.3">
      <c r="A1498" s="9"/>
    </row>
    <row r="1499" spans="1:1" ht="15.75" customHeight="1" thickBot="1" x14ac:dyDescent="0.3">
      <c r="A1499" s="9"/>
    </row>
    <row r="1500" spans="1:1" ht="15.75" customHeight="1" thickBot="1" x14ac:dyDescent="0.3">
      <c r="A1500" s="9"/>
    </row>
    <row r="1501" spans="1:1" ht="15.75" customHeight="1" thickBot="1" x14ac:dyDescent="0.3">
      <c r="A1501" s="9"/>
    </row>
    <row r="1502" spans="1:1" ht="15.75" customHeight="1" thickBot="1" x14ac:dyDescent="0.3">
      <c r="A1502" s="9"/>
    </row>
    <row r="1503" spans="1:1" ht="15.75" customHeight="1" thickBot="1" x14ac:dyDescent="0.3">
      <c r="A1503" s="9"/>
    </row>
    <row r="1504" spans="1:1" ht="15.75" customHeight="1" thickBot="1" x14ac:dyDescent="0.3">
      <c r="A1504" s="9"/>
    </row>
    <row r="1505" spans="1:1" ht="15.75" customHeight="1" thickBot="1" x14ac:dyDescent="0.3">
      <c r="A1505" s="9"/>
    </row>
    <row r="1506" spans="1:1" ht="15.75" customHeight="1" thickBot="1" x14ac:dyDescent="0.3">
      <c r="A1506" s="9"/>
    </row>
    <row r="1507" spans="1:1" ht="15.75" customHeight="1" thickBot="1" x14ac:dyDescent="0.3">
      <c r="A1507" s="9"/>
    </row>
    <row r="1508" spans="1:1" ht="15.75" customHeight="1" thickBot="1" x14ac:dyDescent="0.3">
      <c r="A1508" s="9"/>
    </row>
    <row r="1509" spans="1:1" ht="15.75" customHeight="1" thickBot="1" x14ac:dyDescent="0.3">
      <c r="A1509" s="9"/>
    </row>
    <row r="1510" spans="1:1" ht="15.75" customHeight="1" thickBot="1" x14ac:dyDescent="0.3">
      <c r="A1510" s="9"/>
    </row>
    <row r="1511" spans="1:1" ht="15.75" customHeight="1" thickBot="1" x14ac:dyDescent="0.3">
      <c r="A1511" s="9"/>
    </row>
    <row r="1512" spans="1:1" ht="15.75" customHeight="1" thickBot="1" x14ac:dyDescent="0.3">
      <c r="A1512" s="9"/>
    </row>
    <row r="1513" spans="1:1" ht="15.75" customHeight="1" thickBot="1" x14ac:dyDescent="0.3">
      <c r="A1513" s="9"/>
    </row>
    <row r="1514" spans="1:1" ht="15.75" customHeight="1" thickBot="1" x14ac:dyDescent="0.3">
      <c r="A1514" s="9"/>
    </row>
    <row r="1515" spans="1:1" ht="15.75" customHeight="1" thickBot="1" x14ac:dyDescent="0.3">
      <c r="A1515" s="9"/>
    </row>
    <row r="1516" spans="1:1" ht="15.75" customHeight="1" thickBot="1" x14ac:dyDescent="0.3">
      <c r="A1516" s="9"/>
    </row>
    <row r="1517" spans="1:1" ht="15.75" customHeight="1" thickBot="1" x14ac:dyDescent="0.3">
      <c r="A1517" s="9"/>
    </row>
    <row r="1518" spans="1:1" ht="15.75" customHeight="1" thickBot="1" x14ac:dyDescent="0.3">
      <c r="A1518" s="9"/>
    </row>
    <row r="1519" spans="1:1" ht="15.75" customHeight="1" thickBot="1" x14ac:dyDescent="0.3">
      <c r="A1519" s="9"/>
    </row>
    <row r="1520" spans="1:1" ht="15.75" customHeight="1" thickBot="1" x14ac:dyDescent="0.3">
      <c r="A1520" s="9"/>
    </row>
    <row r="1521" spans="1:1" ht="15.75" customHeight="1" thickBot="1" x14ac:dyDescent="0.3">
      <c r="A1521" s="9"/>
    </row>
    <row r="1522" spans="1:1" ht="15.75" customHeight="1" thickBot="1" x14ac:dyDescent="0.3">
      <c r="A1522" s="9"/>
    </row>
    <row r="1523" spans="1:1" ht="15.75" customHeight="1" thickBot="1" x14ac:dyDescent="0.3">
      <c r="A1523" s="9"/>
    </row>
    <row r="1524" spans="1:1" ht="15.75" customHeight="1" thickBot="1" x14ac:dyDescent="0.3">
      <c r="A1524" s="9"/>
    </row>
    <row r="1525" spans="1:1" ht="15.75" customHeight="1" thickBot="1" x14ac:dyDescent="0.3">
      <c r="A1525" s="9"/>
    </row>
    <row r="1526" spans="1:1" ht="15.75" customHeight="1" thickBot="1" x14ac:dyDescent="0.3">
      <c r="A1526" s="9"/>
    </row>
    <row r="1527" spans="1:1" ht="15.75" customHeight="1" thickBot="1" x14ac:dyDescent="0.3">
      <c r="A1527" s="9"/>
    </row>
    <row r="1528" spans="1:1" ht="15.75" customHeight="1" thickBot="1" x14ac:dyDescent="0.3">
      <c r="A1528" s="9"/>
    </row>
    <row r="1529" spans="1:1" ht="15.75" customHeight="1" thickBot="1" x14ac:dyDescent="0.3">
      <c r="A1529" s="9"/>
    </row>
    <row r="1530" spans="1:1" ht="15.75" customHeight="1" thickBot="1" x14ac:dyDescent="0.3">
      <c r="A1530" s="9"/>
    </row>
    <row r="1531" spans="1:1" ht="15.75" customHeight="1" thickBot="1" x14ac:dyDescent="0.3">
      <c r="A1531" s="9"/>
    </row>
    <row r="1532" spans="1:1" ht="15.75" customHeight="1" thickBot="1" x14ac:dyDescent="0.3">
      <c r="A1532" s="9"/>
    </row>
    <row r="1533" spans="1:1" ht="15.75" customHeight="1" thickBot="1" x14ac:dyDescent="0.3">
      <c r="A1533" s="9"/>
    </row>
    <row r="1534" spans="1:1" ht="15.75" customHeight="1" thickBot="1" x14ac:dyDescent="0.3">
      <c r="A1534" s="9"/>
    </row>
    <row r="1535" spans="1:1" ht="15.75" customHeight="1" thickBot="1" x14ac:dyDescent="0.3">
      <c r="A1535" s="9"/>
    </row>
    <row r="1536" spans="1:1" ht="15.75" customHeight="1" thickBot="1" x14ac:dyDescent="0.3">
      <c r="A1536" s="9"/>
    </row>
    <row r="1537" spans="1:1" ht="15.75" customHeight="1" thickBot="1" x14ac:dyDescent="0.3">
      <c r="A1537" s="9"/>
    </row>
    <row r="1538" spans="1:1" ht="15.75" customHeight="1" thickBot="1" x14ac:dyDescent="0.3">
      <c r="A1538" s="9"/>
    </row>
    <row r="1539" spans="1:1" ht="15.75" customHeight="1" thickBot="1" x14ac:dyDescent="0.3">
      <c r="A1539" s="9"/>
    </row>
    <row r="1540" spans="1:1" ht="15.75" customHeight="1" thickBot="1" x14ac:dyDescent="0.3">
      <c r="A1540" s="9"/>
    </row>
    <row r="1541" spans="1:1" ht="15.75" customHeight="1" thickBot="1" x14ac:dyDescent="0.3">
      <c r="A1541" s="9"/>
    </row>
    <row r="1542" spans="1:1" ht="15.75" customHeight="1" thickBot="1" x14ac:dyDescent="0.3">
      <c r="A1542" s="9"/>
    </row>
    <row r="1543" spans="1:1" ht="15.75" customHeight="1" thickBot="1" x14ac:dyDescent="0.3">
      <c r="A1543" s="9"/>
    </row>
    <row r="1544" spans="1:1" ht="15.75" customHeight="1" thickBot="1" x14ac:dyDescent="0.3">
      <c r="A1544" s="9"/>
    </row>
    <row r="1545" spans="1:1" ht="15.75" customHeight="1" thickBot="1" x14ac:dyDescent="0.3">
      <c r="A1545" s="9"/>
    </row>
    <row r="1546" spans="1:1" ht="15.75" customHeight="1" thickBot="1" x14ac:dyDescent="0.3">
      <c r="A1546" s="9"/>
    </row>
    <row r="1547" spans="1:1" ht="15.75" customHeight="1" thickBot="1" x14ac:dyDescent="0.3">
      <c r="A1547" s="9"/>
    </row>
    <row r="1548" spans="1:1" ht="15.75" customHeight="1" thickBot="1" x14ac:dyDescent="0.3">
      <c r="A1548" s="9"/>
    </row>
    <row r="1549" spans="1:1" ht="15.75" customHeight="1" thickBot="1" x14ac:dyDescent="0.3">
      <c r="A1549" s="9"/>
    </row>
    <row r="1550" spans="1:1" ht="15.75" customHeight="1" thickBot="1" x14ac:dyDescent="0.3">
      <c r="A1550" s="9"/>
    </row>
    <row r="1551" spans="1:1" ht="15.75" customHeight="1" thickBot="1" x14ac:dyDescent="0.3">
      <c r="A1551" s="9"/>
    </row>
    <row r="1552" spans="1:1" ht="15.75" customHeight="1" thickBot="1" x14ac:dyDescent="0.3">
      <c r="A1552" s="9"/>
    </row>
    <row r="1553" spans="1:1" ht="15.75" customHeight="1" thickBot="1" x14ac:dyDescent="0.3">
      <c r="A1553" s="9"/>
    </row>
    <row r="1554" spans="1:1" ht="15.75" customHeight="1" thickBot="1" x14ac:dyDescent="0.3">
      <c r="A1554" s="9"/>
    </row>
    <row r="1555" spans="1:1" ht="15.75" customHeight="1" thickBot="1" x14ac:dyDescent="0.3">
      <c r="A1555" s="9"/>
    </row>
    <row r="1556" spans="1:1" ht="15.75" customHeight="1" thickBot="1" x14ac:dyDescent="0.3">
      <c r="A1556" s="9"/>
    </row>
    <row r="1557" spans="1:1" ht="15.75" customHeight="1" thickBot="1" x14ac:dyDescent="0.3">
      <c r="A1557" s="9"/>
    </row>
    <row r="1558" spans="1:1" ht="15.75" customHeight="1" thickBot="1" x14ac:dyDescent="0.3">
      <c r="A1558" s="9"/>
    </row>
    <row r="1559" spans="1:1" ht="15.75" customHeight="1" thickBot="1" x14ac:dyDescent="0.3">
      <c r="A1559" s="9"/>
    </row>
    <row r="1560" spans="1:1" ht="15.75" customHeight="1" thickBot="1" x14ac:dyDescent="0.3">
      <c r="A1560" s="9"/>
    </row>
    <row r="1561" spans="1:1" ht="15.75" customHeight="1" thickBot="1" x14ac:dyDescent="0.3">
      <c r="A1561" s="9"/>
    </row>
    <row r="1562" spans="1:1" ht="15.75" customHeight="1" thickBot="1" x14ac:dyDescent="0.3">
      <c r="A1562" s="9"/>
    </row>
    <row r="1563" spans="1:1" ht="15.75" customHeight="1" thickBot="1" x14ac:dyDescent="0.3">
      <c r="A1563" s="9"/>
    </row>
    <row r="1564" spans="1:1" ht="15.75" customHeight="1" thickBot="1" x14ac:dyDescent="0.3">
      <c r="A1564" s="9"/>
    </row>
    <row r="1565" spans="1:1" ht="15.75" customHeight="1" thickBot="1" x14ac:dyDescent="0.3">
      <c r="A1565" s="9"/>
    </row>
    <row r="1566" spans="1:1" ht="15.75" customHeight="1" thickBot="1" x14ac:dyDescent="0.3">
      <c r="A1566" s="9"/>
    </row>
    <row r="1567" spans="1:1" ht="15.75" customHeight="1" thickBot="1" x14ac:dyDescent="0.3">
      <c r="A1567" s="9"/>
    </row>
    <row r="1568" spans="1:1" ht="15.75" customHeight="1" thickBot="1" x14ac:dyDescent="0.3">
      <c r="A1568" s="9"/>
    </row>
    <row r="1569" spans="1:1" ht="15.75" customHeight="1" thickBot="1" x14ac:dyDescent="0.3">
      <c r="A1569" s="9"/>
    </row>
    <row r="1570" spans="1:1" ht="15.75" customHeight="1" thickBot="1" x14ac:dyDescent="0.3">
      <c r="A1570" s="9"/>
    </row>
    <row r="1571" spans="1:1" ht="15.75" customHeight="1" thickBot="1" x14ac:dyDescent="0.3">
      <c r="A1571" s="9"/>
    </row>
    <row r="1572" spans="1:1" ht="15.75" customHeight="1" thickBot="1" x14ac:dyDescent="0.3">
      <c r="A1572" s="9"/>
    </row>
    <row r="1573" spans="1:1" ht="15.75" customHeight="1" thickBot="1" x14ac:dyDescent="0.3">
      <c r="A1573" s="9"/>
    </row>
    <row r="1574" spans="1:1" ht="15.75" customHeight="1" thickBot="1" x14ac:dyDescent="0.3">
      <c r="A1574" s="9"/>
    </row>
    <row r="1575" spans="1:1" ht="15.75" customHeight="1" thickBot="1" x14ac:dyDescent="0.3">
      <c r="A1575" s="9"/>
    </row>
    <row r="1576" spans="1:1" ht="15.75" customHeight="1" thickBot="1" x14ac:dyDescent="0.3">
      <c r="A1576" s="9"/>
    </row>
    <row r="1577" spans="1:1" ht="15.75" customHeight="1" thickBot="1" x14ac:dyDescent="0.3">
      <c r="A1577" s="9"/>
    </row>
    <row r="1578" spans="1:1" ht="15.75" customHeight="1" thickBot="1" x14ac:dyDescent="0.3">
      <c r="A1578" s="9"/>
    </row>
    <row r="1579" spans="1:1" ht="15.75" customHeight="1" thickBot="1" x14ac:dyDescent="0.3">
      <c r="A1579" s="9"/>
    </row>
    <row r="1580" spans="1:1" ht="15.75" customHeight="1" thickBot="1" x14ac:dyDescent="0.3">
      <c r="A1580" s="9"/>
    </row>
    <row r="1581" spans="1:1" ht="15.75" customHeight="1" thickBot="1" x14ac:dyDescent="0.3">
      <c r="A1581" s="9"/>
    </row>
    <row r="1582" spans="1:1" ht="15.75" customHeight="1" thickBot="1" x14ac:dyDescent="0.3">
      <c r="A1582" s="9"/>
    </row>
    <row r="1583" spans="1:1" ht="15.75" customHeight="1" thickBot="1" x14ac:dyDescent="0.3">
      <c r="A1583" s="9"/>
    </row>
    <row r="1584" spans="1:1" ht="15.75" customHeight="1" thickBot="1" x14ac:dyDescent="0.3">
      <c r="A1584" s="9"/>
    </row>
    <row r="1585" spans="1:1" ht="15.75" customHeight="1" thickBot="1" x14ac:dyDescent="0.3">
      <c r="A1585" s="9"/>
    </row>
    <row r="1586" spans="1:1" ht="15.75" customHeight="1" thickBot="1" x14ac:dyDescent="0.3">
      <c r="A1586" s="9"/>
    </row>
    <row r="1587" spans="1:1" ht="15.75" customHeight="1" thickBot="1" x14ac:dyDescent="0.3">
      <c r="A1587" s="9"/>
    </row>
    <row r="1588" spans="1:1" ht="15.75" customHeight="1" thickBot="1" x14ac:dyDescent="0.3">
      <c r="A1588" s="9"/>
    </row>
    <row r="1589" spans="1:1" ht="15.75" customHeight="1" thickBot="1" x14ac:dyDescent="0.3">
      <c r="A1589" s="9"/>
    </row>
    <row r="1590" spans="1:1" ht="15.75" customHeight="1" thickBot="1" x14ac:dyDescent="0.3">
      <c r="A1590" s="9"/>
    </row>
    <row r="1591" spans="1:1" ht="15.75" customHeight="1" thickBot="1" x14ac:dyDescent="0.3">
      <c r="A1591" s="9"/>
    </row>
    <row r="1592" spans="1:1" ht="15.75" customHeight="1" thickBot="1" x14ac:dyDescent="0.3">
      <c r="A1592" s="9"/>
    </row>
    <row r="1593" spans="1:1" ht="15.75" customHeight="1" thickBot="1" x14ac:dyDescent="0.3">
      <c r="A1593" s="9"/>
    </row>
    <row r="1594" spans="1:1" ht="15.75" customHeight="1" thickBot="1" x14ac:dyDescent="0.3">
      <c r="A1594" s="9"/>
    </row>
    <row r="1595" spans="1:1" ht="15.75" customHeight="1" thickBot="1" x14ac:dyDescent="0.3">
      <c r="A1595" s="9"/>
    </row>
    <row r="1596" spans="1:1" ht="15.75" customHeight="1" thickBot="1" x14ac:dyDescent="0.3">
      <c r="A1596" s="9"/>
    </row>
    <row r="1597" spans="1:1" ht="15.75" customHeight="1" thickBot="1" x14ac:dyDescent="0.3">
      <c r="A1597" s="9"/>
    </row>
    <row r="1598" spans="1:1" ht="15.75" customHeight="1" thickBot="1" x14ac:dyDescent="0.3">
      <c r="A1598" s="9"/>
    </row>
    <row r="1599" spans="1:1" ht="15.75" customHeight="1" thickBot="1" x14ac:dyDescent="0.3">
      <c r="A1599" s="9"/>
    </row>
    <row r="1600" spans="1:1" ht="15.75" customHeight="1" thickBot="1" x14ac:dyDescent="0.3">
      <c r="A1600" s="9"/>
    </row>
    <row r="1601" spans="1:1" ht="15.75" customHeight="1" thickBot="1" x14ac:dyDescent="0.3">
      <c r="A1601" s="9"/>
    </row>
    <row r="1602" spans="1:1" ht="15.75" customHeight="1" thickBot="1" x14ac:dyDescent="0.3">
      <c r="A1602" s="9"/>
    </row>
    <row r="1603" spans="1:1" ht="15.75" customHeight="1" thickBot="1" x14ac:dyDescent="0.3">
      <c r="A1603" s="9"/>
    </row>
    <row r="1604" spans="1:1" ht="15.75" customHeight="1" thickBot="1" x14ac:dyDescent="0.3">
      <c r="A1604" s="9"/>
    </row>
    <row r="1605" spans="1:1" ht="15.75" customHeight="1" thickBot="1" x14ac:dyDescent="0.3">
      <c r="A1605" s="9"/>
    </row>
    <row r="1606" spans="1:1" ht="15.75" customHeight="1" thickBot="1" x14ac:dyDescent="0.3">
      <c r="A1606" s="9"/>
    </row>
    <row r="1607" spans="1:1" ht="15.75" customHeight="1" thickBot="1" x14ac:dyDescent="0.3">
      <c r="A1607" s="9"/>
    </row>
    <row r="1608" spans="1:1" ht="15.75" customHeight="1" thickBot="1" x14ac:dyDescent="0.3">
      <c r="A1608" s="9"/>
    </row>
    <row r="1609" spans="1:1" ht="15.75" customHeight="1" thickBot="1" x14ac:dyDescent="0.3">
      <c r="A1609" s="9"/>
    </row>
    <row r="1610" spans="1:1" ht="15.75" customHeight="1" thickBot="1" x14ac:dyDescent="0.3">
      <c r="A1610" s="9"/>
    </row>
    <row r="1611" spans="1:1" ht="15.75" customHeight="1" thickBot="1" x14ac:dyDescent="0.3">
      <c r="A1611" s="9"/>
    </row>
    <row r="1612" spans="1:1" ht="15.75" customHeight="1" thickBot="1" x14ac:dyDescent="0.3">
      <c r="A1612" s="9"/>
    </row>
    <row r="1613" spans="1:1" ht="15.75" customHeight="1" thickBot="1" x14ac:dyDescent="0.3">
      <c r="A1613" s="9"/>
    </row>
    <row r="1614" spans="1:1" ht="15.75" customHeight="1" thickBot="1" x14ac:dyDescent="0.3">
      <c r="A1614" s="9"/>
    </row>
    <row r="1615" spans="1:1" ht="15.75" customHeight="1" thickBot="1" x14ac:dyDescent="0.3">
      <c r="A1615" s="9"/>
    </row>
    <row r="1616" spans="1:1" ht="15.75" customHeight="1" thickBot="1" x14ac:dyDescent="0.3">
      <c r="A1616" s="9"/>
    </row>
    <row r="1617" spans="1:1" ht="15.75" customHeight="1" thickBot="1" x14ac:dyDescent="0.3">
      <c r="A1617" s="9"/>
    </row>
    <row r="1618" spans="1:1" ht="15.75" customHeight="1" thickBot="1" x14ac:dyDescent="0.3">
      <c r="A1618" s="9"/>
    </row>
    <row r="1619" spans="1:1" ht="15.75" customHeight="1" thickBot="1" x14ac:dyDescent="0.3">
      <c r="A1619" s="9"/>
    </row>
    <row r="1620" spans="1:1" ht="15.75" customHeight="1" thickBot="1" x14ac:dyDescent="0.3">
      <c r="A1620" s="9"/>
    </row>
    <row r="1621" spans="1:1" ht="15.75" customHeight="1" thickBot="1" x14ac:dyDescent="0.3">
      <c r="A1621" s="9"/>
    </row>
    <row r="1622" spans="1:1" ht="15.75" customHeight="1" thickBot="1" x14ac:dyDescent="0.3">
      <c r="A1622" s="9"/>
    </row>
    <row r="1623" spans="1:1" ht="15.75" customHeight="1" thickBot="1" x14ac:dyDescent="0.3">
      <c r="A1623" s="9"/>
    </row>
    <row r="1624" spans="1:1" ht="15.75" customHeight="1" thickBot="1" x14ac:dyDescent="0.3">
      <c r="A1624" s="9"/>
    </row>
    <row r="1625" spans="1:1" ht="15.75" customHeight="1" thickBot="1" x14ac:dyDescent="0.3">
      <c r="A1625" s="9"/>
    </row>
    <row r="1626" spans="1:1" ht="15.75" customHeight="1" thickBot="1" x14ac:dyDescent="0.3">
      <c r="A1626" s="9"/>
    </row>
    <row r="1627" spans="1:1" ht="15.75" customHeight="1" thickBot="1" x14ac:dyDescent="0.3">
      <c r="A1627" s="9"/>
    </row>
    <row r="1628" spans="1:1" ht="15.75" customHeight="1" thickBot="1" x14ac:dyDescent="0.3">
      <c r="A1628" s="9"/>
    </row>
    <row r="1629" spans="1:1" ht="15.75" customHeight="1" thickBot="1" x14ac:dyDescent="0.3">
      <c r="A1629" s="9"/>
    </row>
    <row r="1630" spans="1:1" ht="15.75" customHeight="1" thickBot="1" x14ac:dyDescent="0.3">
      <c r="A1630" s="9"/>
    </row>
    <row r="1631" spans="1:1" ht="15.75" customHeight="1" thickBot="1" x14ac:dyDescent="0.3">
      <c r="A1631" s="9"/>
    </row>
    <row r="1632" spans="1:1" ht="15.75" customHeight="1" thickBot="1" x14ac:dyDescent="0.3">
      <c r="A1632" s="9"/>
    </row>
    <row r="1633" spans="1:1" ht="15.75" customHeight="1" thickBot="1" x14ac:dyDescent="0.3">
      <c r="A1633" s="9"/>
    </row>
    <row r="1634" spans="1:1" ht="15.75" customHeight="1" thickBot="1" x14ac:dyDescent="0.3">
      <c r="A1634" s="9"/>
    </row>
    <row r="1635" spans="1:1" ht="15.75" customHeight="1" thickBot="1" x14ac:dyDescent="0.3">
      <c r="A1635" s="9"/>
    </row>
    <row r="1636" spans="1:1" ht="15.75" customHeight="1" thickBot="1" x14ac:dyDescent="0.3">
      <c r="A1636" s="9"/>
    </row>
    <row r="1637" spans="1:1" ht="15.75" customHeight="1" thickBot="1" x14ac:dyDescent="0.3">
      <c r="A1637" s="9"/>
    </row>
    <row r="1638" spans="1:1" ht="15.75" customHeight="1" thickBot="1" x14ac:dyDescent="0.3">
      <c r="A1638" s="9"/>
    </row>
    <row r="1639" spans="1:1" ht="15.75" customHeight="1" thickBot="1" x14ac:dyDescent="0.3">
      <c r="A1639" s="9"/>
    </row>
    <row r="1640" spans="1:1" ht="15.75" customHeight="1" thickBot="1" x14ac:dyDescent="0.3">
      <c r="A1640" s="9"/>
    </row>
    <row r="1641" spans="1:1" ht="15.75" customHeight="1" thickBot="1" x14ac:dyDescent="0.3">
      <c r="A1641" s="9"/>
    </row>
    <row r="1642" spans="1:1" ht="15.75" customHeight="1" thickBot="1" x14ac:dyDescent="0.3">
      <c r="A1642" s="9"/>
    </row>
    <row r="1643" spans="1:1" ht="15.75" customHeight="1" thickBot="1" x14ac:dyDescent="0.3">
      <c r="A1643" s="9"/>
    </row>
    <row r="1644" spans="1:1" ht="15.75" customHeight="1" thickBot="1" x14ac:dyDescent="0.3">
      <c r="A1644" s="9"/>
    </row>
    <row r="1645" spans="1:1" ht="15.75" customHeight="1" thickBot="1" x14ac:dyDescent="0.3">
      <c r="A1645" s="9"/>
    </row>
    <row r="1646" spans="1:1" ht="15.75" customHeight="1" thickBot="1" x14ac:dyDescent="0.3">
      <c r="A1646" s="9"/>
    </row>
    <row r="1647" spans="1:1" ht="15.75" customHeight="1" thickBot="1" x14ac:dyDescent="0.3">
      <c r="A1647" s="9"/>
    </row>
    <row r="1648" spans="1:1" ht="15.75" customHeight="1" thickBot="1" x14ac:dyDescent="0.3">
      <c r="A1648" s="9"/>
    </row>
    <row r="1649" spans="1:1" ht="15.75" customHeight="1" thickBot="1" x14ac:dyDescent="0.3">
      <c r="A1649" s="9"/>
    </row>
    <row r="1650" spans="1:1" ht="15.75" customHeight="1" thickBot="1" x14ac:dyDescent="0.3">
      <c r="A1650" s="9"/>
    </row>
    <row r="1651" spans="1:1" ht="15.75" customHeight="1" thickBot="1" x14ac:dyDescent="0.3">
      <c r="A1651" s="9"/>
    </row>
    <row r="1652" spans="1:1" ht="15.75" customHeight="1" thickBot="1" x14ac:dyDescent="0.3">
      <c r="A1652" s="9"/>
    </row>
    <row r="1653" spans="1:1" ht="15.75" customHeight="1" thickBot="1" x14ac:dyDescent="0.3">
      <c r="A1653" s="9"/>
    </row>
    <row r="1654" spans="1:1" ht="15.75" customHeight="1" thickBot="1" x14ac:dyDescent="0.3">
      <c r="A1654" s="9"/>
    </row>
    <row r="1655" spans="1:1" ht="15.75" customHeight="1" thickBot="1" x14ac:dyDescent="0.3">
      <c r="A1655" s="9"/>
    </row>
    <row r="1656" spans="1:1" ht="15.75" customHeight="1" thickBot="1" x14ac:dyDescent="0.3">
      <c r="A1656" s="9"/>
    </row>
    <row r="1657" spans="1:1" ht="15.75" customHeight="1" thickBot="1" x14ac:dyDescent="0.3">
      <c r="A1657" s="9"/>
    </row>
    <row r="1658" spans="1:1" ht="15.75" customHeight="1" thickBot="1" x14ac:dyDescent="0.3">
      <c r="A1658" s="9"/>
    </row>
    <row r="1659" spans="1:1" ht="15.75" customHeight="1" thickBot="1" x14ac:dyDescent="0.3">
      <c r="A1659" s="9"/>
    </row>
    <row r="1660" spans="1:1" ht="15.75" customHeight="1" thickBot="1" x14ac:dyDescent="0.3">
      <c r="A1660" s="9"/>
    </row>
    <row r="1661" spans="1:1" ht="15.75" customHeight="1" thickBot="1" x14ac:dyDescent="0.3">
      <c r="A1661" s="9"/>
    </row>
    <row r="1662" spans="1:1" ht="15.75" customHeight="1" thickBot="1" x14ac:dyDescent="0.3">
      <c r="A1662" s="9"/>
    </row>
    <row r="1663" spans="1:1" ht="15.75" customHeight="1" thickBot="1" x14ac:dyDescent="0.3">
      <c r="A1663" s="9"/>
    </row>
    <row r="1664" spans="1:1" ht="15.75" customHeight="1" thickBot="1" x14ac:dyDescent="0.3">
      <c r="A1664" s="9"/>
    </row>
    <row r="1665" spans="1:1" ht="15.75" customHeight="1" thickBot="1" x14ac:dyDescent="0.3">
      <c r="A1665" s="9"/>
    </row>
    <row r="1666" spans="1:1" ht="15.75" customHeight="1" thickBot="1" x14ac:dyDescent="0.3">
      <c r="A1666" s="9"/>
    </row>
    <row r="1667" spans="1:1" ht="15.75" customHeight="1" thickBot="1" x14ac:dyDescent="0.3">
      <c r="A1667" s="9"/>
    </row>
    <row r="1668" spans="1:1" ht="15.75" customHeight="1" thickBot="1" x14ac:dyDescent="0.3">
      <c r="A1668" s="9"/>
    </row>
    <row r="1669" spans="1:1" ht="15.75" customHeight="1" thickBot="1" x14ac:dyDescent="0.3">
      <c r="A1669" s="9"/>
    </row>
    <row r="1670" spans="1:1" ht="15.75" customHeight="1" thickBot="1" x14ac:dyDescent="0.3">
      <c r="A1670" s="9"/>
    </row>
    <row r="1671" spans="1:1" ht="15.75" customHeight="1" thickBot="1" x14ac:dyDescent="0.3">
      <c r="A1671" s="9"/>
    </row>
    <row r="1672" spans="1:1" ht="15.75" customHeight="1" thickBot="1" x14ac:dyDescent="0.3">
      <c r="A1672" s="9"/>
    </row>
    <row r="1673" spans="1:1" ht="15.75" customHeight="1" thickBot="1" x14ac:dyDescent="0.3">
      <c r="A1673" s="9"/>
    </row>
    <row r="1674" spans="1:1" ht="15.75" customHeight="1" thickBot="1" x14ac:dyDescent="0.3">
      <c r="A1674" s="9"/>
    </row>
    <row r="1675" spans="1:1" ht="15.75" customHeight="1" thickBot="1" x14ac:dyDescent="0.3">
      <c r="A1675" s="9"/>
    </row>
    <row r="1676" spans="1:1" ht="15.75" customHeight="1" thickBot="1" x14ac:dyDescent="0.3">
      <c r="A1676" s="9"/>
    </row>
    <row r="1677" spans="1:1" ht="15.75" customHeight="1" thickBot="1" x14ac:dyDescent="0.3">
      <c r="A1677" s="9"/>
    </row>
    <row r="1678" spans="1:1" ht="15.75" customHeight="1" thickBot="1" x14ac:dyDescent="0.3">
      <c r="A1678" s="9"/>
    </row>
    <row r="1679" spans="1:1" ht="15.75" customHeight="1" thickBot="1" x14ac:dyDescent="0.3">
      <c r="A1679" s="9"/>
    </row>
    <row r="1680" spans="1:1" ht="15.75" customHeight="1" thickBot="1" x14ac:dyDescent="0.3">
      <c r="A1680" s="9"/>
    </row>
    <row r="1681" spans="1:1" ht="15.75" customHeight="1" thickBot="1" x14ac:dyDescent="0.3">
      <c r="A1681" s="9"/>
    </row>
    <row r="1682" spans="1:1" ht="15.75" customHeight="1" thickBot="1" x14ac:dyDescent="0.3">
      <c r="A1682" s="9"/>
    </row>
    <row r="1683" spans="1:1" ht="15.75" customHeight="1" thickBot="1" x14ac:dyDescent="0.3">
      <c r="A1683" s="9"/>
    </row>
    <row r="1684" spans="1:1" ht="15.75" customHeight="1" thickBot="1" x14ac:dyDescent="0.3">
      <c r="A1684" s="9"/>
    </row>
    <row r="1685" spans="1:1" ht="15.75" customHeight="1" thickBot="1" x14ac:dyDescent="0.3">
      <c r="A1685" s="9"/>
    </row>
    <row r="1686" spans="1:1" ht="15.75" customHeight="1" thickBot="1" x14ac:dyDescent="0.3">
      <c r="A1686" s="9"/>
    </row>
    <row r="1687" spans="1:1" ht="15.75" customHeight="1" thickBot="1" x14ac:dyDescent="0.3">
      <c r="A1687" s="9"/>
    </row>
    <row r="1688" spans="1:1" ht="15.75" customHeight="1" thickBot="1" x14ac:dyDescent="0.3">
      <c r="A1688" s="9"/>
    </row>
    <row r="1689" spans="1:1" ht="15.75" customHeight="1" thickBot="1" x14ac:dyDescent="0.3">
      <c r="A1689" s="9"/>
    </row>
    <row r="1690" spans="1:1" ht="15.75" customHeight="1" thickBot="1" x14ac:dyDescent="0.3">
      <c r="A1690" s="9"/>
    </row>
    <row r="1691" spans="1:1" ht="15.75" customHeight="1" thickBot="1" x14ac:dyDescent="0.3">
      <c r="A1691" s="9"/>
    </row>
    <row r="1692" spans="1:1" ht="15.75" customHeight="1" thickBot="1" x14ac:dyDescent="0.3">
      <c r="A1692" s="9"/>
    </row>
    <row r="1693" spans="1:1" ht="15.75" customHeight="1" thickBot="1" x14ac:dyDescent="0.3">
      <c r="A1693" s="9"/>
    </row>
    <row r="1694" spans="1:1" ht="15.75" customHeight="1" thickBot="1" x14ac:dyDescent="0.3">
      <c r="A1694" s="9"/>
    </row>
    <row r="1695" spans="1:1" ht="15.75" customHeight="1" thickBot="1" x14ac:dyDescent="0.3">
      <c r="A1695" s="9"/>
    </row>
    <row r="1696" spans="1:1" ht="15.75" customHeight="1" thickBot="1" x14ac:dyDescent="0.3">
      <c r="A1696" s="9"/>
    </row>
    <row r="1697" spans="1:1" ht="15.75" customHeight="1" thickBot="1" x14ac:dyDescent="0.3">
      <c r="A1697" s="9"/>
    </row>
    <row r="1698" spans="1:1" ht="15.75" customHeight="1" thickBot="1" x14ac:dyDescent="0.3">
      <c r="A1698" s="9"/>
    </row>
    <row r="1699" spans="1:1" ht="15.75" customHeight="1" thickBot="1" x14ac:dyDescent="0.3">
      <c r="A1699" s="9"/>
    </row>
    <row r="1700" spans="1:1" ht="15.75" customHeight="1" thickBot="1" x14ac:dyDescent="0.3">
      <c r="A1700" s="9"/>
    </row>
    <row r="1701" spans="1:1" ht="15.75" customHeight="1" thickBot="1" x14ac:dyDescent="0.3">
      <c r="A1701" s="9"/>
    </row>
    <row r="1702" spans="1:1" ht="15.75" customHeight="1" thickBot="1" x14ac:dyDescent="0.3">
      <c r="A1702" s="9"/>
    </row>
    <row r="1703" spans="1:1" ht="15.75" customHeight="1" thickBot="1" x14ac:dyDescent="0.3">
      <c r="A1703" s="9"/>
    </row>
    <row r="1704" spans="1:1" ht="15.75" customHeight="1" thickBot="1" x14ac:dyDescent="0.3">
      <c r="A1704" s="9"/>
    </row>
    <row r="1705" spans="1:1" ht="15.75" customHeight="1" thickBot="1" x14ac:dyDescent="0.3">
      <c r="A1705" s="9"/>
    </row>
    <row r="1706" spans="1:1" ht="15.75" customHeight="1" thickBot="1" x14ac:dyDescent="0.3">
      <c r="A1706" s="9"/>
    </row>
    <row r="1707" spans="1:1" ht="15.75" customHeight="1" thickBot="1" x14ac:dyDescent="0.3">
      <c r="A1707" s="9"/>
    </row>
    <row r="1708" spans="1:1" ht="15.75" customHeight="1" thickBot="1" x14ac:dyDescent="0.3">
      <c r="A1708" s="9"/>
    </row>
    <row r="1709" spans="1:1" ht="15.75" customHeight="1" thickBot="1" x14ac:dyDescent="0.3">
      <c r="A1709" s="9"/>
    </row>
    <row r="1710" spans="1:1" ht="15.75" customHeight="1" thickBot="1" x14ac:dyDescent="0.3">
      <c r="A1710" s="9"/>
    </row>
    <row r="1711" spans="1:1" ht="15.75" customHeight="1" thickBot="1" x14ac:dyDescent="0.3">
      <c r="A1711" s="9"/>
    </row>
    <row r="1712" spans="1:1" ht="15.75" customHeight="1" thickBot="1" x14ac:dyDescent="0.3">
      <c r="A1712" s="9"/>
    </row>
    <row r="1713" spans="1:1" ht="15.75" customHeight="1" thickBot="1" x14ac:dyDescent="0.3">
      <c r="A1713" s="9"/>
    </row>
    <row r="1714" spans="1:1" ht="15.75" customHeight="1" thickBot="1" x14ac:dyDescent="0.3">
      <c r="A1714" s="9"/>
    </row>
    <row r="1715" spans="1:1" ht="15.75" customHeight="1" thickBot="1" x14ac:dyDescent="0.3">
      <c r="A1715" s="9"/>
    </row>
    <row r="1716" spans="1:1" ht="15.75" customHeight="1" thickBot="1" x14ac:dyDescent="0.3">
      <c r="A1716" s="9"/>
    </row>
    <row r="1717" spans="1:1" ht="15.75" customHeight="1" thickBot="1" x14ac:dyDescent="0.3">
      <c r="A1717" s="9"/>
    </row>
    <row r="1718" spans="1:1" ht="15.75" customHeight="1" thickBot="1" x14ac:dyDescent="0.3">
      <c r="A1718" s="9"/>
    </row>
    <row r="1719" spans="1:1" ht="15.75" customHeight="1" thickBot="1" x14ac:dyDescent="0.3">
      <c r="A1719" s="9"/>
    </row>
    <row r="1720" spans="1:1" ht="15.75" customHeight="1" thickBot="1" x14ac:dyDescent="0.3">
      <c r="A1720" s="9"/>
    </row>
    <row r="1721" spans="1:1" ht="15.75" customHeight="1" thickBot="1" x14ac:dyDescent="0.3">
      <c r="A1721" s="9"/>
    </row>
    <row r="1722" spans="1:1" ht="15.75" customHeight="1" thickBot="1" x14ac:dyDescent="0.3">
      <c r="A1722" s="9"/>
    </row>
    <row r="1723" spans="1:1" ht="15.75" customHeight="1" thickBot="1" x14ac:dyDescent="0.3">
      <c r="A1723" s="9"/>
    </row>
    <row r="1724" spans="1:1" ht="15.75" customHeight="1" thickBot="1" x14ac:dyDescent="0.3">
      <c r="A1724" s="9"/>
    </row>
    <row r="1725" spans="1:1" ht="15.75" customHeight="1" thickBot="1" x14ac:dyDescent="0.3">
      <c r="A1725" s="9"/>
    </row>
    <row r="1726" spans="1:1" ht="15.75" customHeight="1" thickBot="1" x14ac:dyDescent="0.3">
      <c r="A1726" s="9"/>
    </row>
    <row r="1727" spans="1:1" ht="15.75" customHeight="1" thickBot="1" x14ac:dyDescent="0.3">
      <c r="A1727" s="9"/>
    </row>
    <row r="1728" spans="1:1" ht="15.75" customHeight="1" thickBot="1" x14ac:dyDescent="0.3">
      <c r="A1728" s="9"/>
    </row>
    <row r="1729" spans="1:1" ht="15.75" customHeight="1" thickBot="1" x14ac:dyDescent="0.3">
      <c r="A1729" s="9"/>
    </row>
    <row r="1730" spans="1:1" ht="15.75" customHeight="1" thickBot="1" x14ac:dyDescent="0.3">
      <c r="A1730" s="9"/>
    </row>
    <row r="1731" spans="1:1" ht="15.75" customHeight="1" thickBot="1" x14ac:dyDescent="0.3">
      <c r="A1731" s="9"/>
    </row>
    <row r="1732" spans="1:1" ht="15.75" customHeight="1" thickBot="1" x14ac:dyDescent="0.3">
      <c r="A1732" s="9"/>
    </row>
    <row r="1733" spans="1:1" ht="15.75" customHeight="1" thickBot="1" x14ac:dyDescent="0.3">
      <c r="A1733" s="9"/>
    </row>
    <row r="1734" spans="1:1" ht="15.75" customHeight="1" thickBot="1" x14ac:dyDescent="0.3">
      <c r="A1734" s="9"/>
    </row>
    <row r="1735" spans="1:1" ht="15.75" customHeight="1" thickBot="1" x14ac:dyDescent="0.3">
      <c r="A1735" s="9"/>
    </row>
    <row r="1736" spans="1:1" ht="15.75" customHeight="1" thickBot="1" x14ac:dyDescent="0.3">
      <c r="A1736" s="9"/>
    </row>
    <row r="1737" spans="1:1" ht="15.75" customHeight="1" thickBot="1" x14ac:dyDescent="0.3">
      <c r="A1737" s="9"/>
    </row>
    <row r="1738" spans="1:1" ht="15.75" customHeight="1" thickBot="1" x14ac:dyDescent="0.3">
      <c r="A1738" s="9"/>
    </row>
    <row r="1739" spans="1:1" ht="15.75" customHeight="1" thickBot="1" x14ac:dyDescent="0.3">
      <c r="A1739" s="9"/>
    </row>
    <row r="1740" spans="1:1" ht="15.75" customHeight="1" thickBot="1" x14ac:dyDescent="0.3">
      <c r="A1740" s="9"/>
    </row>
    <row r="1741" spans="1:1" ht="15.75" customHeight="1" thickBot="1" x14ac:dyDescent="0.3">
      <c r="A1741" s="9"/>
    </row>
    <row r="1742" spans="1:1" ht="15.75" customHeight="1" thickBot="1" x14ac:dyDescent="0.3">
      <c r="A1742" s="9"/>
    </row>
    <row r="1743" spans="1:1" ht="15.75" customHeight="1" thickBot="1" x14ac:dyDescent="0.3">
      <c r="A1743" s="9"/>
    </row>
    <row r="1744" spans="1:1" ht="15.75" customHeight="1" thickBot="1" x14ac:dyDescent="0.3">
      <c r="A1744" s="9"/>
    </row>
    <row r="1745" spans="1:1" ht="15.75" customHeight="1" thickBot="1" x14ac:dyDescent="0.3">
      <c r="A1745" s="9"/>
    </row>
    <row r="1746" spans="1:1" ht="15.75" customHeight="1" thickBot="1" x14ac:dyDescent="0.3">
      <c r="A1746" s="9"/>
    </row>
    <row r="1747" spans="1:1" ht="15.75" customHeight="1" thickBot="1" x14ac:dyDescent="0.3">
      <c r="A1747" s="9"/>
    </row>
    <row r="1748" spans="1:1" ht="15.75" customHeight="1" thickBot="1" x14ac:dyDescent="0.3">
      <c r="A1748" s="9"/>
    </row>
    <row r="1749" spans="1:1" ht="15.75" customHeight="1" thickBot="1" x14ac:dyDescent="0.3">
      <c r="A1749" s="9"/>
    </row>
    <row r="1750" spans="1:1" ht="15.75" customHeight="1" thickBot="1" x14ac:dyDescent="0.3">
      <c r="A1750" s="9"/>
    </row>
    <row r="1751" spans="1:1" ht="15.75" customHeight="1" thickBot="1" x14ac:dyDescent="0.3">
      <c r="A1751" s="9"/>
    </row>
    <row r="1752" spans="1:1" ht="15.75" customHeight="1" thickBot="1" x14ac:dyDescent="0.3">
      <c r="A1752" s="9"/>
    </row>
    <row r="1753" spans="1:1" ht="15.75" customHeight="1" thickBot="1" x14ac:dyDescent="0.3">
      <c r="A1753" s="9"/>
    </row>
    <row r="1754" spans="1:1" ht="15.75" customHeight="1" thickBot="1" x14ac:dyDescent="0.3">
      <c r="A1754" s="9"/>
    </row>
    <row r="1755" spans="1:1" ht="15.75" customHeight="1" thickBot="1" x14ac:dyDescent="0.3">
      <c r="A1755" s="9"/>
    </row>
    <row r="1756" spans="1:1" ht="15.75" customHeight="1" thickBot="1" x14ac:dyDescent="0.3">
      <c r="A1756" s="9"/>
    </row>
    <row r="1757" spans="1:1" ht="15.75" customHeight="1" thickBot="1" x14ac:dyDescent="0.3">
      <c r="A1757" s="9"/>
    </row>
    <row r="1758" spans="1:1" ht="15.75" customHeight="1" thickBot="1" x14ac:dyDescent="0.3">
      <c r="A1758" s="9"/>
    </row>
    <row r="1759" spans="1:1" ht="15.75" customHeight="1" thickBot="1" x14ac:dyDescent="0.3">
      <c r="A1759" s="9"/>
    </row>
    <row r="1760" spans="1:1" ht="15.75" customHeight="1" thickBot="1" x14ac:dyDescent="0.3">
      <c r="A1760" s="9"/>
    </row>
    <row r="1761" spans="1:1" ht="15.75" customHeight="1" thickBot="1" x14ac:dyDescent="0.3">
      <c r="A1761" s="9"/>
    </row>
    <row r="1762" spans="1:1" ht="15.75" customHeight="1" thickBot="1" x14ac:dyDescent="0.3">
      <c r="A1762" s="9"/>
    </row>
    <row r="1763" spans="1:1" ht="15.75" customHeight="1" thickBot="1" x14ac:dyDescent="0.3">
      <c r="A1763" s="9"/>
    </row>
    <row r="1764" spans="1:1" ht="15.75" customHeight="1" thickBot="1" x14ac:dyDescent="0.3">
      <c r="A1764" s="9"/>
    </row>
    <row r="1765" spans="1:1" ht="15.75" customHeight="1" thickBot="1" x14ac:dyDescent="0.3">
      <c r="A1765" s="9"/>
    </row>
    <row r="1766" spans="1:1" ht="15.75" customHeight="1" thickBot="1" x14ac:dyDescent="0.3">
      <c r="A1766" s="9"/>
    </row>
    <row r="1767" spans="1:1" ht="15.75" customHeight="1" thickBot="1" x14ac:dyDescent="0.3">
      <c r="A1767" s="9"/>
    </row>
    <row r="1768" spans="1:1" ht="15.75" customHeight="1" thickBot="1" x14ac:dyDescent="0.3">
      <c r="A1768" s="9"/>
    </row>
    <row r="1769" spans="1:1" ht="15.75" customHeight="1" thickBot="1" x14ac:dyDescent="0.3">
      <c r="A1769" s="9"/>
    </row>
    <row r="1770" spans="1:1" ht="15.75" customHeight="1" thickBot="1" x14ac:dyDescent="0.3">
      <c r="A1770" s="9"/>
    </row>
    <row r="1771" spans="1:1" ht="15.75" customHeight="1" thickBot="1" x14ac:dyDescent="0.3">
      <c r="A1771" s="9"/>
    </row>
    <row r="1772" spans="1:1" ht="15.75" customHeight="1" thickBot="1" x14ac:dyDescent="0.3">
      <c r="A1772" s="9"/>
    </row>
    <row r="1773" spans="1:1" ht="15.75" customHeight="1" thickBot="1" x14ac:dyDescent="0.3">
      <c r="A1773" s="9"/>
    </row>
    <row r="1774" spans="1:1" ht="15.75" customHeight="1" thickBot="1" x14ac:dyDescent="0.3">
      <c r="A1774" s="9"/>
    </row>
    <row r="1775" spans="1:1" ht="15.75" customHeight="1" thickBot="1" x14ac:dyDescent="0.3">
      <c r="A1775" s="9"/>
    </row>
    <row r="1776" spans="1:1" ht="15.75" customHeight="1" thickBot="1" x14ac:dyDescent="0.3">
      <c r="A1776" s="9"/>
    </row>
    <row r="1777" spans="1:1" ht="15.75" customHeight="1" thickBot="1" x14ac:dyDescent="0.3">
      <c r="A1777" s="9"/>
    </row>
    <row r="1778" spans="1:1" ht="15.75" customHeight="1" thickBot="1" x14ac:dyDescent="0.3">
      <c r="A1778" s="9"/>
    </row>
    <row r="1779" spans="1:1" ht="15.75" customHeight="1" thickBot="1" x14ac:dyDescent="0.3">
      <c r="A1779" s="9"/>
    </row>
    <row r="1780" spans="1:1" ht="15.75" customHeight="1" thickBot="1" x14ac:dyDescent="0.3">
      <c r="A1780" s="9"/>
    </row>
    <row r="1781" spans="1:1" ht="15.75" customHeight="1" thickBot="1" x14ac:dyDescent="0.3">
      <c r="A1781" s="9"/>
    </row>
    <row r="1782" spans="1:1" ht="15.75" customHeight="1" thickBot="1" x14ac:dyDescent="0.3">
      <c r="A1782" s="9"/>
    </row>
    <row r="1783" spans="1:1" ht="15.75" customHeight="1" thickBot="1" x14ac:dyDescent="0.3">
      <c r="A1783" s="9"/>
    </row>
    <row r="1784" spans="1:1" ht="15.75" customHeight="1" thickBot="1" x14ac:dyDescent="0.3">
      <c r="A1784" s="9"/>
    </row>
    <row r="1785" spans="1:1" ht="15.75" customHeight="1" thickBot="1" x14ac:dyDescent="0.3">
      <c r="A1785" s="9"/>
    </row>
    <row r="1786" spans="1:1" ht="15.75" customHeight="1" thickBot="1" x14ac:dyDescent="0.3">
      <c r="A1786" s="9"/>
    </row>
    <row r="1787" spans="1:1" ht="15.75" customHeight="1" thickBot="1" x14ac:dyDescent="0.3">
      <c r="A1787" s="9"/>
    </row>
    <row r="1788" spans="1:1" ht="15.75" customHeight="1" thickBot="1" x14ac:dyDescent="0.3">
      <c r="A1788" s="9"/>
    </row>
    <row r="1789" spans="1:1" ht="15.75" customHeight="1" thickBot="1" x14ac:dyDescent="0.3">
      <c r="A1789" s="9"/>
    </row>
    <row r="1790" spans="1:1" ht="15.75" customHeight="1" thickBot="1" x14ac:dyDescent="0.3">
      <c r="A1790" s="9"/>
    </row>
    <row r="1791" spans="1:1" ht="15.75" customHeight="1" thickBot="1" x14ac:dyDescent="0.3">
      <c r="A1791" s="9"/>
    </row>
    <row r="1792" spans="1:1" ht="15.75" customHeight="1" thickBot="1" x14ac:dyDescent="0.3">
      <c r="A1792" s="9"/>
    </row>
    <row r="1793" spans="1:1" ht="15.75" customHeight="1" thickBot="1" x14ac:dyDescent="0.3">
      <c r="A1793" s="9"/>
    </row>
    <row r="1794" spans="1:1" ht="15.75" customHeight="1" thickBot="1" x14ac:dyDescent="0.3">
      <c r="A1794" s="9"/>
    </row>
    <row r="1795" spans="1:1" ht="15.75" customHeight="1" thickBot="1" x14ac:dyDescent="0.3">
      <c r="A1795" s="9"/>
    </row>
    <row r="1796" spans="1:1" ht="15.75" customHeight="1" thickBot="1" x14ac:dyDescent="0.3">
      <c r="A1796" s="9"/>
    </row>
    <row r="1797" spans="1:1" ht="15.75" customHeight="1" thickBot="1" x14ac:dyDescent="0.3">
      <c r="A1797" s="9"/>
    </row>
    <row r="1798" spans="1:1" ht="15.75" customHeight="1" thickBot="1" x14ac:dyDescent="0.3">
      <c r="A1798" s="9"/>
    </row>
    <row r="1799" spans="1:1" ht="15.75" customHeight="1" thickBot="1" x14ac:dyDescent="0.3">
      <c r="A1799" s="9"/>
    </row>
    <row r="1800" spans="1:1" ht="15.75" customHeight="1" thickBot="1" x14ac:dyDescent="0.3">
      <c r="A1800" s="9"/>
    </row>
    <row r="1801" spans="1:1" ht="15.75" customHeight="1" thickBot="1" x14ac:dyDescent="0.3">
      <c r="A1801" s="9"/>
    </row>
    <row r="1802" spans="1:1" ht="15.75" customHeight="1" thickBot="1" x14ac:dyDescent="0.3">
      <c r="A1802" s="9"/>
    </row>
    <row r="1803" spans="1:1" ht="15.75" customHeight="1" thickBot="1" x14ac:dyDescent="0.3">
      <c r="A1803" s="9"/>
    </row>
    <row r="1804" spans="1:1" ht="15.75" customHeight="1" thickBot="1" x14ac:dyDescent="0.3">
      <c r="A1804" s="9"/>
    </row>
    <row r="1805" spans="1:1" ht="15.75" customHeight="1" thickBot="1" x14ac:dyDescent="0.3">
      <c r="A1805" s="9"/>
    </row>
    <row r="1806" spans="1:1" ht="15.75" customHeight="1" thickBot="1" x14ac:dyDescent="0.3">
      <c r="A1806" s="9"/>
    </row>
    <row r="1807" spans="1:1" ht="15.75" customHeight="1" thickBot="1" x14ac:dyDescent="0.3">
      <c r="A1807" s="9"/>
    </row>
    <row r="1808" spans="1:1" ht="15.75" customHeight="1" thickBot="1" x14ac:dyDescent="0.3">
      <c r="A1808" s="9"/>
    </row>
    <row r="1809" spans="1:1" ht="15.75" customHeight="1" thickBot="1" x14ac:dyDescent="0.3">
      <c r="A1809" s="9"/>
    </row>
    <row r="1810" spans="1:1" ht="15.75" customHeight="1" thickBot="1" x14ac:dyDescent="0.3">
      <c r="A1810" s="9"/>
    </row>
    <row r="1811" spans="1:1" ht="15.75" customHeight="1" thickBot="1" x14ac:dyDescent="0.3">
      <c r="A1811" s="9"/>
    </row>
    <row r="1812" spans="1:1" ht="15.75" customHeight="1" thickBot="1" x14ac:dyDescent="0.3">
      <c r="A1812" s="9"/>
    </row>
    <row r="1813" spans="1:1" ht="15.75" customHeight="1" thickBot="1" x14ac:dyDescent="0.3">
      <c r="A1813" s="9"/>
    </row>
    <row r="1814" spans="1:1" ht="15.75" customHeight="1" thickBot="1" x14ac:dyDescent="0.3">
      <c r="A1814" s="9"/>
    </row>
    <row r="1815" spans="1:1" ht="15.75" customHeight="1" thickBot="1" x14ac:dyDescent="0.3">
      <c r="A1815" s="9"/>
    </row>
    <row r="1816" spans="1:1" ht="15.75" customHeight="1" thickBot="1" x14ac:dyDescent="0.3">
      <c r="A1816" s="9"/>
    </row>
    <row r="1817" spans="1:1" ht="15.75" customHeight="1" thickBot="1" x14ac:dyDescent="0.3">
      <c r="A1817" s="9"/>
    </row>
    <row r="1818" spans="1:1" ht="15.75" customHeight="1" thickBot="1" x14ac:dyDescent="0.3">
      <c r="A1818" s="9"/>
    </row>
    <row r="1819" spans="1:1" ht="15.75" customHeight="1" thickBot="1" x14ac:dyDescent="0.3">
      <c r="A1819" s="9"/>
    </row>
    <row r="1820" spans="1:1" ht="15.75" customHeight="1" thickBot="1" x14ac:dyDescent="0.3">
      <c r="A1820" s="9"/>
    </row>
    <row r="1821" spans="1:1" ht="15.75" customHeight="1" thickBot="1" x14ac:dyDescent="0.3">
      <c r="A1821" s="9"/>
    </row>
    <row r="1822" spans="1:1" ht="15.75" customHeight="1" thickBot="1" x14ac:dyDescent="0.3">
      <c r="A1822" s="9"/>
    </row>
    <row r="1823" spans="1:1" ht="15.75" customHeight="1" thickBot="1" x14ac:dyDescent="0.3">
      <c r="A1823" s="9"/>
    </row>
    <row r="1824" spans="1:1" ht="15.75" customHeight="1" thickBot="1" x14ac:dyDescent="0.3">
      <c r="A1824" s="9"/>
    </row>
    <row r="1825" spans="1:1" ht="15.75" customHeight="1" thickBot="1" x14ac:dyDescent="0.3">
      <c r="A1825" s="9"/>
    </row>
    <row r="1826" spans="1:1" ht="15.75" customHeight="1" thickBot="1" x14ac:dyDescent="0.3">
      <c r="A1826" s="9"/>
    </row>
    <row r="1827" spans="1:1" ht="15.75" customHeight="1" thickBot="1" x14ac:dyDescent="0.3">
      <c r="A1827" s="9"/>
    </row>
    <row r="1828" spans="1:1" ht="15.75" customHeight="1" thickBot="1" x14ac:dyDescent="0.3">
      <c r="A1828" s="9"/>
    </row>
    <row r="1829" spans="1:1" ht="15.75" customHeight="1" thickBot="1" x14ac:dyDescent="0.3">
      <c r="A1829" s="9"/>
    </row>
    <row r="1830" spans="1:1" ht="15.75" customHeight="1" thickBot="1" x14ac:dyDescent="0.3">
      <c r="A1830" s="9"/>
    </row>
    <row r="1831" spans="1:1" ht="15.75" customHeight="1" thickBot="1" x14ac:dyDescent="0.3">
      <c r="A1831" s="9"/>
    </row>
    <row r="1832" spans="1:1" ht="15.75" customHeight="1" thickBot="1" x14ac:dyDescent="0.3">
      <c r="A1832" s="9"/>
    </row>
    <row r="1833" spans="1:1" ht="15.75" customHeight="1" thickBot="1" x14ac:dyDescent="0.3">
      <c r="A1833" s="9"/>
    </row>
    <row r="1834" spans="1:1" ht="15.75" customHeight="1" thickBot="1" x14ac:dyDescent="0.3">
      <c r="A1834" s="9"/>
    </row>
    <row r="1835" spans="1:1" ht="15.75" customHeight="1" thickBot="1" x14ac:dyDescent="0.3">
      <c r="A1835" s="9"/>
    </row>
    <row r="1836" spans="1:1" ht="15.75" customHeight="1" thickBot="1" x14ac:dyDescent="0.3">
      <c r="A1836" s="9"/>
    </row>
    <row r="1837" spans="1:1" ht="15.75" customHeight="1" thickBot="1" x14ac:dyDescent="0.3">
      <c r="A1837" s="9"/>
    </row>
    <row r="1838" spans="1:1" ht="15.75" customHeight="1" thickBot="1" x14ac:dyDescent="0.3">
      <c r="A1838" s="9"/>
    </row>
    <row r="1839" spans="1:1" ht="15.75" customHeight="1" thickBot="1" x14ac:dyDescent="0.3">
      <c r="A1839" s="9"/>
    </row>
    <row r="1840" spans="1:1" ht="15.75" customHeight="1" thickBot="1" x14ac:dyDescent="0.3">
      <c r="A1840" s="9"/>
    </row>
    <row r="1841" spans="1:1" ht="15.75" customHeight="1" thickBot="1" x14ac:dyDescent="0.3">
      <c r="A1841" s="9"/>
    </row>
    <row r="1842" spans="1:1" ht="15.75" customHeight="1" thickBot="1" x14ac:dyDescent="0.3">
      <c r="A1842" s="9"/>
    </row>
    <row r="1843" spans="1:1" ht="15.75" customHeight="1" thickBot="1" x14ac:dyDescent="0.3">
      <c r="A1843" s="9"/>
    </row>
    <row r="1844" spans="1:1" ht="15.75" customHeight="1" thickBot="1" x14ac:dyDescent="0.3">
      <c r="A1844" s="9"/>
    </row>
    <row r="1845" spans="1:1" ht="15.75" customHeight="1" thickBot="1" x14ac:dyDescent="0.3">
      <c r="A1845" s="9"/>
    </row>
    <row r="1846" spans="1:1" ht="15.75" customHeight="1" thickBot="1" x14ac:dyDescent="0.3">
      <c r="A1846" s="9"/>
    </row>
    <row r="1847" spans="1:1" ht="15.75" customHeight="1" thickBot="1" x14ac:dyDescent="0.3">
      <c r="A1847" s="9"/>
    </row>
    <row r="1848" spans="1:1" ht="15.75" customHeight="1" thickBot="1" x14ac:dyDescent="0.3">
      <c r="A1848" s="9"/>
    </row>
    <row r="1849" spans="1:1" ht="15.75" customHeight="1" thickBot="1" x14ac:dyDescent="0.3">
      <c r="A1849" s="9"/>
    </row>
    <row r="1850" spans="1:1" ht="15.75" customHeight="1" thickBot="1" x14ac:dyDescent="0.3">
      <c r="A1850" s="9"/>
    </row>
    <row r="1851" spans="1:1" ht="15.75" customHeight="1" thickBot="1" x14ac:dyDescent="0.3">
      <c r="A1851" s="9"/>
    </row>
    <row r="1852" spans="1:1" ht="15.75" customHeight="1" thickBot="1" x14ac:dyDescent="0.3">
      <c r="A1852" s="9"/>
    </row>
    <row r="1853" spans="1:1" ht="15.75" customHeight="1" thickBot="1" x14ac:dyDescent="0.3">
      <c r="A1853" s="9"/>
    </row>
    <row r="1854" spans="1:1" ht="15.75" customHeight="1" thickBot="1" x14ac:dyDescent="0.3">
      <c r="A1854" s="9"/>
    </row>
    <row r="1855" spans="1:1" ht="15.75" customHeight="1" thickBot="1" x14ac:dyDescent="0.3">
      <c r="A1855" s="9"/>
    </row>
    <row r="1856" spans="1:1" ht="15.75" customHeight="1" thickBot="1" x14ac:dyDescent="0.3">
      <c r="A1856" s="9"/>
    </row>
    <row r="1857" spans="1:1" ht="15.75" customHeight="1" thickBot="1" x14ac:dyDescent="0.3">
      <c r="A1857" s="9"/>
    </row>
    <row r="1858" spans="1:1" ht="15.75" customHeight="1" thickBot="1" x14ac:dyDescent="0.3">
      <c r="A1858" s="9"/>
    </row>
    <row r="1859" spans="1:1" ht="15.75" customHeight="1" thickBot="1" x14ac:dyDescent="0.3">
      <c r="A1859" s="9"/>
    </row>
    <row r="1860" spans="1:1" ht="15.75" customHeight="1" thickBot="1" x14ac:dyDescent="0.3">
      <c r="A1860" s="9"/>
    </row>
    <row r="1861" spans="1:1" ht="15.75" customHeight="1" thickBot="1" x14ac:dyDescent="0.3">
      <c r="A1861" s="9"/>
    </row>
    <row r="1862" spans="1:1" ht="15.75" customHeight="1" thickBot="1" x14ac:dyDescent="0.3">
      <c r="A1862" s="9"/>
    </row>
    <row r="1863" spans="1:1" ht="15.75" customHeight="1" thickBot="1" x14ac:dyDescent="0.3">
      <c r="A1863" s="9"/>
    </row>
    <row r="1864" spans="1:1" ht="15.75" customHeight="1" thickBot="1" x14ac:dyDescent="0.3">
      <c r="A1864" s="9"/>
    </row>
    <row r="1865" spans="1:1" ht="15.75" customHeight="1" thickBot="1" x14ac:dyDescent="0.3">
      <c r="A1865" s="9"/>
    </row>
    <row r="1866" spans="1:1" ht="15.75" customHeight="1" thickBot="1" x14ac:dyDescent="0.3">
      <c r="A1866" s="9"/>
    </row>
    <row r="1867" spans="1:1" ht="15.75" customHeight="1" thickBot="1" x14ac:dyDescent="0.3">
      <c r="A1867" s="9"/>
    </row>
    <row r="1868" spans="1:1" ht="15.75" customHeight="1" thickBot="1" x14ac:dyDescent="0.3">
      <c r="A1868" s="9"/>
    </row>
    <row r="1869" spans="1:1" ht="15.75" customHeight="1" thickBot="1" x14ac:dyDescent="0.3">
      <c r="A1869" s="9"/>
    </row>
    <row r="1870" spans="1:1" ht="15.75" customHeight="1" thickBot="1" x14ac:dyDescent="0.3">
      <c r="A1870" s="9"/>
    </row>
    <row r="1871" spans="1:1" ht="15.75" customHeight="1" thickBot="1" x14ac:dyDescent="0.3">
      <c r="A1871" s="9"/>
    </row>
    <row r="1872" spans="1:1" ht="15.75" customHeight="1" thickBot="1" x14ac:dyDescent="0.3">
      <c r="A1872" s="9"/>
    </row>
    <row r="1873" spans="1:1" ht="15.75" customHeight="1" thickBot="1" x14ac:dyDescent="0.3">
      <c r="A1873" s="9"/>
    </row>
    <row r="1874" spans="1:1" ht="15.75" customHeight="1" thickBot="1" x14ac:dyDescent="0.3">
      <c r="A1874" s="9"/>
    </row>
    <row r="1875" spans="1:1" ht="15.75" customHeight="1" thickBot="1" x14ac:dyDescent="0.3">
      <c r="A1875" s="9"/>
    </row>
    <row r="1876" spans="1:1" ht="15.75" customHeight="1" thickBot="1" x14ac:dyDescent="0.3">
      <c r="A1876" s="9"/>
    </row>
    <row r="1877" spans="1:1" ht="15.75" customHeight="1" thickBot="1" x14ac:dyDescent="0.3">
      <c r="A1877" s="9"/>
    </row>
    <row r="1878" spans="1:1" ht="15.75" customHeight="1" thickBot="1" x14ac:dyDescent="0.3">
      <c r="A1878" s="9"/>
    </row>
    <row r="1879" spans="1:1" ht="15.75" customHeight="1" thickBot="1" x14ac:dyDescent="0.3">
      <c r="A1879" s="9"/>
    </row>
    <row r="1880" spans="1:1" ht="15.75" customHeight="1" thickBot="1" x14ac:dyDescent="0.3">
      <c r="A1880" s="9"/>
    </row>
    <row r="1881" spans="1:1" ht="15.75" customHeight="1" thickBot="1" x14ac:dyDescent="0.3">
      <c r="A1881" s="9"/>
    </row>
    <row r="1882" spans="1:1" ht="15.75" customHeight="1" thickBot="1" x14ac:dyDescent="0.3">
      <c r="A1882" s="9"/>
    </row>
    <row r="1883" spans="1:1" ht="15.75" customHeight="1" thickBot="1" x14ac:dyDescent="0.3">
      <c r="A1883" s="9"/>
    </row>
    <row r="1884" spans="1:1" ht="15.75" customHeight="1" thickBot="1" x14ac:dyDescent="0.3">
      <c r="A1884" s="9"/>
    </row>
    <row r="1885" spans="1:1" ht="15.75" customHeight="1" thickBot="1" x14ac:dyDescent="0.3">
      <c r="A1885" s="9"/>
    </row>
    <row r="1886" spans="1:1" ht="15.75" customHeight="1" thickBot="1" x14ac:dyDescent="0.3">
      <c r="A1886" s="9"/>
    </row>
    <row r="1887" spans="1:1" ht="15.75" customHeight="1" thickBot="1" x14ac:dyDescent="0.3">
      <c r="A1887" s="9"/>
    </row>
    <row r="1888" spans="1:1" ht="15.75" customHeight="1" thickBot="1" x14ac:dyDescent="0.3">
      <c r="A1888" s="9"/>
    </row>
    <row r="1889" spans="1:1" ht="15.75" customHeight="1" thickBot="1" x14ac:dyDescent="0.3">
      <c r="A1889" s="9"/>
    </row>
    <row r="1890" spans="1:1" ht="15.75" customHeight="1" thickBot="1" x14ac:dyDescent="0.3">
      <c r="A1890" s="9"/>
    </row>
    <row r="1891" spans="1:1" ht="15.75" customHeight="1" thickBot="1" x14ac:dyDescent="0.3">
      <c r="A1891" s="9"/>
    </row>
    <row r="1892" spans="1:1" ht="15.75" customHeight="1" thickBot="1" x14ac:dyDescent="0.3">
      <c r="A1892" s="9"/>
    </row>
    <row r="1893" spans="1:1" ht="15.75" customHeight="1" thickBot="1" x14ac:dyDescent="0.3">
      <c r="A1893" s="9"/>
    </row>
    <row r="1894" spans="1:1" ht="15.75" customHeight="1" thickBot="1" x14ac:dyDescent="0.3">
      <c r="A1894" s="9"/>
    </row>
    <row r="1895" spans="1:1" ht="15.75" customHeight="1" thickBot="1" x14ac:dyDescent="0.3">
      <c r="A1895" s="9"/>
    </row>
    <row r="1896" spans="1:1" ht="15.75" customHeight="1" thickBot="1" x14ac:dyDescent="0.3">
      <c r="A1896" s="9"/>
    </row>
    <row r="1897" spans="1:1" ht="15.75" customHeight="1" thickBot="1" x14ac:dyDescent="0.3">
      <c r="A1897" s="9"/>
    </row>
    <row r="1898" spans="1:1" ht="15.75" customHeight="1" thickBot="1" x14ac:dyDescent="0.3">
      <c r="A1898" s="9"/>
    </row>
    <row r="1899" spans="1:1" ht="15.75" customHeight="1" thickBot="1" x14ac:dyDescent="0.3">
      <c r="A1899" s="9"/>
    </row>
    <row r="1900" spans="1:1" ht="15.75" customHeight="1" thickBot="1" x14ac:dyDescent="0.3">
      <c r="A1900" s="9"/>
    </row>
    <row r="1901" spans="1:1" ht="15.75" customHeight="1" thickBot="1" x14ac:dyDescent="0.3">
      <c r="A1901" s="9"/>
    </row>
    <row r="1902" spans="1:1" ht="15.75" customHeight="1" thickBot="1" x14ac:dyDescent="0.3">
      <c r="A1902" s="9"/>
    </row>
    <row r="1903" spans="1:1" ht="15.75" customHeight="1" thickBot="1" x14ac:dyDescent="0.3">
      <c r="A1903" s="9"/>
    </row>
    <row r="1904" spans="1:1" ht="15.75" customHeight="1" thickBot="1" x14ac:dyDescent="0.3">
      <c r="A1904" s="9"/>
    </row>
    <row r="1905" spans="1:1" ht="15.75" customHeight="1" thickBot="1" x14ac:dyDescent="0.3">
      <c r="A1905" s="9"/>
    </row>
    <row r="1906" spans="1:1" ht="15.75" customHeight="1" thickBot="1" x14ac:dyDescent="0.3">
      <c r="A1906" s="9"/>
    </row>
    <row r="1907" spans="1:1" ht="15.75" customHeight="1" thickBot="1" x14ac:dyDescent="0.3">
      <c r="A1907" s="9"/>
    </row>
    <row r="1908" spans="1:1" ht="15.75" customHeight="1" thickBot="1" x14ac:dyDescent="0.3">
      <c r="A1908" s="9"/>
    </row>
    <row r="1909" spans="1:1" ht="15.75" customHeight="1" thickBot="1" x14ac:dyDescent="0.3">
      <c r="A1909" s="9"/>
    </row>
    <row r="1910" spans="1:1" ht="15.75" customHeight="1" thickBot="1" x14ac:dyDescent="0.3">
      <c r="A1910" s="9"/>
    </row>
    <row r="1911" spans="1:1" ht="15.75" customHeight="1" thickBot="1" x14ac:dyDescent="0.3">
      <c r="A1911" s="9"/>
    </row>
    <row r="1912" spans="1:1" ht="15.75" customHeight="1" thickBot="1" x14ac:dyDescent="0.3">
      <c r="A1912" s="9"/>
    </row>
    <row r="1913" spans="1:1" ht="15.75" customHeight="1" thickBot="1" x14ac:dyDescent="0.3">
      <c r="A1913" s="9"/>
    </row>
    <row r="1914" spans="1:1" ht="15.75" customHeight="1" thickBot="1" x14ac:dyDescent="0.3">
      <c r="A1914" s="9"/>
    </row>
    <row r="1915" spans="1:1" ht="15.75" customHeight="1" thickBot="1" x14ac:dyDescent="0.3">
      <c r="A1915" s="9"/>
    </row>
    <row r="1916" spans="1:1" ht="15.75" customHeight="1" thickBot="1" x14ac:dyDescent="0.3">
      <c r="A1916" s="9"/>
    </row>
    <row r="1917" spans="1:1" ht="15.75" customHeight="1" thickBot="1" x14ac:dyDescent="0.3">
      <c r="A1917" s="9"/>
    </row>
    <row r="1918" spans="1:1" ht="15.75" customHeight="1" thickBot="1" x14ac:dyDescent="0.3">
      <c r="A1918" s="9"/>
    </row>
    <row r="1919" spans="1:1" ht="15.75" customHeight="1" thickBot="1" x14ac:dyDescent="0.3">
      <c r="A1919" s="9"/>
    </row>
    <row r="1920" spans="1:1" ht="15.75" customHeight="1" thickBot="1" x14ac:dyDescent="0.3">
      <c r="A1920" s="9"/>
    </row>
    <row r="1921" spans="1:1" ht="15.75" customHeight="1" thickBot="1" x14ac:dyDescent="0.3">
      <c r="A1921" s="9"/>
    </row>
    <row r="1922" spans="1:1" ht="15.75" customHeight="1" thickBot="1" x14ac:dyDescent="0.3">
      <c r="A1922" s="9"/>
    </row>
    <row r="1923" spans="1:1" ht="15.75" customHeight="1" thickBot="1" x14ac:dyDescent="0.3">
      <c r="A1923" s="9"/>
    </row>
    <row r="1924" spans="1:1" ht="15.75" customHeight="1" thickBot="1" x14ac:dyDescent="0.3">
      <c r="A1924" s="9"/>
    </row>
    <row r="1925" spans="1:1" ht="15.75" customHeight="1" thickBot="1" x14ac:dyDescent="0.3">
      <c r="A1925" s="9"/>
    </row>
    <row r="1926" spans="1:1" ht="15.75" customHeight="1" thickBot="1" x14ac:dyDescent="0.3">
      <c r="A1926" s="9"/>
    </row>
    <row r="1927" spans="1:1" ht="15.75" customHeight="1" thickBot="1" x14ac:dyDescent="0.3">
      <c r="A1927" s="9"/>
    </row>
    <row r="1928" spans="1:1" ht="15.75" customHeight="1" thickBot="1" x14ac:dyDescent="0.3">
      <c r="A1928" s="9"/>
    </row>
    <row r="1929" spans="1:1" ht="15.75" customHeight="1" thickBot="1" x14ac:dyDescent="0.3">
      <c r="A1929" s="9"/>
    </row>
    <row r="1930" spans="1:1" ht="15.75" customHeight="1" thickBot="1" x14ac:dyDescent="0.3">
      <c r="A1930" s="9"/>
    </row>
    <row r="1931" spans="1:1" ht="15.75" customHeight="1" thickBot="1" x14ac:dyDescent="0.3">
      <c r="A1931" s="9"/>
    </row>
    <row r="1932" spans="1:1" ht="15.75" customHeight="1" thickBot="1" x14ac:dyDescent="0.3">
      <c r="A1932" s="9"/>
    </row>
    <row r="1933" spans="1:1" ht="15.75" customHeight="1" thickBot="1" x14ac:dyDescent="0.3">
      <c r="A1933" s="9"/>
    </row>
    <row r="1934" spans="1:1" ht="15.75" customHeight="1" thickBot="1" x14ac:dyDescent="0.3">
      <c r="A1934" s="9"/>
    </row>
    <row r="1935" spans="1:1" ht="15.75" customHeight="1" thickBot="1" x14ac:dyDescent="0.3">
      <c r="A1935" s="9"/>
    </row>
    <row r="1936" spans="1:1" ht="15.75" customHeight="1" thickBot="1" x14ac:dyDescent="0.3">
      <c r="A1936" s="9"/>
    </row>
    <row r="1937" spans="1:1" ht="15.75" customHeight="1" thickBot="1" x14ac:dyDescent="0.3">
      <c r="A1937" s="9"/>
    </row>
    <row r="1938" spans="1:1" ht="15.75" customHeight="1" thickBot="1" x14ac:dyDescent="0.3">
      <c r="A1938" s="9"/>
    </row>
    <row r="1939" spans="1:1" ht="15.75" customHeight="1" thickBot="1" x14ac:dyDescent="0.3">
      <c r="A1939" s="9"/>
    </row>
    <row r="1940" spans="1:1" ht="15.75" customHeight="1" thickBot="1" x14ac:dyDescent="0.3">
      <c r="A1940" s="9"/>
    </row>
    <row r="1941" spans="1:1" ht="15.75" customHeight="1" thickBot="1" x14ac:dyDescent="0.3">
      <c r="A1941" s="9"/>
    </row>
    <row r="1942" spans="1:1" ht="15.75" customHeight="1" thickBot="1" x14ac:dyDescent="0.3">
      <c r="A1942" s="9"/>
    </row>
    <row r="1943" spans="1:1" ht="15.75" customHeight="1" thickBot="1" x14ac:dyDescent="0.3">
      <c r="A1943" s="9"/>
    </row>
    <row r="1944" spans="1:1" ht="15.75" customHeight="1" thickBot="1" x14ac:dyDescent="0.3">
      <c r="A1944" s="9"/>
    </row>
    <row r="1945" spans="1:1" ht="15.75" customHeight="1" thickBot="1" x14ac:dyDescent="0.3">
      <c r="A1945" s="9"/>
    </row>
    <row r="1946" spans="1:1" ht="15.75" customHeight="1" thickBot="1" x14ac:dyDescent="0.3">
      <c r="A1946" s="9"/>
    </row>
    <row r="1947" spans="1:1" ht="15.75" customHeight="1" thickBot="1" x14ac:dyDescent="0.3">
      <c r="A1947" s="9"/>
    </row>
    <row r="1948" spans="1:1" ht="15.75" customHeight="1" thickBot="1" x14ac:dyDescent="0.3">
      <c r="A1948" s="9"/>
    </row>
    <row r="1949" spans="1:1" ht="15.75" customHeight="1" thickBot="1" x14ac:dyDescent="0.3">
      <c r="A1949" s="9"/>
    </row>
    <row r="1950" spans="1:1" ht="15.75" customHeight="1" thickBot="1" x14ac:dyDescent="0.3">
      <c r="A1950" s="9"/>
    </row>
    <row r="1951" spans="1:1" ht="15.75" customHeight="1" thickBot="1" x14ac:dyDescent="0.3">
      <c r="A1951" s="9"/>
    </row>
    <row r="1952" spans="1:1" ht="15.75" customHeight="1" thickBot="1" x14ac:dyDescent="0.3">
      <c r="A1952" s="9"/>
    </row>
    <row r="1953" spans="1:1" ht="15.75" customHeight="1" thickBot="1" x14ac:dyDescent="0.3">
      <c r="A1953" s="9"/>
    </row>
    <row r="1954" spans="1:1" ht="15.75" customHeight="1" thickBot="1" x14ac:dyDescent="0.3">
      <c r="A1954" s="9"/>
    </row>
    <row r="1955" spans="1:1" ht="15.75" customHeight="1" thickBot="1" x14ac:dyDescent="0.3">
      <c r="A1955" s="9"/>
    </row>
    <row r="1956" spans="1:1" ht="15.75" customHeight="1" thickBot="1" x14ac:dyDescent="0.3">
      <c r="A1956" s="9"/>
    </row>
    <row r="1957" spans="1:1" ht="15.75" customHeight="1" thickBot="1" x14ac:dyDescent="0.3">
      <c r="A1957" s="9"/>
    </row>
    <row r="1958" spans="1:1" ht="15.75" customHeight="1" thickBot="1" x14ac:dyDescent="0.3">
      <c r="A1958" s="9"/>
    </row>
    <row r="1959" spans="1:1" ht="15.75" customHeight="1" thickBot="1" x14ac:dyDescent="0.3">
      <c r="A1959" s="9"/>
    </row>
    <row r="1960" spans="1:1" ht="15.75" customHeight="1" thickBot="1" x14ac:dyDescent="0.3">
      <c r="A1960" s="9"/>
    </row>
    <row r="1961" spans="1:1" ht="15.75" customHeight="1" thickBot="1" x14ac:dyDescent="0.3">
      <c r="A1961" s="9"/>
    </row>
    <row r="1962" spans="1:1" ht="15.75" customHeight="1" thickBot="1" x14ac:dyDescent="0.3">
      <c r="A1962" s="9"/>
    </row>
    <row r="1963" spans="1:1" ht="15.75" customHeight="1" thickBot="1" x14ac:dyDescent="0.3">
      <c r="A1963" s="9"/>
    </row>
    <row r="1964" spans="1:1" ht="15.75" customHeight="1" thickBot="1" x14ac:dyDescent="0.3">
      <c r="A1964" s="9"/>
    </row>
    <row r="1965" spans="1:1" ht="15.75" customHeight="1" thickBot="1" x14ac:dyDescent="0.3">
      <c r="A1965" s="9"/>
    </row>
    <row r="1966" spans="1:1" ht="15.75" customHeight="1" thickBot="1" x14ac:dyDescent="0.3">
      <c r="A1966" s="9"/>
    </row>
    <row r="1967" spans="1:1" ht="15.75" customHeight="1" thickBot="1" x14ac:dyDescent="0.3">
      <c r="A1967" s="9"/>
    </row>
    <row r="1968" spans="1:1" ht="15.75" customHeight="1" thickBot="1" x14ac:dyDescent="0.3">
      <c r="A1968" s="9"/>
    </row>
    <row r="1969" spans="1:1" ht="15.75" customHeight="1" thickBot="1" x14ac:dyDescent="0.3">
      <c r="A1969" s="9"/>
    </row>
    <row r="1970" spans="1:1" ht="15.75" customHeight="1" thickBot="1" x14ac:dyDescent="0.3">
      <c r="A1970" s="9"/>
    </row>
    <row r="1971" spans="1:1" ht="15.75" customHeight="1" thickBot="1" x14ac:dyDescent="0.3">
      <c r="A1971" s="9"/>
    </row>
    <row r="1972" spans="1:1" ht="15.75" customHeight="1" thickBot="1" x14ac:dyDescent="0.3">
      <c r="A1972" s="9"/>
    </row>
    <row r="1973" spans="1:1" ht="15.75" customHeight="1" thickBot="1" x14ac:dyDescent="0.3">
      <c r="A1973" s="9"/>
    </row>
    <row r="1974" spans="1:1" ht="15.75" customHeight="1" thickBot="1" x14ac:dyDescent="0.3">
      <c r="A1974" s="9"/>
    </row>
    <row r="1975" spans="1:1" ht="15.75" customHeight="1" thickBot="1" x14ac:dyDescent="0.3">
      <c r="A1975" s="9"/>
    </row>
    <row r="1976" spans="1:1" ht="15.75" customHeight="1" thickBot="1" x14ac:dyDescent="0.3">
      <c r="A1976" s="9"/>
    </row>
    <row r="1977" spans="1:1" ht="15.75" customHeight="1" thickBot="1" x14ac:dyDescent="0.3">
      <c r="A1977" s="9"/>
    </row>
    <row r="1978" spans="1:1" ht="15.75" customHeight="1" thickBot="1" x14ac:dyDescent="0.3">
      <c r="A1978" s="9"/>
    </row>
    <row r="1979" spans="1:1" ht="15.75" customHeight="1" thickBot="1" x14ac:dyDescent="0.3">
      <c r="A1979" s="9"/>
    </row>
    <row r="1980" spans="1:1" ht="15.75" customHeight="1" thickBot="1" x14ac:dyDescent="0.3">
      <c r="A1980" s="9"/>
    </row>
    <row r="1981" spans="1:1" ht="15.75" customHeight="1" thickBot="1" x14ac:dyDescent="0.3">
      <c r="A1981" s="9"/>
    </row>
    <row r="1982" spans="1:1" ht="15.75" customHeight="1" thickBot="1" x14ac:dyDescent="0.3">
      <c r="A1982" s="9"/>
    </row>
    <row r="1983" spans="1:1" ht="15.75" customHeight="1" thickBot="1" x14ac:dyDescent="0.3">
      <c r="A1983" s="9"/>
    </row>
    <row r="1984" spans="1:1" ht="15.75" customHeight="1" thickBot="1" x14ac:dyDescent="0.3">
      <c r="A1984" s="9"/>
    </row>
    <row r="1985" spans="1:1" ht="15.75" customHeight="1" thickBot="1" x14ac:dyDescent="0.3">
      <c r="A1985" s="9"/>
    </row>
    <row r="1986" spans="1:1" ht="15.75" customHeight="1" thickBot="1" x14ac:dyDescent="0.3">
      <c r="A1986" s="9"/>
    </row>
    <row r="1987" spans="1:1" ht="15.75" customHeight="1" thickBot="1" x14ac:dyDescent="0.3">
      <c r="A1987" s="9"/>
    </row>
    <row r="1988" spans="1:1" ht="15.75" customHeight="1" thickBot="1" x14ac:dyDescent="0.3">
      <c r="A1988" s="9"/>
    </row>
    <row r="1989" spans="1:1" ht="15.75" customHeight="1" thickBot="1" x14ac:dyDescent="0.3">
      <c r="A1989" s="9"/>
    </row>
    <row r="1990" spans="1:1" ht="15.75" customHeight="1" thickBot="1" x14ac:dyDescent="0.3">
      <c r="A1990" s="9"/>
    </row>
    <row r="1991" spans="1:1" ht="15.75" customHeight="1" thickBot="1" x14ac:dyDescent="0.3">
      <c r="A1991" s="9"/>
    </row>
    <row r="1992" spans="1:1" ht="15.75" customHeight="1" thickBot="1" x14ac:dyDescent="0.3">
      <c r="A1992" s="9"/>
    </row>
    <row r="1993" spans="1:1" ht="15.75" customHeight="1" thickBot="1" x14ac:dyDescent="0.3">
      <c r="A1993" s="9"/>
    </row>
    <row r="1994" spans="1:1" ht="15.75" customHeight="1" thickBot="1" x14ac:dyDescent="0.3">
      <c r="A1994" s="9"/>
    </row>
    <row r="1995" spans="1:1" ht="15.75" customHeight="1" thickBot="1" x14ac:dyDescent="0.3">
      <c r="A1995" s="9"/>
    </row>
    <row r="1996" spans="1:1" ht="15.75" customHeight="1" thickBot="1" x14ac:dyDescent="0.3">
      <c r="A1996" s="9"/>
    </row>
    <row r="1997" spans="1:1" ht="15.75" customHeight="1" thickBot="1" x14ac:dyDescent="0.3">
      <c r="A1997" s="9"/>
    </row>
    <row r="1998" spans="1:1" ht="15.75" customHeight="1" thickBot="1" x14ac:dyDescent="0.3">
      <c r="A1998" s="9"/>
    </row>
    <row r="1999" spans="1:1" ht="15.75" customHeight="1" thickBot="1" x14ac:dyDescent="0.3">
      <c r="A1999" s="9"/>
    </row>
    <row r="2000" spans="1:1" ht="15.75" customHeight="1" thickBot="1" x14ac:dyDescent="0.3">
      <c r="A2000" s="9"/>
    </row>
    <row r="2001" spans="1:1" ht="15.75" customHeight="1" thickBot="1" x14ac:dyDescent="0.3">
      <c r="A2001" s="9"/>
    </row>
    <row r="2002" spans="1:1" ht="15.75" customHeight="1" thickBot="1" x14ac:dyDescent="0.3">
      <c r="A2002" s="9"/>
    </row>
    <row r="2003" spans="1:1" ht="15.75" customHeight="1" thickBot="1" x14ac:dyDescent="0.3">
      <c r="A2003" s="9"/>
    </row>
    <row r="2004" spans="1:1" ht="15.75" customHeight="1" thickBot="1" x14ac:dyDescent="0.3">
      <c r="A2004" s="9"/>
    </row>
    <row r="2005" spans="1:1" ht="15.75" customHeight="1" thickBot="1" x14ac:dyDescent="0.3">
      <c r="A2005" s="9"/>
    </row>
    <row r="2006" spans="1:1" ht="15.75" customHeight="1" thickBot="1" x14ac:dyDescent="0.3">
      <c r="A2006" s="9"/>
    </row>
    <row r="2007" spans="1:1" ht="15.75" customHeight="1" thickBot="1" x14ac:dyDescent="0.3">
      <c r="A2007" s="9"/>
    </row>
    <row r="2008" spans="1:1" ht="15.75" customHeight="1" thickBot="1" x14ac:dyDescent="0.3">
      <c r="A2008" s="9"/>
    </row>
    <row r="2009" spans="1:1" ht="15.75" customHeight="1" thickBot="1" x14ac:dyDescent="0.3">
      <c r="A2009" s="9"/>
    </row>
    <row r="2010" spans="1:1" ht="15.75" customHeight="1" thickBot="1" x14ac:dyDescent="0.3">
      <c r="A2010" s="9"/>
    </row>
    <row r="2011" spans="1:1" ht="15.75" customHeight="1" thickBot="1" x14ac:dyDescent="0.3">
      <c r="A2011" s="9"/>
    </row>
    <row r="2012" spans="1:1" ht="15.75" customHeight="1" thickBot="1" x14ac:dyDescent="0.3">
      <c r="A2012" s="9"/>
    </row>
    <row r="2013" spans="1:1" ht="15.75" customHeight="1" thickBot="1" x14ac:dyDescent="0.3">
      <c r="A2013" s="9"/>
    </row>
    <row r="2014" spans="1:1" ht="15.75" customHeight="1" thickBot="1" x14ac:dyDescent="0.3">
      <c r="A2014" s="9"/>
    </row>
    <row r="2015" spans="1:1" ht="15.75" customHeight="1" thickBot="1" x14ac:dyDescent="0.3">
      <c r="A2015" s="9"/>
    </row>
    <row r="2016" spans="1:1" ht="15.75" customHeight="1" thickBot="1" x14ac:dyDescent="0.3">
      <c r="A2016" s="9"/>
    </row>
    <row r="2017" spans="1:1" ht="15.75" customHeight="1" thickBot="1" x14ac:dyDescent="0.3">
      <c r="A2017" s="9"/>
    </row>
    <row r="2018" spans="1:1" ht="15.75" customHeight="1" thickBot="1" x14ac:dyDescent="0.3">
      <c r="A2018" s="9"/>
    </row>
    <row r="2019" spans="1:1" ht="15.75" customHeight="1" thickBot="1" x14ac:dyDescent="0.3">
      <c r="A2019" s="9"/>
    </row>
    <row r="2020" spans="1:1" ht="15.75" customHeight="1" thickBot="1" x14ac:dyDescent="0.3">
      <c r="A2020" s="9"/>
    </row>
    <row r="2021" spans="1:1" ht="15.75" customHeight="1" thickBot="1" x14ac:dyDescent="0.3">
      <c r="A2021" s="9"/>
    </row>
    <row r="2022" spans="1:1" ht="15.75" customHeight="1" thickBot="1" x14ac:dyDescent="0.3">
      <c r="A2022" s="9"/>
    </row>
    <row r="2023" spans="1:1" ht="15.75" customHeight="1" thickBot="1" x14ac:dyDescent="0.3">
      <c r="A2023" s="9"/>
    </row>
    <row r="2024" spans="1:1" ht="15.75" customHeight="1" thickBot="1" x14ac:dyDescent="0.3">
      <c r="A2024" s="9"/>
    </row>
    <row r="2025" spans="1:1" ht="15.75" customHeight="1" thickBot="1" x14ac:dyDescent="0.3">
      <c r="A2025" s="9"/>
    </row>
    <row r="2026" spans="1:1" ht="15.75" customHeight="1" thickBot="1" x14ac:dyDescent="0.3">
      <c r="A2026" s="9"/>
    </row>
    <row r="2027" spans="1:1" ht="15.75" customHeight="1" thickBot="1" x14ac:dyDescent="0.3">
      <c r="A2027" s="9"/>
    </row>
    <row r="2028" spans="1:1" ht="15.75" customHeight="1" thickBot="1" x14ac:dyDescent="0.3">
      <c r="A2028" s="9"/>
    </row>
    <row r="2029" spans="1:1" ht="15.75" customHeight="1" thickBot="1" x14ac:dyDescent="0.3">
      <c r="A2029" s="9"/>
    </row>
    <row r="2030" spans="1:1" ht="15.75" customHeight="1" thickBot="1" x14ac:dyDescent="0.3">
      <c r="A2030" s="9"/>
    </row>
    <row r="2031" spans="1:1" ht="15.75" customHeight="1" thickBot="1" x14ac:dyDescent="0.3">
      <c r="A2031" s="9"/>
    </row>
    <row r="2032" spans="1:1" ht="15.75" customHeight="1" thickBot="1" x14ac:dyDescent="0.3">
      <c r="A2032" s="9"/>
    </row>
    <row r="2033" spans="1:1" ht="15.75" customHeight="1" thickBot="1" x14ac:dyDescent="0.3">
      <c r="A2033" s="9"/>
    </row>
    <row r="2034" spans="1:1" ht="15.75" customHeight="1" thickBot="1" x14ac:dyDescent="0.3">
      <c r="A2034" s="9"/>
    </row>
    <row r="2035" spans="1:1" ht="15.75" customHeight="1" thickBot="1" x14ac:dyDescent="0.3">
      <c r="A2035" s="9"/>
    </row>
    <row r="2036" spans="1:1" ht="15.75" customHeight="1" thickBot="1" x14ac:dyDescent="0.3">
      <c r="A2036" s="9"/>
    </row>
    <row r="2037" spans="1:1" ht="15.75" customHeight="1" thickBot="1" x14ac:dyDescent="0.3">
      <c r="A2037" s="9"/>
    </row>
    <row r="2038" spans="1:1" ht="15.75" customHeight="1" thickBot="1" x14ac:dyDescent="0.3">
      <c r="A2038" s="9"/>
    </row>
    <row r="2039" spans="1:1" ht="15.75" customHeight="1" thickBot="1" x14ac:dyDescent="0.3">
      <c r="A2039" s="9"/>
    </row>
    <row r="2040" spans="1:1" ht="15.75" customHeight="1" thickBot="1" x14ac:dyDescent="0.3">
      <c r="A2040" s="9"/>
    </row>
    <row r="2041" spans="1:1" ht="15.75" customHeight="1" thickBot="1" x14ac:dyDescent="0.3">
      <c r="A2041" s="9"/>
    </row>
    <row r="2042" spans="1:1" ht="15.75" customHeight="1" thickBot="1" x14ac:dyDescent="0.3">
      <c r="A2042" s="9"/>
    </row>
    <row r="2043" spans="1:1" ht="15.75" customHeight="1" thickBot="1" x14ac:dyDescent="0.3">
      <c r="A2043" s="9"/>
    </row>
    <row r="2044" spans="1:1" ht="15.75" customHeight="1" thickBot="1" x14ac:dyDescent="0.3">
      <c r="A2044" s="9"/>
    </row>
    <row r="2045" spans="1:1" ht="15.75" customHeight="1" thickBot="1" x14ac:dyDescent="0.3">
      <c r="A2045" s="9"/>
    </row>
    <row r="2046" spans="1:1" ht="15.75" customHeight="1" thickBot="1" x14ac:dyDescent="0.3">
      <c r="A2046" s="9"/>
    </row>
    <row r="2047" spans="1:1" ht="15.75" customHeight="1" thickBot="1" x14ac:dyDescent="0.3">
      <c r="A2047" s="9"/>
    </row>
    <row r="2048" spans="1:1" ht="15.75" customHeight="1" thickBot="1" x14ac:dyDescent="0.3">
      <c r="A2048" s="9"/>
    </row>
    <row r="2049" spans="1:1" ht="15.75" customHeight="1" thickBot="1" x14ac:dyDescent="0.3">
      <c r="A2049" s="9"/>
    </row>
    <row r="2050" spans="1:1" ht="15.75" customHeight="1" thickBot="1" x14ac:dyDescent="0.3">
      <c r="A2050" s="9"/>
    </row>
    <row r="2051" spans="1:1" ht="15.75" customHeight="1" thickBot="1" x14ac:dyDescent="0.3">
      <c r="A2051" s="9"/>
    </row>
    <row r="2052" spans="1:1" ht="15.75" customHeight="1" thickBot="1" x14ac:dyDescent="0.3">
      <c r="A2052" s="9"/>
    </row>
    <row r="2053" spans="1:1" ht="15.75" customHeight="1" thickBot="1" x14ac:dyDescent="0.3">
      <c r="A2053" s="9"/>
    </row>
    <row r="2054" spans="1:1" ht="15.75" customHeight="1" thickBot="1" x14ac:dyDescent="0.3">
      <c r="A2054" s="9"/>
    </row>
    <row r="2055" spans="1:1" ht="15.75" customHeight="1" thickBot="1" x14ac:dyDescent="0.3">
      <c r="A2055" s="9"/>
    </row>
    <row r="2056" spans="1:1" ht="15.75" customHeight="1" thickBot="1" x14ac:dyDescent="0.3">
      <c r="A2056" s="9"/>
    </row>
    <row r="2057" spans="1:1" ht="15.75" customHeight="1" thickBot="1" x14ac:dyDescent="0.3">
      <c r="A2057" s="9"/>
    </row>
    <row r="2058" spans="1:1" ht="15.75" customHeight="1" thickBot="1" x14ac:dyDescent="0.3">
      <c r="A2058" s="9"/>
    </row>
    <row r="2059" spans="1:1" ht="15.75" customHeight="1" thickBot="1" x14ac:dyDescent="0.3">
      <c r="A2059" s="9"/>
    </row>
    <row r="2060" spans="1:1" ht="15.75" customHeight="1" thickBot="1" x14ac:dyDescent="0.3">
      <c r="A2060" s="9"/>
    </row>
    <row r="2061" spans="1:1" ht="15.75" customHeight="1" thickBot="1" x14ac:dyDescent="0.3">
      <c r="A2061" s="9"/>
    </row>
    <row r="2062" spans="1:1" ht="15.75" customHeight="1" thickBot="1" x14ac:dyDescent="0.3">
      <c r="A2062" s="9"/>
    </row>
    <row r="2063" spans="1:1" ht="15.75" customHeight="1" thickBot="1" x14ac:dyDescent="0.3">
      <c r="A2063" s="9"/>
    </row>
    <row r="2064" spans="1:1" ht="15.75" customHeight="1" thickBot="1" x14ac:dyDescent="0.3">
      <c r="A2064" s="9"/>
    </row>
    <row r="2065" spans="1:1" ht="15.75" customHeight="1" thickBot="1" x14ac:dyDescent="0.3">
      <c r="A2065" s="9"/>
    </row>
    <row r="2066" spans="1:1" ht="15.75" customHeight="1" thickBot="1" x14ac:dyDescent="0.3">
      <c r="A2066" s="9"/>
    </row>
    <row r="2067" spans="1:1" ht="15.75" customHeight="1" thickBot="1" x14ac:dyDescent="0.3">
      <c r="A2067" s="9"/>
    </row>
    <row r="2068" spans="1:1" ht="15.75" customHeight="1" thickBot="1" x14ac:dyDescent="0.3">
      <c r="A2068" s="9"/>
    </row>
    <row r="2069" spans="1:1" ht="15.75" customHeight="1" thickBot="1" x14ac:dyDescent="0.3">
      <c r="A2069" s="9"/>
    </row>
    <row r="2070" spans="1:1" ht="15.75" customHeight="1" thickBot="1" x14ac:dyDescent="0.3">
      <c r="A2070" s="9"/>
    </row>
    <row r="2071" spans="1:1" ht="15.75" customHeight="1" thickBot="1" x14ac:dyDescent="0.3">
      <c r="A2071" s="9"/>
    </row>
    <row r="2072" spans="1:1" ht="15.75" customHeight="1" thickBot="1" x14ac:dyDescent="0.3">
      <c r="A2072" s="9"/>
    </row>
    <row r="2073" spans="1:1" ht="15.75" customHeight="1" thickBot="1" x14ac:dyDescent="0.3">
      <c r="A2073" s="9"/>
    </row>
    <row r="2074" spans="1:1" ht="15.75" customHeight="1" thickBot="1" x14ac:dyDescent="0.3">
      <c r="A2074" s="9"/>
    </row>
    <row r="2075" spans="1:1" ht="15.75" customHeight="1" thickBot="1" x14ac:dyDescent="0.3">
      <c r="A2075" s="9"/>
    </row>
    <row r="2076" spans="1:1" ht="15.75" customHeight="1" thickBot="1" x14ac:dyDescent="0.3">
      <c r="A2076" s="9"/>
    </row>
    <row r="2077" spans="1:1" ht="15.75" customHeight="1" thickBot="1" x14ac:dyDescent="0.3">
      <c r="A2077" s="9"/>
    </row>
    <row r="2078" spans="1:1" ht="15.75" customHeight="1" thickBot="1" x14ac:dyDescent="0.3">
      <c r="A2078" s="9"/>
    </row>
    <row r="2079" spans="1:1" ht="15.75" customHeight="1" thickBot="1" x14ac:dyDescent="0.3">
      <c r="A2079" s="9"/>
    </row>
    <row r="2080" spans="1:1" ht="15.75" customHeight="1" thickBot="1" x14ac:dyDescent="0.3">
      <c r="A2080" s="9"/>
    </row>
    <row r="2081" spans="1:1" ht="15.75" customHeight="1" thickBot="1" x14ac:dyDescent="0.3">
      <c r="A2081" s="9"/>
    </row>
    <row r="2082" spans="1:1" ht="15.75" customHeight="1" thickBot="1" x14ac:dyDescent="0.3">
      <c r="A2082" s="9"/>
    </row>
    <row r="2083" spans="1:1" ht="15.75" customHeight="1" thickBot="1" x14ac:dyDescent="0.3">
      <c r="A2083" s="9"/>
    </row>
    <row r="2084" spans="1:1" ht="15.75" customHeight="1" thickBot="1" x14ac:dyDescent="0.3">
      <c r="A2084" s="9"/>
    </row>
    <row r="2085" spans="1:1" ht="15.75" customHeight="1" thickBot="1" x14ac:dyDescent="0.3">
      <c r="A2085" s="9"/>
    </row>
    <row r="2086" spans="1:1" ht="15.75" customHeight="1" thickBot="1" x14ac:dyDescent="0.3">
      <c r="A2086" s="9"/>
    </row>
    <row r="2087" spans="1:1" ht="15.75" customHeight="1" thickBot="1" x14ac:dyDescent="0.3">
      <c r="A2087" s="9"/>
    </row>
    <row r="2088" spans="1:1" ht="15.75" customHeight="1" thickBot="1" x14ac:dyDescent="0.3">
      <c r="A2088" s="9"/>
    </row>
    <row r="2089" spans="1:1" ht="15.75" customHeight="1" thickBot="1" x14ac:dyDescent="0.3">
      <c r="A2089" s="9"/>
    </row>
    <row r="2090" spans="1:1" ht="15.75" customHeight="1" thickBot="1" x14ac:dyDescent="0.3">
      <c r="A2090" s="9"/>
    </row>
    <row r="2091" spans="1:1" ht="15.75" customHeight="1" thickBot="1" x14ac:dyDescent="0.3">
      <c r="A2091" s="9"/>
    </row>
    <row r="2092" spans="1:1" ht="15.75" customHeight="1" thickBot="1" x14ac:dyDescent="0.3">
      <c r="A2092" s="9"/>
    </row>
    <row r="2093" spans="1:1" ht="15.75" customHeight="1" thickBot="1" x14ac:dyDescent="0.3">
      <c r="A2093" s="9"/>
    </row>
    <row r="2094" spans="1:1" ht="15.75" customHeight="1" thickBot="1" x14ac:dyDescent="0.3">
      <c r="A2094" s="9"/>
    </row>
    <row r="2095" spans="1:1" ht="15.75" customHeight="1" thickBot="1" x14ac:dyDescent="0.3">
      <c r="A2095" s="9"/>
    </row>
    <row r="2096" spans="1:1" ht="15.75" customHeight="1" thickBot="1" x14ac:dyDescent="0.3">
      <c r="A2096" s="9"/>
    </row>
    <row r="2097" spans="1:1" ht="15.75" customHeight="1" thickBot="1" x14ac:dyDescent="0.3">
      <c r="A2097" s="9"/>
    </row>
    <row r="2098" spans="1:1" ht="15.75" customHeight="1" thickBot="1" x14ac:dyDescent="0.3">
      <c r="A2098" s="9"/>
    </row>
    <row r="2099" spans="1:1" ht="15.75" customHeight="1" thickBot="1" x14ac:dyDescent="0.3">
      <c r="A2099" s="9"/>
    </row>
    <row r="2100" spans="1:1" ht="15.75" customHeight="1" thickBot="1" x14ac:dyDescent="0.3">
      <c r="A2100" s="9"/>
    </row>
    <row r="2101" spans="1:1" ht="15.75" customHeight="1" thickBot="1" x14ac:dyDescent="0.3">
      <c r="A2101" s="9"/>
    </row>
    <row r="2102" spans="1:1" ht="15.75" customHeight="1" thickBot="1" x14ac:dyDescent="0.3">
      <c r="A2102" s="9"/>
    </row>
    <row r="2103" spans="1:1" ht="15.75" customHeight="1" thickBot="1" x14ac:dyDescent="0.3">
      <c r="A2103" s="9"/>
    </row>
    <row r="2104" spans="1:1" ht="15.75" customHeight="1" thickBot="1" x14ac:dyDescent="0.3">
      <c r="A2104" s="9"/>
    </row>
    <row r="2105" spans="1:1" ht="15.75" customHeight="1" thickBot="1" x14ac:dyDescent="0.3">
      <c r="A2105" s="9"/>
    </row>
    <row r="2106" spans="1:1" ht="15.75" customHeight="1" thickBot="1" x14ac:dyDescent="0.3">
      <c r="A2106" s="9"/>
    </row>
    <row r="2107" spans="1:1" ht="15.75" customHeight="1" thickBot="1" x14ac:dyDescent="0.3">
      <c r="A2107" s="9"/>
    </row>
    <row r="2108" spans="1:1" ht="15.75" customHeight="1" thickBot="1" x14ac:dyDescent="0.3">
      <c r="A2108" s="9"/>
    </row>
    <row r="2109" spans="1:1" ht="15.75" customHeight="1" thickBot="1" x14ac:dyDescent="0.3">
      <c r="A2109" s="9"/>
    </row>
    <row r="2110" spans="1:1" ht="15.75" customHeight="1" thickBot="1" x14ac:dyDescent="0.3">
      <c r="A2110" s="9"/>
    </row>
    <row r="2111" spans="1:1" ht="15.75" customHeight="1" thickBot="1" x14ac:dyDescent="0.3">
      <c r="A2111" s="9"/>
    </row>
    <row r="2112" spans="1:1" ht="15.75" customHeight="1" thickBot="1" x14ac:dyDescent="0.3">
      <c r="A2112" s="9"/>
    </row>
    <row r="2113" spans="1:1" ht="15.75" customHeight="1" thickBot="1" x14ac:dyDescent="0.3">
      <c r="A2113" s="9"/>
    </row>
    <row r="2114" spans="1:1" ht="15.75" customHeight="1" thickBot="1" x14ac:dyDescent="0.3">
      <c r="A2114" s="9"/>
    </row>
    <row r="2115" spans="1:1" ht="15.75" customHeight="1" thickBot="1" x14ac:dyDescent="0.3">
      <c r="A2115" s="9"/>
    </row>
    <row r="2116" spans="1:1" ht="15.75" customHeight="1" thickBot="1" x14ac:dyDescent="0.3">
      <c r="A2116" s="9"/>
    </row>
    <row r="2117" spans="1:1" ht="15.75" customHeight="1" thickBot="1" x14ac:dyDescent="0.3">
      <c r="A2117" s="9"/>
    </row>
    <row r="2118" spans="1:1" ht="15.75" customHeight="1" thickBot="1" x14ac:dyDescent="0.3">
      <c r="A2118" s="9"/>
    </row>
    <row r="2119" spans="1:1" ht="15.75" customHeight="1" thickBot="1" x14ac:dyDescent="0.3">
      <c r="A2119" s="9"/>
    </row>
    <row r="2120" spans="1:1" ht="15.75" customHeight="1" thickBot="1" x14ac:dyDescent="0.3">
      <c r="A2120" s="9"/>
    </row>
    <row r="2121" spans="1:1" ht="15.75" customHeight="1" thickBot="1" x14ac:dyDescent="0.3">
      <c r="A2121" s="9"/>
    </row>
    <row r="2122" spans="1:1" ht="15.75" customHeight="1" thickBot="1" x14ac:dyDescent="0.3">
      <c r="A2122" s="9"/>
    </row>
    <row r="2123" spans="1:1" ht="15.75" customHeight="1" thickBot="1" x14ac:dyDescent="0.3">
      <c r="A2123" s="9"/>
    </row>
    <row r="2124" spans="1:1" ht="15.75" customHeight="1" thickBot="1" x14ac:dyDescent="0.3">
      <c r="A2124" s="9"/>
    </row>
    <row r="2125" spans="1:1" ht="15.75" customHeight="1" thickBot="1" x14ac:dyDescent="0.3">
      <c r="A2125" s="9"/>
    </row>
    <row r="2126" spans="1:1" ht="15.75" customHeight="1" thickBot="1" x14ac:dyDescent="0.3">
      <c r="A2126" s="9"/>
    </row>
    <row r="2127" spans="1:1" ht="15.75" customHeight="1" thickBot="1" x14ac:dyDescent="0.3">
      <c r="A2127" s="9"/>
    </row>
    <row r="2128" spans="1:1" ht="15.75" customHeight="1" thickBot="1" x14ac:dyDescent="0.3">
      <c r="A2128" s="9"/>
    </row>
    <row r="2129" spans="1:1" ht="15.75" customHeight="1" thickBot="1" x14ac:dyDescent="0.3">
      <c r="A2129" s="9"/>
    </row>
    <row r="2130" spans="1:1" ht="15.75" customHeight="1" thickBot="1" x14ac:dyDescent="0.3">
      <c r="A2130" s="9"/>
    </row>
    <row r="2131" spans="1:1" ht="15.75" customHeight="1" thickBot="1" x14ac:dyDescent="0.3">
      <c r="A2131" s="9"/>
    </row>
    <row r="2132" spans="1:1" ht="15.75" customHeight="1" thickBot="1" x14ac:dyDescent="0.3">
      <c r="A2132" s="9"/>
    </row>
    <row r="2133" spans="1:1" ht="15.75" customHeight="1" thickBot="1" x14ac:dyDescent="0.3">
      <c r="A2133" s="9"/>
    </row>
    <row r="2134" spans="1:1" ht="15.75" customHeight="1" thickBot="1" x14ac:dyDescent="0.3">
      <c r="A2134" s="9"/>
    </row>
    <row r="2135" spans="1:1" ht="15.75" customHeight="1" thickBot="1" x14ac:dyDescent="0.3">
      <c r="A2135" s="9"/>
    </row>
    <row r="2136" spans="1:1" ht="15.75" customHeight="1" thickBot="1" x14ac:dyDescent="0.3">
      <c r="A2136" s="9"/>
    </row>
    <row r="2137" spans="1:1" ht="15.75" customHeight="1" thickBot="1" x14ac:dyDescent="0.3">
      <c r="A2137" s="9"/>
    </row>
    <row r="2138" spans="1:1" ht="15.75" customHeight="1" thickBot="1" x14ac:dyDescent="0.3">
      <c r="A2138" s="9"/>
    </row>
    <row r="2139" spans="1:1" ht="15.75" customHeight="1" thickBot="1" x14ac:dyDescent="0.3">
      <c r="A2139" s="9"/>
    </row>
    <row r="2140" spans="1:1" ht="15.75" customHeight="1" thickBot="1" x14ac:dyDescent="0.3">
      <c r="A2140" s="9"/>
    </row>
    <row r="2141" spans="1:1" ht="15.75" customHeight="1" thickBot="1" x14ac:dyDescent="0.3">
      <c r="A2141" s="9"/>
    </row>
    <row r="2142" spans="1:1" ht="15.75" customHeight="1" thickBot="1" x14ac:dyDescent="0.3">
      <c r="A2142" s="9"/>
    </row>
    <row r="2143" spans="1:1" ht="15.75" customHeight="1" thickBot="1" x14ac:dyDescent="0.3">
      <c r="A2143" s="9"/>
    </row>
    <row r="2144" spans="1:1" ht="15.75" customHeight="1" thickBot="1" x14ac:dyDescent="0.3">
      <c r="A2144" s="9"/>
    </row>
    <row r="2145" spans="1:1" ht="15.75" customHeight="1" thickBot="1" x14ac:dyDescent="0.3">
      <c r="A2145" s="9"/>
    </row>
    <row r="2146" spans="1:1" ht="15.75" customHeight="1" thickBot="1" x14ac:dyDescent="0.3">
      <c r="A2146" s="9"/>
    </row>
    <row r="2147" spans="1:1" ht="15.75" customHeight="1" thickBot="1" x14ac:dyDescent="0.3">
      <c r="A2147" s="9"/>
    </row>
    <row r="2148" spans="1:1" ht="15.75" customHeight="1" thickBot="1" x14ac:dyDescent="0.3">
      <c r="A2148" s="9"/>
    </row>
    <row r="2149" spans="1:1" ht="15.75" customHeight="1" thickBot="1" x14ac:dyDescent="0.3">
      <c r="A2149" s="9"/>
    </row>
    <row r="2150" spans="1:1" ht="15.75" customHeight="1" thickBot="1" x14ac:dyDescent="0.3">
      <c r="A2150" s="9"/>
    </row>
    <row r="2151" spans="1:1" ht="15.75" customHeight="1" thickBot="1" x14ac:dyDescent="0.3">
      <c r="A2151" s="9"/>
    </row>
    <row r="2152" spans="1:1" ht="15.75" customHeight="1" thickBot="1" x14ac:dyDescent="0.3">
      <c r="A2152" s="9"/>
    </row>
    <row r="2153" spans="1:1" ht="15.75" customHeight="1" thickBot="1" x14ac:dyDescent="0.3">
      <c r="A2153" s="9"/>
    </row>
    <row r="2154" spans="1:1" ht="15.75" customHeight="1" thickBot="1" x14ac:dyDescent="0.3">
      <c r="A2154" s="9"/>
    </row>
    <row r="2155" spans="1:1" ht="15.75" customHeight="1" thickBot="1" x14ac:dyDescent="0.3">
      <c r="A2155" s="9"/>
    </row>
    <row r="2156" spans="1:1" ht="15.75" customHeight="1" thickBot="1" x14ac:dyDescent="0.3">
      <c r="A2156" s="9"/>
    </row>
    <row r="2157" spans="1:1" ht="15.75" customHeight="1" thickBot="1" x14ac:dyDescent="0.3">
      <c r="A2157" s="9"/>
    </row>
    <row r="2158" spans="1:1" ht="15.75" customHeight="1" thickBot="1" x14ac:dyDescent="0.3">
      <c r="A2158" s="9"/>
    </row>
    <row r="2159" spans="1:1" ht="15.75" customHeight="1" thickBot="1" x14ac:dyDescent="0.3">
      <c r="A2159" s="9"/>
    </row>
    <row r="2160" spans="1:1" ht="15.75" customHeight="1" thickBot="1" x14ac:dyDescent="0.3">
      <c r="A2160" s="9"/>
    </row>
    <row r="2161" spans="1:1" ht="15.75" customHeight="1" thickBot="1" x14ac:dyDescent="0.3">
      <c r="A2161" s="9"/>
    </row>
    <row r="2162" spans="1:1" ht="15.75" customHeight="1" thickBot="1" x14ac:dyDescent="0.3">
      <c r="A2162" s="9"/>
    </row>
    <row r="2163" spans="1:1" ht="15.75" customHeight="1" thickBot="1" x14ac:dyDescent="0.3">
      <c r="A2163" s="9"/>
    </row>
    <row r="2164" spans="1:1" ht="15.75" customHeight="1" thickBot="1" x14ac:dyDescent="0.3">
      <c r="A2164" s="9"/>
    </row>
    <row r="2165" spans="1:1" ht="15.75" customHeight="1" thickBot="1" x14ac:dyDescent="0.3">
      <c r="A2165" s="9"/>
    </row>
    <row r="2166" spans="1:1" ht="15.75" customHeight="1" thickBot="1" x14ac:dyDescent="0.3">
      <c r="A2166" s="9"/>
    </row>
    <row r="2167" spans="1:1" ht="15.75" customHeight="1" thickBot="1" x14ac:dyDescent="0.3">
      <c r="A2167" s="9"/>
    </row>
    <row r="2168" spans="1:1" ht="15.75" customHeight="1" thickBot="1" x14ac:dyDescent="0.3">
      <c r="A2168" s="9"/>
    </row>
    <row r="2169" spans="1:1" ht="15.75" customHeight="1" thickBot="1" x14ac:dyDescent="0.3">
      <c r="A2169" s="9"/>
    </row>
    <row r="2170" spans="1:1" ht="15.75" customHeight="1" thickBot="1" x14ac:dyDescent="0.3">
      <c r="A2170" s="9"/>
    </row>
    <row r="2171" spans="1:1" ht="15.75" customHeight="1" thickBot="1" x14ac:dyDescent="0.3">
      <c r="A2171" s="9"/>
    </row>
    <row r="2172" spans="1:1" ht="15.75" customHeight="1" thickBot="1" x14ac:dyDescent="0.3">
      <c r="A2172" s="9"/>
    </row>
    <row r="2173" spans="1:1" ht="15.75" customHeight="1" thickBot="1" x14ac:dyDescent="0.3">
      <c r="A2173" s="9"/>
    </row>
    <row r="2174" spans="1:1" ht="15.75" customHeight="1" thickBot="1" x14ac:dyDescent="0.3">
      <c r="A2174" s="9"/>
    </row>
    <row r="2175" spans="1:1" ht="15.75" customHeight="1" thickBot="1" x14ac:dyDescent="0.3">
      <c r="A2175" s="9"/>
    </row>
    <row r="2176" spans="1:1" ht="15.75" customHeight="1" thickBot="1" x14ac:dyDescent="0.3">
      <c r="A2176" s="9"/>
    </row>
    <row r="2177" spans="1:1" ht="15.75" customHeight="1" thickBot="1" x14ac:dyDescent="0.3">
      <c r="A2177" s="9"/>
    </row>
    <row r="2178" spans="1:1" ht="15.75" customHeight="1" thickBot="1" x14ac:dyDescent="0.3">
      <c r="A2178" s="9"/>
    </row>
    <row r="2179" spans="1:1" ht="15.75" customHeight="1" thickBot="1" x14ac:dyDescent="0.3">
      <c r="A2179" s="9"/>
    </row>
    <row r="2180" spans="1:1" ht="15.75" customHeight="1" thickBot="1" x14ac:dyDescent="0.3">
      <c r="A2180" s="9"/>
    </row>
    <row r="2181" spans="1:1" ht="15.75" customHeight="1" thickBot="1" x14ac:dyDescent="0.3">
      <c r="A2181" s="9"/>
    </row>
    <row r="2182" spans="1:1" ht="15.75" customHeight="1" thickBot="1" x14ac:dyDescent="0.3">
      <c r="A2182" s="9"/>
    </row>
    <row r="2183" spans="1:1" ht="15.75" customHeight="1" thickBot="1" x14ac:dyDescent="0.3">
      <c r="A2183" s="9"/>
    </row>
    <row r="2184" spans="1:1" ht="15.75" customHeight="1" thickBot="1" x14ac:dyDescent="0.3">
      <c r="A2184" s="9"/>
    </row>
    <row r="2185" spans="1:1" ht="15.75" customHeight="1" thickBot="1" x14ac:dyDescent="0.3">
      <c r="A2185" s="9"/>
    </row>
    <row r="2186" spans="1:1" ht="15.75" customHeight="1" thickBot="1" x14ac:dyDescent="0.3">
      <c r="A2186" s="9"/>
    </row>
    <row r="2187" spans="1:1" ht="15.75" customHeight="1" thickBot="1" x14ac:dyDescent="0.3">
      <c r="A2187" s="9"/>
    </row>
    <row r="2188" spans="1:1" ht="15.75" customHeight="1" thickBot="1" x14ac:dyDescent="0.3">
      <c r="A2188" s="9"/>
    </row>
    <row r="2189" spans="1:1" ht="15.75" customHeight="1" thickBot="1" x14ac:dyDescent="0.3">
      <c r="A2189" s="9"/>
    </row>
    <row r="2190" spans="1:1" ht="15.75" customHeight="1" thickBot="1" x14ac:dyDescent="0.3">
      <c r="A2190" s="9"/>
    </row>
    <row r="2191" spans="1:1" ht="15.75" customHeight="1" thickBot="1" x14ac:dyDescent="0.3">
      <c r="A2191" s="9"/>
    </row>
    <row r="2192" spans="1:1" ht="15.75" customHeight="1" thickBot="1" x14ac:dyDescent="0.3">
      <c r="A2192" s="9"/>
    </row>
    <row r="2193" spans="1:1" ht="15.75" customHeight="1" thickBot="1" x14ac:dyDescent="0.3">
      <c r="A2193" s="9"/>
    </row>
    <row r="2194" spans="1:1" ht="15.75" customHeight="1" thickBot="1" x14ac:dyDescent="0.3">
      <c r="A2194" s="9"/>
    </row>
    <row r="2195" spans="1:1" ht="15.75" customHeight="1" thickBot="1" x14ac:dyDescent="0.3">
      <c r="A2195" s="9"/>
    </row>
    <row r="2196" spans="1:1" ht="15.75" customHeight="1" thickBot="1" x14ac:dyDescent="0.3">
      <c r="A2196" s="9"/>
    </row>
    <row r="2197" spans="1:1" ht="15.75" customHeight="1" thickBot="1" x14ac:dyDescent="0.3">
      <c r="A2197" s="9"/>
    </row>
    <row r="2198" spans="1:1" ht="15.75" customHeight="1" thickBot="1" x14ac:dyDescent="0.3">
      <c r="A2198" s="9"/>
    </row>
    <row r="2199" spans="1:1" ht="15.75" customHeight="1" thickBot="1" x14ac:dyDescent="0.3">
      <c r="A2199" s="9"/>
    </row>
    <row r="2200" spans="1:1" ht="15.75" customHeight="1" thickBot="1" x14ac:dyDescent="0.3">
      <c r="A2200" s="9"/>
    </row>
    <row r="2201" spans="1:1" ht="15.75" customHeight="1" thickBot="1" x14ac:dyDescent="0.3">
      <c r="A2201" s="9"/>
    </row>
    <row r="2202" spans="1:1" ht="15.75" customHeight="1" thickBot="1" x14ac:dyDescent="0.3">
      <c r="A2202" s="9"/>
    </row>
    <row r="2203" spans="1:1" ht="15.75" customHeight="1" thickBot="1" x14ac:dyDescent="0.3">
      <c r="A2203" s="9"/>
    </row>
    <row r="2204" spans="1:1" ht="15.75" customHeight="1" thickBot="1" x14ac:dyDescent="0.3">
      <c r="A2204" s="9"/>
    </row>
    <row r="2205" spans="1:1" ht="15.75" customHeight="1" thickBot="1" x14ac:dyDescent="0.3">
      <c r="A2205" s="9"/>
    </row>
    <row r="2206" spans="1:1" ht="15.75" customHeight="1" thickBot="1" x14ac:dyDescent="0.3">
      <c r="A2206" s="9"/>
    </row>
    <row r="2207" spans="1:1" ht="15.75" customHeight="1" thickBot="1" x14ac:dyDescent="0.3">
      <c r="A2207" s="9"/>
    </row>
    <row r="2208" spans="1:1" ht="15.75" customHeight="1" thickBot="1" x14ac:dyDescent="0.3">
      <c r="A2208" s="9"/>
    </row>
    <row r="2209" spans="1:1" ht="15.75" customHeight="1" thickBot="1" x14ac:dyDescent="0.3">
      <c r="A2209" s="9"/>
    </row>
    <row r="2210" spans="1:1" ht="15.75" customHeight="1" thickBot="1" x14ac:dyDescent="0.3">
      <c r="A2210" s="9"/>
    </row>
    <row r="2211" spans="1:1" ht="15.75" customHeight="1" thickBot="1" x14ac:dyDescent="0.3">
      <c r="A2211" s="9"/>
    </row>
    <row r="2212" spans="1:1" ht="15.75" customHeight="1" thickBot="1" x14ac:dyDescent="0.3">
      <c r="A2212" s="9"/>
    </row>
    <row r="2213" spans="1:1" ht="15.75" customHeight="1" thickBot="1" x14ac:dyDescent="0.3">
      <c r="A2213" s="9"/>
    </row>
    <row r="2214" spans="1:1" ht="15.75" customHeight="1" thickBot="1" x14ac:dyDescent="0.3">
      <c r="A2214" s="9"/>
    </row>
    <row r="2215" spans="1:1" ht="15.75" customHeight="1" thickBot="1" x14ac:dyDescent="0.3">
      <c r="A2215" s="9"/>
    </row>
    <row r="2216" spans="1:1" ht="15.75" customHeight="1" thickBot="1" x14ac:dyDescent="0.3">
      <c r="A2216" s="9"/>
    </row>
    <row r="2217" spans="1:1" ht="15.75" customHeight="1" thickBot="1" x14ac:dyDescent="0.3">
      <c r="A2217" s="9"/>
    </row>
    <row r="2218" spans="1:1" ht="15.75" customHeight="1" thickBot="1" x14ac:dyDescent="0.3">
      <c r="A2218" s="9"/>
    </row>
    <row r="2219" spans="1:1" ht="15.75" customHeight="1" thickBot="1" x14ac:dyDescent="0.3">
      <c r="A2219" s="9"/>
    </row>
    <row r="2220" spans="1:1" ht="15.75" customHeight="1" thickBot="1" x14ac:dyDescent="0.3">
      <c r="A2220" s="9"/>
    </row>
    <row r="2221" spans="1:1" ht="15.75" customHeight="1" thickBot="1" x14ac:dyDescent="0.3">
      <c r="A2221" s="9"/>
    </row>
    <row r="2222" spans="1:1" ht="15.75" customHeight="1" thickBot="1" x14ac:dyDescent="0.3">
      <c r="A2222" s="9"/>
    </row>
    <row r="2223" spans="1:1" ht="15.75" customHeight="1" thickBot="1" x14ac:dyDescent="0.3">
      <c r="A2223" s="9"/>
    </row>
    <row r="2224" spans="1:1" ht="15.75" customHeight="1" thickBot="1" x14ac:dyDescent="0.3">
      <c r="A2224" s="9"/>
    </row>
    <row r="2225" spans="1:1" ht="15.75" customHeight="1" thickBot="1" x14ac:dyDescent="0.3">
      <c r="A2225" s="9"/>
    </row>
    <row r="2226" spans="1:1" ht="15.75" customHeight="1" thickBot="1" x14ac:dyDescent="0.3">
      <c r="A2226" s="9"/>
    </row>
    <row r="2227" spans="1:1" ht="15.75" customHeight="1" thickBot="1" x14ac:dyDescent="0.3">
      <c r="A2227" s="9"/>
    </row>
    <row r="2228" spans="1:1" ht="15.75" customHeight="1" thickBot="1" x14ac:dyDescent="0.3">
      <c r="A2228" s="9"/>
    </row>
    <row r="2229" spans="1:1" ht="15.75" customHeight="1" thickBot="1" x14ac:dyDescent="0.3">
      <c r="A2229" s="9"/>
    </row>
    <row r="2230" spans="1:1" ht="15.75" customHeight="1" thickBot="1" x14ac:dyDescent="0.3">
      <c r="A2230" s="9"/>
    </row>
    <row r="2231" spans="1:1" ht="15.75" customHeight="1" thickBot="1" x14ac:dyDescent="0.3">
      <c r="A2231" s="9"/>
    </row>
    <row r="2232" spans="1:1" ht="15.75" customHeight="1" thickBot="1" x14ac:dyDescent="0.3">
      <c r="A2232" s="9"/>
    </row>
    <row r="2233" spans="1:1" ht="15.75" customHeight="1" thickBot="1" x14ac:dyDescent="0.3">
      <c r="A2233" s="9"/>
    </row>
    <row r="2234" spans="1:1" ht="15.75" customHeight="1" thickBot="1" x14ac:dyDescent="0.3">
      <c r="A2234" s="9"/>
    </row>
    <row r="2235" spans="1:1" ht="15.75" customHeight="1" thickBot="1" x14ac:dyDescent="0.3">
      <c r="A2235" s="9"/>
    </row>
    <row r="2236" spans="1:1" ht="15.75" customHeight="1" thickBot="1" x14ac:dyDescent="0.3">
      <c r="A2236" s="9"/>
    </row>
    <row r="2237" spans="1:1" ht="15.75" customHeight="1" thickBot="1" x14ac:dyDescent="0.3">
      <c r="A2237" s="9"/>
    </row>
    <row r="2238" spans="1:1" ht="15.75" customHeight="1" thickBot="1" x14ac:dyDescent="0.3">
      <c r="A2238" s="9"/>
    </row>
    <row r="2239" spans="1:1" ht="15.75" customHeight="1" thickBot="1" x14ac:dyDescent="0.3">
      <c r="A2239" s="9"/>
    </row>
    <row r="2240" spans="1:1" ht="15.75" customHeight="1" thickBot="1" x14ac:dyDescent="0.3">
      <c r="A2240" s="9"/>
    </row>
    <row r="2241" spans="1:1" ht="15.75" customHeight="1" thickBot="1" x14ac:dyDescent="0.3">
      <c r="A2241" s="9"/>
    </row>
    <row r="2242" spans="1:1" ht="15.75" customHeight="1" thickBot="1" x14ac:dyDescent="0.3">
      <c r="A2242" s="9"/>
    </row>
    <row r="2243" spans="1:1" ht="15.75" customHeight="1" thickBot="1" x14ac:dyDescent="0.3">
      <c r="A2243" s="9"/>
    </row>
    <row r="2244" spans="1:1" ht="15.75" customHeight="1" thickBot="1" x14ac:dyDescent="0.3">
      <c r="A2244" s="9"/>
    </row>
    <row r="2245" spans="1:1" ht="15.75" customHeight="1" thickBot="1" x14ac:dyDescent="0.3">
      <c r="A2245" s="9"/>
    </row>
    <row r="2246" spans="1:1" ht="15.75" customHeight="1" thickBot="1" x14ac:dyDescent="0.3">
      <c r="A2246" s="9"/>
    </row>
    <row r="2247" spans="1:1" ht="15.75" customHeight="1" thickBot="1" x14ac:dyDescent="0.3">
      <c r="A2247" s="9"/>
    </row>
    <row r="2248" spans="1:1" ht="15.75" customHeight="1" thickBot="1" x14ac:dyDescent="0.3">
      <c r="A2248" s="9"/>
    </row>
    <row r="2249" spans="1:1" ht="15.75" customHeight="1" thickBot="1" x14ac:dyDescent="0.3">
      <c r="A2249" s="9"/>
    </row>
    <row r="2250" spans="1:1" ht="15.75" customHeight="1" thickBot="1" x14ac:dyDescent="0.3">
      <c r="A2250" s="9"/>
    </row>
    <row r="2251" spans="1:1" ht="15.75" customHeight="1" thickBot="1" x14ac:dyDescent="0.3">
      <c r="A2251" s="9"/>
    </row>
    <row r="2252" spans="1:1" ht="15.75" customHeight="1" thickBot="1" x14ac:dyDescent="0.3">
      <c r="A2252" s="9"/>
    </row>
    <row r="2253" spans="1:1" ht="15.75" customHeight="1" thickBot="1" x14ac:dyDescent="0.3">
      <c r="A2253" s="9"/>
    </row>
    <row r="2254" spans="1:1" ht="15.75" customHeight="1" thickBot="1" x14ac:dyDescent="0.3">
      <c r="A2254" s="9"/>
    </row>
    <row r="2255" spans="1:1" ht="15.75" customHeight="1" thickBot="1" x14ac:dyDescent="0.3">
      <c r="A2255" s="9"/>
    </row>
    <row r="2256" spans="1:1" ht="15.75" customHeight="1" thickBot="1" x14ac:dyDescent="0.3">
      <c r="A2256" s="9"/>
    </row>
    <row r="2257" spans="1:1" ht="15.75" customHeight="1" thickBot="1" x14ac:dyDescent="0.3">
      <c r="A2257" s="9"/>
    </row>
    <row r="2258" spans="1:1" ht="15.75" customHeight="1" thickBot="1" x14ac:dyDescent="0.3">
      <c r="A2258" s="9"/>
    </row>
    <row r="2259" spans="1:1" ht="15.75" customHeight="1" thickBot="1" x14ac:dyDescent="0.3">
      <c r="A2259" s="9"/>
    </row>
    <row r="2260" spans="1:1" ht="15.75" customHeight="1" thickBot="1" x14ac:dyDescent="0.3">
      <c r="A2260" s="9"/>
    </row>
    <row r="2261" spans="1:1" ht="15.75" customHeight="1" thickBot="1" x14ac:dyDescent="0.3">
      <c r="A2261" s="9"/>
    </row>
    <row r="2262" spans="1:1" ht="15.75" customHeight="1" thickBot="1" x14ac:dyDescent="0.3">
      <c r="A2262" s="9"/>
    </row>
    <row r="2263" spans="1:1" ht="15.75" customHeight="1" thickBot="1" x14ac:dyDescent="0.3">
      <c r="A2263" s="9"/>
    </row>
    <row r="2264" spans="1:1" ht="15.75" customHeight="1" thickBot="1" x14ac:dyDescent="0.3">
      <c r="A2264" s="9"/>
    </row>
    <row r="2265" spans="1:1" ht="15.75" customHeight="1" thickBot="1" x14ac:dyDescent="0.3">
      <c r="A2265" s="9"/>
    </row>
    <row r="2266" spans="1:1" ht="15.75" customHeight="1" thickBot="1" x14ac:dyDescent="0.3">
      <c r="A2266" s="9"/>
    </row>
    <row r="2267" spans="1:1" ht="15.75" customHeight="1" thickBot="1" x14ac:dyDescent="0.3">
      <c r="A2267" s="9"/>
    </row>
    <row r="2268" spans="1:1" ht="15.75" customHeight="1" thickBot="1" x14ac:dyDescent="0.3">
      <c r="A2268" s="9"/>
    </row>
    <row r="2269" spans="1:1" ht="15.75" customHeight="1" thickBot="1" x14ac:dyDescent="0.3">
      <c r="A2269" s="9"/>
    </row>
    <row r="2270" spans="1:1" ht="15.75" customHeight="1" thickBot="1" x14ac:dyDescent="0.3">
      <c r="A2270" s="9"/>
    </row>
    <row r="2271" spans="1:1" ht="15.75" customHeight="1" thickBot="1" x14ac:dyDescent="0.3">
      <c r="A2271" s="9"/>
    </row>
    <row r="2272" spans="1:1" ht="15.75" customHeight="1" thickBot="1" x14ac:dyDescent="0.3">
      <c r="A2272" s="9"/>
    </row>
    <row r="2273" spans="1:1" ht="15.75" customHeight="1" thickBot="1" x14ac:dyDescent="0.3">
      <c r="A2273" s="9"/>
    </row>
    <row r="2274" spans="1:1" ht="15.75" customHeight="1" thickBot="1" x14ac:dyDescent="0.3">
      <c r="A2274" s="9"/>
    </row>
    <row r="2275" spans="1:1" ht="15.75" customHeight="1" thickBot="1" x14ac:dyDescent="0.3">
      <c r="A2275" s="9"/>
    </row>
    <row r="2276" spans="1:1" ht="15.75" customHeight="1" thickBot="1" x14ac:dyDescent="0.3">
      <c r="A2276" s="9"/>
    </row>
    <row r="2277" spans="1:1" ht="15.75" customHeight="1" thickBot="1" x14ac:dyDescent="0.3">
      <c r="A2277" s="9"/>
    </row>
    <row r="2278" spans="1:1" ht="15.75" customHeight="1" thickBot="1" x14ac:dyDescent="0.3">
      <c r="A2278" s="9"/>
    </row>
    <row r="2279" spans="1:1" ht="15.75" customHeight="1" thickBot="1" x14ac:dyDescent="0.3">
      <c r="A2279" s="9"/>
    </row>
    <row r="2280" spans="1:1" ht="15.75" customHeight="1" thickBot="1" x14ac:dyDescent="0.3">
      <c r="A2280" s="9"/>
    </row>
    <row r="2281" spans="1:1" ht="15.75" customHeight="1" thickBot="1" x14ac:dyDescent="0.3">
      <c r="A2281" s="9"/>
    </row>
    <row r="2282" spans="1:1" ht="15.75" customHeight="1" thickBot="1" x14ac:dyDescent="0.3">
      <c r="A2282" s="9"/>
    </row>
    <row r="2283" spans="1:1" ht="15.75" customHeight="1" thickBot="1" x14ac:dyDescent="0.3">
      <c r="A2283" s="9"/>
    </row>
    <row r="2284" spans="1:1" ht="15.75" customHeight="1" thickBot="1" x14ac:dyDescent="0.3">
      <c r="A2284" s="9"/>
    </row>
    <row r="2285" spans="1:1" ht="15.75" customHeight="1" thickBot="1" x14ac:dyDescent="0.3">
      <c r="A2285" s="9"/>
    </row>
    <row r="2286" spans="1:1" ht="15.75" customHeight="1" thickBot="1" x14ac:dyDescent="0.3">
      <c r="A2286" s="9"/>
    </row>
    <row r="2287" spans="1:1" ht="15.75" customHeight="1" thickBot="1" x14ac:dyDescent="0.3">
      <c r="A2287" s="9"/>
    </row>
    <row r="2288" spans="1:1" ht="15.75" customHeight="1" thickBot="1" x14ac:dyDescent="0.3">
      <c r="A2288" s="9"/>
    </row>
    <row r="2289" spans="1:1" ht="15.75" customHeight="1" thickBot="1" x14ac:dyDescent="0.3">
      <c r="A2289" s="9"/>
    </row>
    <row r="2290" spans="1:1" ht="15.75" customHeight="1" thickBot="1" x14ac:dyDescent="0.3">
      <c r="A2290" s="9"/>
    </row>
    <row r="2291" spans="1:1" ht="15.75" customHeight="1" thickBot="1" x14ac:dyDescent="0.3">
      <c r="A2291" s="9"/>
    </row>
    <row r="2292" spans="1:1" ht="15.75" customHeight="1" thickBot="1" x14ac:dyDescent="0.3">
      <c r="A2292" s="9"/>
    </row>
    <row r="2293" spans="1:1" ht="15.75" customHeight="1" thickBot="1" x14ac:dyDescent="0.3">
      <c r="A2293" s="9"/>
    </row>
    <row r="2294" spans="1:1" ht="15.75" customHeight="1" thickBot="1" x14ac:dyDescent="0.3">
      <c r="A2294" s="9"/>
    </row>
    <row r="2295" spans="1:1" ht="15.75" customHeight="1" thickBot="1" x14ac:dyDescent="0.3">
      <c r="A2295" s="9"/>
    </row>
    <row r="2296" spans="1:1" ht="15.75" customHeight="1" thickBot="1" x14ac:dyDescent="0.3">
      <c r="A2296" s="9"/>
    </row>
    <row r="2297" spans="1:1" ht="15.75" customHeight="1" thickBot="1" x14ac:dyDescent="0.3">
      <c r="A2297" s="9"/>
    </row>
    <row r="2298" spans="1:1" ht="15.75" customHeight="1" thickBot="1" x14ac:dyDescent="0.3">
      <c r="A2298" s="9"/>
    </row>
    <row r="2299" spans="1:1" ht="15.75" customHeight="1" thickBot="1" x14ac:dyDescent="0.3">
      <c r="A2299" s="9"/>
    </row>
    <row r="2300" spans="1:1" ht="15.75" customHeight="1" thickBot="1" x14ac:dyDescent="0.3">
      <c r="A2300" s="9"/>
    </row>
    <row r="2301" spans="1:1" ht="15.75" customHeight="1" thickBot="1" x14ac:dyDescent="0.3">
      <c r="A2301" s="9"/>
    </row>
    <row r="2302" spans="1:1" ht="15.75" customHeight="1" thickBot="1" x14ac:dyDescent="0.3">
      <c r="A2302" s="9"/>
    </row>
    <row r="2303" spans="1:1" ht="15.75" customHeight="1" thickBot="1" x14ac:dyDescent="0.3">
      <c r="A2303" s="9"/>
    </row>
    <row r="2304" spans="1:1" ht="15.75" customHeight="1" thickBot="1" x14ac:dyDescent="0.3">
      <c r="A2304" s="9"/>
    </row>
    <row r="2305" spans="1:1" ht="15.75" customHeight="1" thickBot="1" x14ac:dyDescent="0.3">
      <c r="A2305" s="9"/>
    </row>
    <row r="2306" spans="1:1" ht="15.75" customHeight="1" thickBot="1" x14ac:dyDescent="0.3">
      <c r="A2306" s="9"/>
    </row>
    <row r="2307" spans="1:1" ht="15.75" customHeight="1" thickBot="1" x14ac:dyDescent="0.3">
      <c r="A2307" s="9"/>
    </row>
    <row r="2308" spans="1:1" ht="15.75" customHeight="1" thickBot="1" x14ac:dyDescent="0.3">
      <c r="A2308" s="9"/>
    </row>
    <row r="2309" spans="1:1" ht="15.75" customHeight="1" thickBot="1" x14ac:dyDescent="0.3">
      <c r="A2309" s="9"/>
    </row>
    <row r="2310" spans="1:1" ht="15.75" customHeight="1" thickBot="1" x14ac:dyDescent="0.3">
      <c r="A2310" s="9"/>
    </row>
    <row r="2311" spans="1:1" ht="15.75" customHeight="1" thickBot="1" x14ac:dyDescent="0.3">
      <c r="A2311" s="9"/>
    </row>
    <row r="2312" spans="1:1" ht="15.75" customHeight="1" thickBot="1" x14ac:dyDescent="0.3">
      <c r="A2312" s="9"/>
    </row>
    <row r="2313" spans="1:1" ht="15.75" customHeight="1" thickBot="1" x14ac:dyDescent="0.3">
      <c r="A2313" s="9"/>
    </row>
    <row r="2314" spans="1:1" ht="15.75" customHeight="1" thickBot="1" x14ac:dyDescent="0.3">
      <c r="A2314" s="9"/>
    </row>
    <row r="2315" spans="1:1" ht="15.75" customHeight="1" thickBot="1" x14ac:dyDescent="0.3">
      <c r="A2315" s="9"/>
    </row>
    <row r="2316" spans="1:1" ht="15.75" customHeight="1" thickBot="1" x14ac:dyDescent="0.3">
      <c r="A2316" s="9"/>
    </row>
    <row r="2317" spans="1:1" ht="15.75" customHeight="1" thickBot="1" x14ac:dyDescent="0.3">
      <c r="A2317" s="9"/>
    </row>
    <row r="2318" spans="1:1" ht="15.75" customHeight="1" thickBot="1" x14ac:dyDescent="0.3">
      <c r="A2318" s="9"/>
    </row>
    <row r="2319" spans="1:1" ht="15.75" customHeight="1" thickBot="1" x14ac:dyDescent="0.3">
      <c r="A2319" s="9"/>
    </row>
    <row r="2320" spans="1:1" ht="15.75" customHeight="1" thickBot="1" x14ac:dyDescent="0.3">
      <c r="A2320" s="9"/>
    </row>
    <row r="2321" spans="1:1" ht="15.75" customHeight="1" thickBot="1" x14ac:dyDescent="0.3">
      <c r="A2321" s="9"/>
    </row>
    <row r="2322" spans="1:1" ht="15.75" customHeight="1" thickBot="1" x14ac:dyDescent="0.3">
      <c r="A2322" s="9"/>
    </row>
    <row r="2323" spans="1:1" ht="15.75" customHeight="1" thickBot="1" x14ac:dyDescent="0.3">
      <c r="A2323" s="9"/>
    </row>
    <row r="2324" spans="1:1" ht="15.75" customHeight="1" thickBot="1" x14ac:dyDescent="0.3">
      <c r="A2324" s="9"/>
    </row>
    <row r="2325" spans="1:1" ht="15.75" customHeight="1" thickBot="1" x14ac:dyDescent="0.3">
      <c r="A2325" s="9"/>
    </row>
    <row r="2326" spans="1:1" ht="15.75" customHeight="1" thickBot="1" x14ac:dyDescent="0.3">
      <c r="A2326" s="9"/>
    </row>
    <row r="2327" spans="1:1" ht="15.75" customHeight="1" thickBot="1" x14ac:dyDescent="0.3">
      <c r="A2327" s="9"/>
    </row>
    <row r="2328" spans="1:1" ht="15.75" customHeight="1" thickBot="1" x14ac:dyDescent="0.3">
      <c r="A2328" s="9"/>
    </row>
    <row r="2329" spans="1:1" ht="15.75" customHeight="1" thickBot="1" x14ac:dyDescent="0.3">
      <c r="A2329" s="9"/>
    </row>
    <row r="2330" spans="1:1" ht="15.75" customHeight="1" thickBot="1" x14ac:dyDescent="0.3">
      <c r="A2330" s="9"/>
    </row>
    <row r="2331" spans="1:1" ht="15.75" customHeight="1" thickBot="1" x14ac:dyDescent="0.3">
      <c r="A2331" s="9"/>
    </row>
    <row r="2332" spans="1:1" ht="15.75" customHeight="1" thickBot="1" x14ac:dyDescent="0.3">
      <c r="A2332" s="9"/>
    </row>
    <row r="2333" spans="1:1" ht="15.75" customHeight="1" thickBot="1" x14ac:dyDescent="0.3">
      <c r="A2333" s="9"/>
    </row>
    <row r="2334" spans="1:1" ht="15.75" customHeight="1" thickBot="1" x14ac:dyDescent="0.3">
      <c r="A2334" s="9"/>
    </row>
    <row r="2335" spans="1:1" ht="15.75" customHeight="1" thickBot="1" x14ac:dyDescent="0.3">
      <c r="A2335" s="9"/>
    </row>
    <row r="2336" spans="1:1" ht="15.75" customHeight="1" thickBot="1" x14ac:dyDescent="0.3">
      <c r="A2336" s="9"/>
    </row>
    <row r="2337" spans="1:1" ht="15.75" customHeight="1" thickBot="1" x14ac:dyDescent="0.3">
      <c r="A2337" s="9"/>
    </row>
    <row r="2338" spans="1:1" ht="15.75" customHeight="1" thickBot="1" x14ac:dyDescent="0.3">
      <c r="A2338" s="9"/>
    </row>
    <row r="2339" spans="1:1" ht="15.75" customHeight="1" thickBot="1" x14ac:dyDescent="0.3">
      <c r="A2339" s="9"/>
    </row>
    <row r="2340" spans="1:1" ht="15.75" customHeight="1" thickBot="1" x14ac:dyDescent="0.3">
      <c r="A2340" s="9"/>
    </row>
    <row r="2341" spans="1:1" ht="15.75" customHeight="1" thickBot="1" x14ac:dyDescent="0.3">
      <c r="A2341" s="9"/>
    </row>
    <row r="2342" spans="1:1" ht="15.75" customHeight="1" thickBot="1" x14ac:dyDescent="0.3">
      <c r="A2342" s="9"/>
    </row>
    <row r="2343" spans="1:1" ht="15.75" customHeight="1" thickBot="1" x14ac:dyDescent="0.3">
      <c r="A2343" s="9"/>
    </row>
    <row r="2344" spans="1:1" ht="15.75" customHeight="1" thickBot="1" x14ac:dyDescent="0.3">
      <c r="A2344" s="9"/>
    </row>
    <row r="2345" spans="1:1" ht="15.75" customHeight="1" thickBot="1" x14ac:dyDescent="0.3">
      <c r="A2345" s="9"/>
    </row>
    <row r="2346" spans="1:1" ht="15.75" customHeight="1" thickBot="1" x14ac:dyDescent="0.3">
      <c r="A2346" s="9"/>
    </row>
    <row r="2347" spans="1:1" ht="15.75" customHeight="1" thickBot="1" x14ac:dyDescent="0.3">
      <c r="A2347" s="9"/>
    </row>
    <row r="2348" spans="1:1" ht="15.75" customHeight="1" thickBot="1" x14ac:dyDescent="0.3">
      <c r="A2348" s="9"/>
    </row>
    <row r="2349" spans="1:1" ht="15.75" customHeight="1" thickBot="1" x14ac:dyDescent="0.3">
      <c r="A2349" s="9"/>
    </row>
    <row r="2350" spans="1:1" ht="15.75" customHeight="1" thickBot="1" x14ac:dyDescent="0.3">
      <c r="A2350" s="9"/>
    </row>
    <row r="2351" spans="1:1" ht="15.75" customHeight="1" thickBot="1" x14ac:dyDescent="0.3">
      <c r="A2351" s="9"/>
    </row>
    <row r="2352" spans="1:1" ht="15.75" customHeight="1" thickBot="1" x14ac:dyDescent="0.3">
      <c r="A2352" s="9"/>
    </row>
    <row r="2353" spans="1:1" ht="15.75" customHeight="1" thickBot="1" x14ac:dyDescent="0.3">
      <c r="A2353" s="9"/>
    </row>
    <row r="2354" spans="1:1" ht="15.75" customHeight="1" thickBot="1" x14ac:dyDescent="0.3">
      <c r="A2354" s="9"/>
    </row>
    <row r="2355" spans="1:1" ht="15.75" customHeight="1" thickBot="1" x14ac:dyDescent="0.3">
      <c r="A2355" s="9"/>
    </row>
    <row r="2356" spans="1:1" ht="15.75" customHeight="1" thickBot="1" x14ac:dyDescent="0.3">
      <c r="A2356" s="9"/>
    </row>
    <row r="2357" spans="1:1" ht="15.75" customHeight="1" thickBot="1" x14ac:dyDescent="0.3">
      <c r="A2357" s="9"/>
    </row>
    <row r="2358" spans="1:1" ht="15.75" customHeight="1" thickBot="1" x14ac:dyDescent="0.3">
      <c r="A2358" s="9"/>
    </row>
    <row r="2359" spans="1:1" ht="15.75" customHeight="1" thickBot="1" x14ac:dyDescent="0.3">
      <c r="A2359" s="9"/>
    </row>
    <row r="2360" spans="1:1" ht="15.75" customHeight="1" thickBot="1" x14ac:dyDescent="0.3">
      <c r="A2360" s="9"/>
    </row>
    <row r="2361" spans="1:1" ht="15.75" customHeight="1" thickBot="1" x14ac:dyDescent="0.3">
      <c r="A2361" s="9"/>
    </row>
    <row r="2362" spans="1:1" ht="15.75" customHeight="1" thickBot="1" x14ac:dyDescent="0.3">
      <c r="A2362" s="9"/>
    </row>
    <row r="2363" spans="1:1" ht="15.75" customHeight="1" thickBot="1" x14ac:dyDescent="0.3">
      <c r="A2363" s="9"/>
    </row>
    <row r="2364" spans="1:1" ht="15.75" customHeight="1" thickBot="1" x14ac:dyDescent="0.3">
      <c r="A2364" s="9"/>
    </row>
    <row r="2365" spans="1:1" ht="15.75" customHeight="1" thickBot="1" x14ac:dyDescent="0.3">
      <c r="A2365" s="9"/>
    </row>
    <row r="2366" spans="1:1" ht="15.75" customHeight="1" thickBot="1" x14ac:dyDescent="0.3">
      <c r="A2366" s="9"/>
    </row>
    <row r="2367" spans="1:1" ht="15.75" customHeight="1" thickBot="1" x14ac:dyDescent="0.3">
      <c r="A2367" s="9"/>
    </row>
    <row r="2368" spans="1:1" ht="15.75" customHeight="1" thickBot="1" x14ac:dyDescent="0.3">
      <c r="A2368" s="9"/>
    </row>
    <row r="2369" spans="1:1" ht="15.75" customHeight="1" thickBot="1" x14ac:dyDescent="0.3">
      <c r="A2369" s="9"/>
    </row>
    <row r="2370" spans="1:1" ht="15.75" customHeight="1" thickBot="1" x14ac:dyDescent="0.3">
      <c r="A2370" s="9"/>
    </row>
    <row r="2371" spans="1:1" ht="15.75" customHeight="1" thickBot="1" x14ac:dyDescent="0.3">
      <c r="A2371" s="9"/>
    </row>
    <row r="2372" spans="1:1" ht="15.75" customHeight="1" thickBot="1" x14ac:dyDescent="0.3">
      <c r="A2372" s="9"/>
    </row>
    <row r="2373" spans="1:1" ht="15.75" customHeight="1" thickBot="1" x14ac:dyDescent="0.3">
      <c r="A2373" s="9"/>
    </row>
    <row r="2374" spans="1:1" ht="15.75" customHeight="1" thickBot="1" x14ac:dyDescent="0.3">
      <c r="A2374" s="9"/>
    </row>
    <row r="2375" spans="1:1" ht="15.75" customHeight="1" thickBot="1" x14ac:dyDescent="0.3">
      <c r="A2375" s="9"/>
    </row>
    <row r="2376" spans="1:1" ht="15.75" customHeight="1" thickBot="1" x14ac:dyDescent="0.3">
      <c r="A2376" s="9"/>
    </row>
    <row r="2377" spans="1:1" ht="15.75" customHeight="1" thickBot="1" x14ac:dyDescent="0.3">
      <c r="A2377" s="9"/>
    </row>
    <row r="2378" spans="1:1" ht="15.75" customHeight="1" thickBot="1" x14ac:dyDescent="0.3">
      <c r="A2378" s="9"/>
    </row>
    <row r="2379" spans="1:1" ht="15.75" customHeight="1" thickBot="1" x14ac:dyDescent="0.3">
      <c r="A2379" s="9"/>
    </row>
    <row r="2380" spans="1:1" ht="15.75" customHeight="1" thickBot="1" x14ac:dyDescent="0.3">
      <c r="A2380" s="9"/>
    </row>
    <row r="2381" spans="1:1" ht="15.75" customHeight="1" thickBot="1" x14ac:dyDescent="0.3">
      <c r="A2381" s="9"/>
    </row>
    <row r="2382" spans="1:1" ht="15.75" customHeight="1" thickBot="1" x14ac:dyDescent="0.3">
      <c r="A2382" s="9"/>
    </row>
    <row r="2383" spans="1:1" ht="15.75" customHeight="1" thickBot="1" x14ac:dyDescent="0.3">
      <c r="A2383" s="9"/>
    </row>
    <row r="2384" spans="1:1" ht="15.75" customHeight="1" thickBot="1" x14ac:dyDescent="0.3">
      <c r="A2384" s="9"/>
    </row>
    <row r="2385" spans="1:1" ht="15.75" customHeight="1" thickBot="1" x14ac:dyDescent="0.3">
      <c r="A2385" s="9"/>
    </row>
    <row r="2386" spans="1:1" ht="15.75" customHeight="1" thickBot="1" x14ac:dyDescent="0.3">
      <c r="A2386" s="9"/>
    </row>
    <row r="2387" spans="1:1" ht="15.75" customHeight="1" thickBot="1" x14ac:dyDescent="0.3">
      <c r="A2387" s="9"/>
    </row>
    <row r="2388" spans="1:1" ht="15.75" customHeight="1" thickBot="1" x14ac:dyDescent="0.3">
      <c r="A2388" s="9"/>
    </row>
    <row r="2389" spans="1:1" ht="15.75" customHeight="1" thickBot="1" x14ac:dyDescent="0.3">
      <c r="A2389" s="9"/>
    </row>
    <row r="2390" spans="1:1" ht="15.75" customHeight="1" thickBot="1" x14ac:dyDescent="0.3">
      <c r="A2390" s="9"/>
    </row>
    <row r="2391" spans="1:1" ht="15.75" customHeight="1" thickBot="1" x14ac:dyDescent="0.3">
      <c r="A2391" s="9"/>
    </row>
    <row r="2392" spans="1:1" ht="15.75" customHeight="1" thickBot="1" x14ac:dyDescent="0.3">
      <c r="A2392" s="9"/>
    </row>
    <row r="2393" spans="1:1" ht="15.75" customHeight="1" thickBot="1" x14ac:dyDescent="0.3">
      <c r="A2393" s="9"/>
    </row>
    <row r="2394" spans="1:1" ht="15.75" customHeight="1" thickBot="1" x14ac:dyDescent="0.3">
      <c r="A2394" s="9"/>
    </row>
    <row r="2395" spans="1:1" ht="15.75" customHeight="1" thickBot="1" x14ac:dyDescent="0.3">
      <c r="A2395" s="9"/>
    </row>
    <row r="2396" spans="1:1" ht="15.75" customHeight="1" thickBot="1" x14ac:dyDescent="0.3">
      <c r="A2396" s="9"/>
    </row>
    <row r="2397" spans="1:1" ht="15.75" customHeight="1" thickBot="1" x14ac:dyDescent="0.3">
      <c r="A2397" s="9"/>
    </row>
    <row r="2398" spans="1:1" ht="15.75" customHeight="1" thickBot="1" x14ac:dyDescent="0.3">
      <c r="A2398" s="9"/>
    </row>
    <row r="2399" spans="1:1" ht="15.75" customHeight="1" thickBot="1" x14ac:dyDescent="0.3">
      <c r="A2399" s="9"/>
    </row>
    <row r="2400" spans="1:1" ht="15.75" customHeight="1" thickBot="1" x14ac:dyDescent="0.3">
      <c r="A2400" s="9"/>
    </row>
    <row r="2401" spans="1:1" ht="15.75" customHeight="1" thickBot="1" x14ac:dyDescent="0.3">
      <c r="A2401" s="9"/>
    </row>
    <row r="2402" spans="1:1" ht="15.75" customHeight="1" thickBot="1" x14ac:dyDescent="0.3">
      <c r="A2402" s="9"/>
    </row>
    <row r="2403" spans="1:1" ht="15.75" customHeight="1" thickBot="1" x14ac:dyDescent="0.3">
      <c r="A2403" s="9"/>
    </row>
    <row r="2404" spans="1:1" ht="15.75" customHeight="1" thickBot="1" x14ac:dyDescent="0.3">
      <c r="A2404" s="9"/>
    </row>
    <row r="2405" spans="1:1" ht="15.75" customHeight="1" thickBot="1" x14ac:dyDescent="0.3">
      <c r="A2405" s="9"/>
    </row>
    <row r="2406" spans="1:1" ht="15.75" customHeight="1" thickBot="1" x14ac:dyDescent="0.3">
      <c r="A2406" s="9"/>
    </row>
    <row r="2407" spans="1:1" ht="15.75" customHeight="1" thickBot="1" x14ac:dyDescent="0.3">
      <c r="A2407" s="9"/>
    </row>
    <row r="2408" spans="1:1" ht="15.75" customHeight="1" thickBot="1" x14ac:dyDescent="0.3">
      <c r="A2408" s="9"/>
    </row>
    <row r="2409" spans="1:1" ht="15.75" customHeight="1" thickBot="1" x14ac:dyDescent="0.3">
      <c r="A2409" s="9"/>
    </row>
    <row r="2410" spans="1:1" ht="15.75" customHeight="1" thickBot="1" x14ac:dyDescent="0.3">
      <c r="A2410" s="9"/>
    </row>
    <row r="2411" spans="1:1" ht="15.75" customHeight="1" thickBot="1" x14ac:dyDescent="0.3">
      <c r="A2411" s="9"/>
    </row>
    <row r="2412" spans="1:1" ht="15.75" customHeight="1" thickBot="1" x14ac:dyDescent="0.3">
      <c r="A2412" s="9"/>
    </row>
    <row r="2413" spans="1:1" ht="15.75" customHeight="1" thickBot="1" x14ac:dyDescent="0.3">
      <c r="A2413" s="9"/>
    </row>
    <row r="2414" spans="1:1" ht="15.75" customHeight="1" thickBot="1" x14ac:dyDescent="0.3">
      <c r="A2414" s="9"/>
    </row>
    <row r="2415" spans="1:1" ht="15.75" customHeight="1" thickBot="1" x14ac:dyDescent="0.3">
      <c r="A2415" s="9"/>
    </row>
    <row r="2416" spans="1:1" ht="15.75" customHeight="1" thickBot="1" x14ac:dyDescent="0.3">
      <c r="A2416" s="9"/>
    </row>
    <row r="2417" spans="1:1" ht="15.75" customHeight="1" thickBot="1" x14ac:dyDescent="0.3">
      <c r="A2417" s="9"/>
    </row>
    <row r="2418" spans="1:1" ht="15.75" customHeight="1" thickBot="1" x14ac:dyDescent="0.3">
      <c r="A2418" s="9"/>
    </row>
    <row r="2419" spans="1:1" ht="15.75" customHeight="1" thickBot="1" x14ac:dyDescent="0.3">
      <c r="A2419" s="9"/>
    </row>
    <row r="2420" spans="1:1" ht="15.75" customHeight="1" thickBot="1" x14ac:dyDescent="0.3">
      <c r="A2420" s="9"/>
    </row>
    <row r="2421" spans="1:1" ht="15.75" customHeight="1" thickBot="1" x14ac:dyDescent="0.3">
      <c r="A2421" s="9"/>
    </row>
    <row r="2422" spans="1:1" ht="15.75" customHeight="1" thickBot="1" x14ac:dyDescent="0.3">
      <c r="A2422" s="9"/>
    </row>
    <row r="2423" spans="1:1" ht="15.75" customHeight="1" thickBot="1" x14ac:dyDescent="0.3">
      <c r="A2423" s="9"/>
    </row>
    <row r="2424" spans="1:1" ht="15.75" customHeight="1" thickBot="1" x14ac:dyDescent="0.3">
      <c r="A2424" s="9"/>
    </row>
    <row r="2425" spans="1:1" ht="15.75" customHeight="1" thickBot="1" x14ac:dyDescent="0.3">
      <c r="A2425" s="9"/>
    </row>
    <row r="2426" spans="1:1" ht="15.75" customHeight="1" thickBot="1" x14ac:dyDescent="0.3">
      <c r="A2426" s="9"/>
    </row>
    <row r="2427" spans="1:1" ht="15.75" customHeight="1" thickBot="1" x14ac:dyDescent="0.3">
      <c r="A2427" s="9"/>
    </row>
    <row r="2428" spans="1:1" ht="15.75" customHeight="1" thickBot="1" x14ac:dyDescent="0.3">
      <c r="A2428" s="9"/>
    </row>
    <row r="2429" spans="1:1" ht="15.75" customHeight="1" thickBot="1" x14ac:dyDescent="0.3">
      <c r="A2429" s="9"/>
    </row>
    <row r="2430" spans="1:1" ht="15.75" customHeight="1" thickBot="1" x14ac:dyDescent="0.3">
      <c r="A2430" s="9"/>
    </row>
    <row r="2431" spans="1:1" ht="15.75" customHeight="1" thickBot="1" x14ac:dyDescent="0.3">
      <c r="A2431" s="9"/>
    </row>
    <row r="2432" spans="1:1" ht="15.75" customHeight="1" thickBot="1" x14ac:dyDescent="0.3">
      <c r="A2432" s="9"/>
    </row>
    <row r="2433" spans="1:1" ht="15.75" customHeight="1" thickBot="1" x14ac:dyDescent="0.3">
      <c r="A2433" s="9"/>
    </row>
    <row r="2434" spans="1:1" ht="15.75" customHeight="1" thickBot="1" x14ac:dyDescent="0.3">
      <c r="A2434" s="9"/>
    </row>
    <row r="2435" spans="1:1" ht="15.75" customHeight="1" thickBot="1" x14ac:dyDescent="0.3">
      <c r="A2435" s="9"/>
    </row>
    <row r="2436" spans="1:1" ht="15.75" customHeight="1" thickBot="1" x14ac:dyDescent="0.3">
      <c r="A2436" s="9"/>
    </row>
    <row r="2437" spans="1:1" ht="15.75" customHeight="1" thickBot="1" x14ac:dyDescent="0.3">
      <c r="A2437" s="9"/>
    </row>
    <row r="2438" spans="1:1" ht="15.75" customHeight="1" thickBot="1" x14ac:dyDescent="0.3">
      <c r="A2438" s="9"/>
    </row>
    <row r="2439" spans="1:1" ht="15.75" customHeight="1" thickBot="1" x14ac:dyDescent="0.3">
      <c r="A2439" s="9"/>
    </row>
    <row r="2440" spans="1:1" ht="15.75" customHeight="1" thickBot="1" x14ac:dyDescent="0.3">
      <c r="A2440" s="9"/>
    </row>
    <row r="2441" spans="1:1" ht="15.75" customHeight="1" thickBot="1" x14ac:dyDescent="0.3">
      <c r="A2441" s="9"/>
    </row>
    <row r="2442" spans="1:1" ht="15.75" customHeight="1" thickBot="1" x14ac:dyDescent="0.3">
      <c r="A2442" s="9"/>
    </row>
    <row r="2443" spans="1:1" ht="15.75" customHeight="1" thickBot="1" x14ac:dyDescent="0.3">
      <c r="A2443" s="9"/>
    </row>
    <row r="2444" spans="1:1" ht="15.75" customHeight="1" thickBot="1" x14ac:dyDescent="0.3">
      <c r="A2444" s="9"/>
    </row>
    <row r="2445" spans="1:1" ht="15.75" customHeight="1" thickBot="1" x14ac:dyDescent="0.3">
      <c r="A2445" s="9"/>
    </row>
    <row r="2446" spans="1:1" ht="15.75" customHeight="1" thickBot="1" x14ac:dyDescent="0.3">
      <c r="A2446" s="9"/>
    </row>
    <row r="2447" spans="1:1" ht="15.75" customHeight="1" thickBot="1" x14ac:dyDescent="0.3">
      <c r="A2447" s="9"/>
    </row>
    <row r="2448" spans="1:1" ht="15.75" customHeight="1" thickBot="1" x14ac:dyDescent="0.3">
      <c r="A2448" s="9"/>
    </row>
    <row r="2449" spans="1:1" ht="15.75" customHeight="1" thickBot="1" x14ac:dyDescent="0.3">
      <c r="A2449" s="9"/>
    </row>
    <row r="2450" spans="1:1" ht="15.75" customHeight="1" thickBot="1" x14ac:dyDescent="0.3">
      <c r="A2450" s="9"/>
    </row>
    <row r="2451" spans="1:1" ht="15.75" customHeight="1" thickBot="1" x14ac:dyDescent="0.3">
      <c r="A2451" s="9"/>
    </row>
    <row r="2452" spans="1:1" ht="15.75" customHeight="1" thickBot="1" x14ac:dyDescent="0.3">
      <c r="A2452" s="9"/>
    </row>
    <row r="2453" spans="1:1" ht="15.75" customHeight="1" thickBot="1" x14ac:dyDescent="0.3">
      <c r="A2453" s="9"/>
    </row>
    <row r="2454" spans="1:1" ht="15.75" customHeight="1" thickBot="1" x14ac:dyDescent="0.3">
      <c r="A2454" s="9"/>
    </row>
    <row r="2455" spans="1:1" ht="15.75" customHeight="1" thickBot="1" x14ac:dyDescent="0.3">
      <c r="A2455" s="9"/>
    </row>
    <row r="2456" spans="1:1" ht="15.75" customHeight="1" thickBot="1" x14ac:dyDescent="0.3">
      <c r="A2456" s="9"/>
    </row>
    <row r="2457" spans="1:1" ht="15.75" customHeight="1" thickBot="1" x14ac:dyDescent="0.3">
      <c r="A2457" s="9"/>
    </row>
    <row r="2458" spans="1:1" ht="15.75" customHeight="1" thickBot="1" x14ac:dyDescent="0.3">
      <c r="A2458" s="9"/>
    </row>
    <row r="2459" spans="1:1" ht="15.75" customHeight="1" thickBot="1" x14ac:dyDescent="0.3">
      <c r="A2459" s="9"/>
    </row>
    <row r="2460" spans="1:1" ht="15.75" customHeight="1" thickBot="1" x14ac:dyDescent="0.3">
      <c r="A2460" s="9"/>
    </row>
    <row r="2461" spans="1:1" ht="15.75" customHeight="1" thickBot="1" x14ac:dyDescent="0.3">
      <c r="A2461" s="9"/>
    </row>
    <row r="2462" spans="1:1" ht="15.75" customHeight="1" thickBot="1" x14ac:dyDescent="0.3">
      <c r="A2462" s="9"/>
    </row>
    <row r="2463" spans="1:1" ht="15.75" customHeight="1" thickBot="1" x14ac:dyDescent="0.3">
      <c r="A2463" s="9"/>
    </row>
    <row r="2464" spans="1:1" ht="15.75" customHeight="1" thickBot="1" x14ac:dyDescent="0.3">
      <c r="A2464" s="9"/>
    </row>
    <row r="2465" spans="1:1" ht="15.75" customHeight="1" thickBot="1" x14ac:dyDescent="0.3">
      <c r="A2465" s="9"/>
    </row>
    <row r="2466" spans="1:1" ht="15.75" customHeight="1" thickBot="1" x14ac:dyDescent="0.3">
      <c r="A2466" s="9"/>
    </row>
    <row r="2467" spans="1:1" ht="15.75" customHeight="1" thickBot="1" x14ac:dyDescent="0.3">
      <c r="A2467" s="9"/>
    </row>
    <row r="2468" spans="1:1" ht="15.75" customHeight="1" thickBot="1" x14ac:dyDescent="0.3">
      <c r="A2468" s="9"/>
    </row>
    <row r="2469" spans="1:1" ht="15.75" customHeight="1" thickBot="1" x14ac:dyDescent="0.3">
      <c r="A2469" s="9"/>
    </row>
    <row r="2470" spans="1:1" ht="15.75" customHeight="1" thickBot="1" x14ac:dyDescent="0.3">
      <c r="A2470" s="9"/>
    </row>
    <row r="2471" spans="1:1" ht="15.75" customHeight="1" thickBot="1" x14ac:dyDescent="0.3">
      <c r="A2471" s="9"/>
    </row>
    <row r="2472" spans="1:1" ht="15.75" customHeight="1" thickBot="1" x14ac:dyDescent="0.3">
      <c r="A2472" s="9"/>
    </row>
    <row r="2473" spans="1:1" ht="15.75" customHeight="1" thickBot="1" x14ac:dyDescent="0.3">
      <c r="A2473" s="9"/>
    </row>
    <row r="2474" spans="1:1" ht="15.75" customHeight="1" thickBot="1" x14ac:dyDescent="0.3">
      <c r="A2474" s="9"/>
    </row>
    <row r="2475" spans="1:1" ht="15.75" customHeight="1" thickBot="1" x14ac:dyDescent="0.3">
      <c r="A2475" s="9"/>
    </row>
    <row r="2476" spans="1:1" ht="15.75" customHeight="1" thickBot="1" x14ac:dyDescent="0.3">
      <c r="A2476" s="9"/>
    </row>
    <row r="2477" spans="1:1" ht="15.75" customHeight="1" thickBot="1" x14ac:dyDescent="0.3">
      <c r="A2477" s="9"/>
    </row>
    <row r="2478" spans="1:1" ht="15.75" customHeight="1" thickBot="1" x14ac:dyDescent="0.3">
      <c r="A2478" s="9"/>
    </row>
    <row r="2479" spans="1:1" ht="15.75" customHeight="1" thickBot="1" x14ac:dyDescent="0.3">
      <c r="A2479" s="9"/>
    </row>
    <row r="2480" spans="1:1" ht="15.75" customHeight="1" thickBot="1" x14ac:dyDescent="0.3">
      <c r="A2480" s="9"/>
    </row>
    <row r="2481" spans="1:1" ht="15.75" customHeight="1" thickBot="1" x14ac:dyDescent="0.3">
      <c r="A2481" s="9"/>
    </row>
    <row r="2482" spans="1:1" ht="15.75" customHeight="1" thickBot="1" x14ac:dyDescent="0.3">
      <c r="A2482" s="9"/>
    </row>
    <row r="2483" spans="1:1" ht="15.75" customHeight="1" thickBot="1" x14ac:dyDescent="0.3">
      <c r="A2483" s="9"/>
    </row>
    <row r="2484" spans="1:1" ht="15.75" customHeight="1" thickBot="1" x14ac:dyDescent="0.3">
      <c r="A2484" s="9"/>
    </row>
    <row r="2485" spans="1:1" ht="15.75" customHeight="1" thickBot="1" x14ac:dyDescent="0.3">
      <c r="A2485" s="9"/>
    </row>
    <row r="2486" spans="1:1" ht="15.75" customHeight="1" thickBot="1" x14ac:dyDescent="0.3">
      <c r="A2486" s="9"/>
    </row>
    <row r="2487" spans="1:1" ht="15.75" customHeight="1" thickBot="1" x14ac:dyDescent="0.3">
      <c r="A2487" s="9"/>
    </row>
    <row r="2488" spans="1:1" ht="15.75" customHeight="1" thickBot="1" x14ac:dyDescent="0.3">
      <c r="A2488" s="9"/>
    </row>
    <row r="2489" spans="1:1" ht="15.75" customHeight="1" thickBot="1" x14ac:dyDescent="0.3">
      <c r="A2489" s="9"/>
    </row>
    <row r="2490" spans="1:1" ht="15.75" customHeight="1" thickBot="1" x14ac:dyDescent="0.3">
      <c r="A2490" s="9"/>
    </row>
    <row r="2491" spans="1:1" ht="15.75" customHeight="1" thickBot="1" x14ac:dyDescent="0.3">
      <c r="A2491" s="9"/>
    </row>
    <row r="2492" spans="1:1" ht="15.75" customHeight="1" thickBot="1" x14ac:dyDescent="0.3">
      <c r="A2492" s="9"/>
    </row>
    <row r="2493" spans="1:1" ht="15.75" customHeight="1" thickBot="1" x14ac:dyDescent="0.3">
      <c r="A2493" s="9"/>
    </row>
    <row r="2494" spans="1:1" ht="15.75" customHeight="1" thickBot="1" x14ac:dyDescent="0.3">
      <c r="A2494" s="9"/>
    </row>
    <row r="2495" spans="1:1" ht="15.75" customHeight="1" thickBot="1" x14ac:dyDescent="0.3">
      <c r="A2495" s="9"/>
    </row>
    <row r="2496" spans="1:1" ht="15.75" customHeight="1" thickBot="1" x14ac:dyDescent="0.3">
      <c r="A2496" s="9"/>
    </row>
    <row r="2497" spans="1:1" ht="15.75" customHeight="1" thickBot="1" x14ac:dyDescent="0.3">
      <c r="A2497" s="9"/>
    </row>
    <row r="2498" spans="1:1" ht="15.75" customHeight="1" thickBot="1" x14ac:dyDescent="0.3">
      <c r="A2498" s="9"/>
    </row>
    <row r="2499" spans="1:1" ht="15.75" customHeight="1" thickBot="1" x14ac:dyDescent="0.3">
      <c r="A2499" s="9"/>
    </row>
    <row r="2500" spans="1:1" ht="15.75" customHeight="1" thickBot="1" x14ac:dyDescent="0.3">
      <c r="A2500" s="9"/>
    </row>
    <row r="2501" spans="1:1" ht="15.75" customHeight="1" thickBot="1" x14ac:dyDescent="0.3">
      <c r="A2501" s="9"/>
    </row>
    <row r="2502" spans="1:1" ht="15.75" customHeight="1" thickBot="1" x14ac:dyDescent="0.3">
      <c r="A2502" s="9"/>
    </row>
    <row r="2503" spans="1:1" ht="15.75" customHeight="1" thickBot="1" x14ac:dyDescent="0.3">
      <c r="A2503" s="9"/>
    </row>
    <row r="2504" spans="1:1" ht="15.75" customHeight="1" thickBot="1" x14ac:dyDescent="0.3">
      <c r="A2504" s="9"/>
    </row>
    <row r="2505" spans="1:1" ht="15.75" customHeight="1" thickBot="1" x14ac:dyDescent="0.3">
      <c r="A2505" s="9"/>
    </row>
    <row r="2506" spans="1:1" ht="15.75" customHeight="1" thickBot="1" x14ac:dyDescent="0.3">
      <c r="A2506" s="9"/>
    </row>
    <row r="2507" spans="1:1" ht="15.75" customHeight="1" thickBot="1" x14ac:dyDescent="0.3">
      <c r="A2507" s="9"/>
    </row>
    <row r="2508" spans="1:1" ht="15.75" customHeight="1" thickBot="1" x14ac:dyDescent="0.3">
      <c r="A2508" s="9"/>
    </row>
    <row r="2509" spans="1:1" ht="15.75" customHeight="1" thickBot="1" x14ac:dyDescent="0.3">
      <c r="A2509" s="9"/>
    </row>
    <row r="2510" spans="1:1" ht="15.75" customHeight="1" thickBot="1" x14ac:dyDescent="0.3">
      <c r="A2510" s="9"/>
    </row>
    <row r="2511" spans="1:1" ht="15.75" customHeight="1" thickBot="1" x14ac:dyDescent="0.3">
      <c r="A2511" s="9"/>
    </row>
    <row r="2512" spans="1:1" ht="15.75" customHeight="1" thickBot="1" x14ac:dyDescent="0.3">
      <c r="A2512" s="9"/>
    </row>
    <row r="2513" spans="1:1" ht="15.75" customHeight="1" thickBot="1" x14ac:dyDescent="0.3">
      <c r="A2513" s="9"/>
    </row>
    <row r="2514" spans="1:1" ht="15.75" customHeight="1" thickBot="1" x14ac:dyDescent="0.3">
      <c r="A2514" s="9"/>
    </row>
    <row r="2515" spans="1:1" ht="15.75" customHeight="1" thickBot="1" x14ac:dyDescent="0.3">
      <c r="A2515" s="9"/>
    </row>
    <row r="2516" spans="1:1" ht="15.75" customHeight="1" thickBot="1" x14ac:dyDescent="0.3">
      <c r="A2516" s="9"/>
    </row>
    <row r="2517" spans="1:1" ht="15.75" customHeight="1" thickBot="1" x14ac:dyDescent="0.3">
      <c r="A2517" s="9"/>
    </row>
    <row r="2518" spans="1:1" ht="15.75" customHeight="1" thickBot="1" x14ac:dyDescent="0.3">
      <c r="A2518" s="9"/>
    </row>
    <row r="2519" spans="1:1" ht="15.75" customHeight="1" thickBot="1" x14ac:dyDescent="0.3">
      <c r="A2519" s="9"/>
    </row>
    <row r="2520" spans="1:1" ht="15.75" customHeight="1" thickBot="1" x14ac:dyDescent="0.3">
      <c r="A2520" s="9"/>
    </row>
    <row r="2521" spans="1:1" ht="15.75" customHeight="1" thickBot="1" x14ac:dyDescent="0.3">
      <c r="A2521" s="9"/>
    </row>
    <row r="2522" spans="1:1" ht="15.75" customHeight="1" thickBot="1" x14ac:dyDescent="0.3">
      <c r="A2522" s="9"/>
    </row>
    <row r="2523" spans="1:1" ht="15.75" customHeight="1" thickBot="1" x14ac:dyDescent="0.3">
      <c r="A2523" s="9"/>
    </row>
    <row r="2524" spans="1:1" ht="15.75" customHeight="1" thickBot="1" x14ac:dyDescent="0.3">
      <c r="A2524" s="9"/>
    </row>
    <row r="2525" spans="1:1" ht="15.75" customHeight="1" thickBot="1" x14ac:dyDescent="0.3">
      <c r="A2525" s="9"/>
    </row>
    <row r="2526" spans="1:1" ht="15.75" customHeight="1" thickBot="1" x14ac:dyDescent="0.3">
      <c r="A2526" s="9"/>
    </row>
    <row r="2527" spans="1:1" ht="15.75" customHeight="1" thickBot="1" x14ac:dyDescent="0.3">
      <c r="A2527" s="9"/>
    </row>
    <row r="2528" spans="1:1" ht="15.75" customHeight="1" thickBot="1" x14ac:dyDescent="0.3">
      <c r="A2528" s="9"/>
    </row>
    <row r="2529" spans="1:1" ht="15.75" customHeight="1" thickBot="1" x14ac:dyDescent="0.3">
      <c r="A2529" s="9"/>
    </row>
    <row r="2530" spans="1:1" ht="15.75" customHeight="1" thickBot="1" x14ac:dyDescent="0.3">
      <c r="A2530" s="9"/>
    </row>
    <row r="2531" spans="1:1" ht="15.75" customHeight="1" thickBot="1" x14ac:dyDescent="0.3">
      <c r="A2531" s="9"/>
    </row>
    <row r="2532" spans="1:1" ht="15.75" customHeight="1" thickBot="1" x14ac:dyDescent="0.3">
      <c r="A2532" s="9"/>
    </row>
    <row r="2533" spans="1:1" ht="15.75" customHeight="1" thickBot="1" x14ac:dyDescent="0.3">
      <c r="A2533" s="9"/>
    </row>
    <row r="2534" spans="1:1" ht="15.75" customHeight="1" thickBot="1" x14ac:dyDescent="0.3">
      <c r="A2534" s="9"/>
    </row>
    <row r="2535" spans="1:1" ht="15.75" customHeight="1" thickBot="1" x14ac:dyDescent="0.3">
      <c r="A2535" s="9"/>
    </row>
    <row r="2536" spans="1:1" ht="15.75" customHeight="1" thickBot="1" x14ac:dyDescent="0.3">
      <c r="A2536" s="9"/>
    </row>
    <row r="2537" spans="1:1" ht="15.75" customHeight="1" thickBot="1" x14ac:dyDescent="0.3">
      <c r="A2537" s="9"/>
    </row>
    <row r="2538" spans="1:1" ht="15.75" customHeight="1" thickBot="1" x14ac:dyDescent="0.3">
      <c r="A2538" s="9"/>
    </row>
    <row r="2539" spans="1:1" ht="15.75" customHeight="1" thickBot="1" x14ac:dyDescent="0.3">
      <c r="A2539" s="9"/>
    </row>
    <row r="2540" spans="1:1" ht="15.75" customHeight="1" thickBot="1" x14ac:dyDescent="0.3">
      <c r="A2540" s="9"/>
    </row>
    <row r="2541" spans="1:1" ht="15.75" customHeight="1" thickBot="1" x14ac:dyDescent="0.3">
      <c r="A2541" s="9"/>
    </row>
    <row r="2542" spans="1:1" ht="15.75" customHeight="1" thickBot="1" x14ac:dyDescent="0.3">
      <c r="A2542" s="9"/>
    </row>
    <row r="2543" spans="1:1" ht="15.75" customHeight="1" thickBot="1" x14ac:dyDescent="0.3">
      <c r="A2543" s="9"/>
    </row>
    <row r="2544" spans="1:1" ht="15.75" customHeight="1" thickBot="1" x14ac:dyDescent="0.3">
      <c r="A2544" s="9"/>
    </row>
    <row r="2545" spans="1:1" ht="15.75" customHeight="1" thickBot="1" x14ac:dyDescent="0.3">
      <c r="A2545" s="9"/>
    </row>
    <row r="2546" spans="1:1" ht="15.75" customHeight="1" thickBot="1" x14ac:dyDescent="0.3">
      <c r="A2546" s="9"/>
    </row>
    <row r="2547" spans="1:1" ht="15.75" customHeight="1" thickBot="1" x14ac:dyDescent="0.3">
      <c r="A2547" s="9"/>
    </row>
    <row r="2548" spans="1:1" ht="15.75" customHeight="1" thickBot="1" x14ac:dyDescent="0.3">
      <c r="A2548" s="9"/>
    </row>
    <row r="2549" spans="1:1" ht="15.75" customHeight="1" thickBot="1" x14ac:dyDescent="0.3">
      <c r="A2549" s="9"/>
    </row>
    <row r="2550" spans="1:1" ht="15.75" customHeight="1" thickBot="1" x14ac:dyDescent="0.3">
      <c r="A2550" s="9"/>
    </row>
    <row r="2551" spans="1:1" ht="15.75" customHeight="1" thickBot="1" x14ac:dyDescent="0.3">
      <c r="A2551" s="9"/>
    </row>
    <row r="2552" spans="1:1" ht="15.75" customHeight="1" thickBot="1" x14ac:dyDescent="0.3">
      <c r="A2552" s="9"/>
    </row>
    <row r="2553" spans="1:1" ht="15.75" customHeight="1" thickBot="1" x14ac:dyDescent="0.3">
      <c r="A2553" s="9"/>
    </row>
    <row r="2554" spans="1:1" ht="15.75" customHeight="1" thickBot="1" x14ac:dyDescent="0.3">
      <c r="A2554" s="9"/>
    </row>
    <row r="2555" spans="1:1" ht="15.75" customHeight="1" thickBot="1" x14ac:dyDescent="0.3">
      <c r="A2555" s="9"/>
    </row>
    <row r="2556" spans="1:1" ht="15.75" customHeight="1" thickBot="1" x14ac:dyDescent="0.3">
      <c r="A2556" s="9"/>
    </row>
    <row r="2557" spans="1:1" ht="15.75" customHeight="1" thickBot="1" x14ac:dyDescent="0.3">
      <c r="A2557" s="9"/>
    </row>
    <row r="2558" spans="1:1" ht="15.75" customHeight="1" thickBot="1" x14ac:dyDescent="0.3">
      <c r="A2558" s="9"/>
    </row>
    <row r="2559" spans="1:1" ht="15.75" customHeight="1" thickBot="1" x14ac:dyDescent="0.3">
      <c r="A2559" s="9"/>
    </row>
    <row r="2560" spans="1:1" ht="15.75" customHeight="1" thickBot="1" x14ac:dyDescent="0.3">
      <c r="A2560" s="9"/>
    </row>
    <row r="2561" spans="1:1" ht="15.75" customHeight="1" thickBot="1" x14ac:dyDescent="0.3">
      <c r="A2561" s="9"/>
    </row>
    <row r="2562" spans="1:1" ht="15.75" customHeight="1" thickBot="1" x14ac:dyDescent="0.3">
      <c r="A2562" s="9"/>
    </row>
    <row r="2563" spans="1:1" ht="15.75" customHeight="1" thickBot="1" x14ac:dyDescent="0.3">
      <c r="A2563" s="9"/>
    </row>
    <row r="2564" spans="1:1" ht="15.75" customHeight="1" thickBot="1" x14ac:dyDescent="0.3">
      <c r="A2564" s="9"/>
    </row>
    <row r="2565" spans="1:1" ht="15.75" customHeight="1" thickBot="1" x14ac:dyDescent="0.3">
      <c r="A2565" s="9"/>
    </row>
    <row r="2566" spans="1:1" ht="15.75" customHeight="1" thickBot="1" x14ac:dyDescent="0.3">
      <c r="A2566" s="9"/>
    </row>
    <row r="2567" spans="1:1" ht="15.75" customHeight="1" thickBot="1" x14ac:dyDescent="0.3">
      <c r="A2567" s="9"/>
    </row>
    <row r="2568" spans="1:1" ht="15.75" customHeight="1" thickBot="1" x14ac:dyDescent="0.3">
      <c r="A2568" s="9"/>
    </row>
    <row r="2569" spans="1:1" ht="15.75" customHeight="1" thickBot="1" x14ac:dyDescent="0.3">
      <c r="A2569" s="9"/>
    </row>
    <row r="2570" spans="1:1" ht="15.75" customHeight="1" thickBot="1" x14ac:dyDescent="0.3">
      <c r="A2570" s="9"/>
    </row>
    <row r="2571" spans="1:1" ht="15.75" customHeight="1" thickBot="1" x14ac:dyDescent="0.3">
      <c r="A2571" s="9"/>
    </row>
    <row r="2572" spans="1:1" ht="15.75" customHeight="1" thickBot="1" x14ac:dyDescent="0.3">
      <c r="A2572" s="9"/>
    </row>
    <row r="2573" spans="1:1" ht="15.75" customHeight="1" thickBot="1" x14ac:dyDescent="0.3">
      <c r="A2573" s="9"/>
    </row>
    <row r="2574" spans="1:1" ht="15.75" customHeight="1" thickBot="1" x14ac:dyDescent="0.3">
      <c r="A2574" s="9"/>
    </row>
    <row r="2575" spans="1:1" ht="15.75" customHeight="1" thickBot="1" x14ac:dyDescent="0.3">
      <c r="A2575" s="9"/>
    </row>
    <row r="2576" spans="1:1" ht="15.75" customHeight="1" thickBot="1" x14ac:dyDescent="0.3">
      <c r="A2576" s="9"/>
    </row>
    <row r="2577" spans="1:1" ht="15.75" customHeight="1" thickBot="1" x14ac:dyDescent="0.3">
      <c r="A2577" s="9"/>
    </row>
    <row r="2578" spans="1:1" ht="15.75" customHeight="1" thickBot="1" x14ac:dyDescent="0.3">
      <c r="A2578" s="9"/>
    </row>
    <row r="2579" spans="1:1" ht="15.75" customHeight="1" thickBot="1" x14ac:dyDescent="0.3">
      <c r="A2579" s="9"/>
    </row>
    <row r="2580" spans="1:1" ht="15.75" customHeight="1" thickBot="1" x14ac:dyDescent="0.3">
      <c r="A2580" s="9"/>
    </row>
    <row r="2581" spans="1:1" ht="15.75" customHeight="1" thickBot="1" x14ac:dyDescent="0.3">
      <c r="A2581" s="9"/>
    </row>
    <row r="2582" spans="1:1" ht="15.75" customHeight="1" thickBot="1" x14ac:dyDescent="0.3">
      <c r="A2582" s="9"/>
    </row>
    <row r="2583" spans="1:1" ht="15.75" customHeight="1" thickBot="1" x14ac:dyDescent="0.3">
      <c r="A2583" s="9"/>
    </row>
    <row r="2584" spans="1:1" ht="15.75" customHeight="1" thickBot="1" x14ac:dyDescent="0.3">
      <c r="A2584" s="9"/>
    </row>
    <row r="2585" spans="1:1" ht="15.75" customHeight="1" thickBot="1" x14ac:dyDescent="0.3">
      <c r="A2585" s="9"/>
    </row>
    <row r="2586" spans="1:1" ht="15.75" customHeight="1" thickBot="1" x14ac:dyDescent="0.3">
      <c r="A2586" s="9"/>
    </row>
    <row r="2587" spans="1:1" ht="15.75" customHeight="1" thickBot="1" x14ac:dyDescent="0.3">
      <c r="A2587" s="9"/>
    </row>
    <row r="2588" spans="1:1" ht="15.75" customHeight="1" thickBot="1" x14ac:dyDescent="0.3">
      <c r="A2588" s="9"/>
    </row>
    <row r="2589" spans="1:1" ht="15.75" customHeight="1" thickBot="1" x14ac:dyDescent="0.3">
      <c r="A2589" s="9"/>
    </row>
    <row r="2590" spans="1:1" ht="15.75" customHeight="1" thickBot="1" x14ac:dyDescent="0.3">
      <c r="A2590" s="9"/>
    </row>
    <row r="2591" spans="1:1" ht="15.75" customHeight="1" thickBot="1" x14ac:dyDescent="0.3">
      <c r="A2591" s="9"/>
    </row>
    <row r="2592" spans="1:1" ht="15.75" customHeight="1" thickBot="1" x14ac:dyDescent="0.3">
      <c r="A2592" s="9"/>
    </row>
    <row r="2593" spans="1:1" ht="15.75" customHeight="1" thickBot="1" x14ac:dyDescent="0.3">
      <c r="A2593" s="9"/>
    </row>
    <row r="2594" spans="1:1" ht="15.75" customHeight="1" thickBot="1" x14ac:dyDescent="0.3">
      <c r="A2594" s="9"/>
    </row>
    <row r="2595" spans="1:1" ht="15.75" customHeight="1" thickBot="1" x14ac:dyDescent="0.3">
      <c r="A2595" s="9"/>
    </row>
    <row r="2596" spans="1:1" ht="15.75" customHeight="1" thickBot="1" x14ac:dyDescent="0.3">
      <c r="A2596" s="9"/>
    </row>
    <row r="2597" spans="1:1" ht="15.75" customHeight="1" thickBot="1" x14ac:dyDescent="0.3">
      <c r="A2597" s="9"/>
    </row>
    <row r="2598" spans="1:1" ht="15.75" customHeight="1" thickBot="1" x14ac:dyDescent="0.3">
      <c r="A2598" s="9"/>
    </row>
    <row r="2599" spans="1:1" ht="15.75" customHeight="1" thickBot="1" x14ac:dyDescent="0.3">
      <c r="A2599" s="9"/>
    </row>
    <row r="2600" spans="1:1" ht="15.75" customHeight="1" thickBot="1" x14ac:dyDescent="0.3">
      <c r="A2600" s="9"/>
    </row>
    <row r="2601" spans="1:1" ht="15.75" customHeight="1" thickBot="1" x14ac:dyDescent="0.3">
      <c r="A2601" s="9"/>
    </row>
    <row r="2602" spans="1:1" ht="15.75" customHeight="1" thickBot="1" x14ac:dyDescent="0.3">
      <c r="A2602" s="9"/>
    </row>
    <row r="2603" spans="1:1" ht="15.75" customHeight="1" thickBot="1" x14ac:dyDescent="0.3">
      <c r="A2603" s="9"/>
    </row>
    <row r="2604" spans="1:1" ht="15.75" customHeight="1" thickBot="1" x14ac:dyDescent="0.3">
      <c r="A2604" s="9"/>
    </row>
    <row r="2605" spans="1:1" ht="15.75" customHeight="1" thickBot="1" x14ac:dyDescent="0.3">
      <c r="A2605" s="9"/>
    </row>
    <row r="2606" spans="1:1" ht="15.75" customHeight="1" thickBot="1" x14ac:dyDescent="0.3">
      <c r="A2606" s="9"/>
    </row>
    <row r="2607" spans="1:1" ht="15.75" customHeight="1" thickBot="1" x14ac:dyDescent="0.3">
      <c r="A2607" s="9"/>
    </row>
    <row r="2608" spans="1:1" ht="15.75" customHeight="1" thickBot="1" x14ac:dyDescent="0.3">
      <c r="A2608" s="9"/>
    </row>
    <row r="2609" spans="1:1" ht="15.75" customHeight="1" thickBot="1" x14ac:dyDescent="0.3">
      <c r="A2609" s="9"/>
    </row>
    <row r="2610" spans="1:1" ht="15.75" customHeight="1" thickBot="1" x14ac:dyDescent="0.3">
      <c r="A2610" s="9"/>
    </row>
    <row r="2611" spans="1:1" ht="15.75" customHeight="1" thickBot="1" x14ac:dyDescent="0.3">
      <c r="A2611" s="9"/>
    </row>
    <row r="2612" spans="1:1" ht="15.75" customHeight="1" thickBot="1" x14ac:dyDescent="0.3">
      <c r="A2612" s="9"/>
    </row>
    <row r="2613" spans="1:1" ht="15.75" customHeight="1" thickBot="1" x14ac:dyDescent="0.3">
      <c r="A2613" s="9"/>
    </row>
    <row r="2614" spans="1:1" ht="15.75" customHeight="1" thickBot="1" x14ac:dyDescent="0.3">
      <c r="A2614" s="9"/>
    </row>
    <row r="2615" spans="1:1" ht="15.75" customHeight="1" thickBot="1" x14ac:dyDescent="0.3">
      <c r="A2615" s="9"/>
    </row>
    <row r="2616" spans="1:1" ht="15.75" customHeight="1" thickBot="1" x14ac:dyDescent="0.3">
      <c r="A2616" s="9"/>
    </row>
    <row r="2617" spans="1:1" ht="15.75" customHeight="1" thickBot="1" x14ac:dyDescent="0.3">
      <c r="A2617" s="9"/>
    </row>
    <row r="2618" spans="1:1" ht="15.75" customHeight="1" thickBot="1" x14ac:dyDescent="0.3">
      <c r="A2618" s="9"/>
    </row>
    <row r="2619" spans="1:1" ht="15.75" customHeight="1" thickBot="1" x14ac:dyDescent="0.3">
      <c r="A2619" s="9"/>
    </row>
    <row r="2620" spans="1:1" ht="15.75" customHeight="1" thickBot="1" x14ac:dyDescent="0.3">
      <c r="A2620" s="9"/>
    </row>
    <row r="2621" spans="1:1" ht="15.75" customHeight="1" thickBot="1" x14ac:dyDescent="0.3">
      <c r="A2621" s="9"/>
    </row>
    <row r="2622" spans="1:1" ht="15.75" customHeight="1" thickBot="1" x14ac:dyDescent="0.3">
      <c r="A2622" s="9"/>
    </row>
    <row r="2623" spans="1:1" ht="15.75" customHeight="1" thickBot="1" x14ac:dyDescent="0.3">
      <c r="A2623" s="9"/>
    </row>
    <row r="2624" spans="1:1" ht="15.75" customHeight="1" thickBot="1" x14ac:dyDescent="0.3">
      <c r="A2624" s="9"/>
    </row>
    <row r="2625" spans="1:1" ht="15.75" customHeight="1" thickBot="1" x14ac:dyDescent="0.3">
      <c r="A2625" s="9"/>
    </row>
    <row r="2626" spans="1:1" ht="15.75" customHeight="1" thickBot="1" x14ac:dyDescent="0.3">
      <c r="A2626" s="9"/>
    </row>
    <row r="2627" spans="1:1" ht="15.75" customHeight="1" thickBot="1" x14ac:dyDescent="0.3">
      <c r="A2627" s="9"/>
    </row>
    <row r="2628" spans="1:1" ht="15.75" customHeight="1" thickBot="1" x14ac:dyDescent="0.3">
      <c r="A2628" s="9"/>
    </row>
    <row r="2629" spans="1:1" ht="15.75" customHeight="1" thickBot="1" x14ac:dyDescent="0.3">
      <c r="A2629" s="9"/>
    </row>
    <row r="2630" spans="1:1" ht="15.75" customHeight="1" thickBot="1" x14ac:dyDescent="0.3">
      <c r="A2630" s="9"/>
    </row>
    <row r="2631" spans="1:1" ht="15.75" customHeight="1" thickBot="1" x14ac:dyDescent="0.3">
      <c r="A2631" s="9"/>
    </row>
    <row r="2632" spans="1:1" ht="15.75" customHeight="1" thickBot="1" x14ac:dyDescent="0.3">
      <c r="A2632" s="9"/>
    </row>
    <row r="2633" spans="1:1" ht="15.75" customHeight="1" thickBot="1" x14ac:dyDescent="0.3">
      <c r="A2633" s="9"/>
    </row>
    <row r="2634" spans="1:1" ht="15.75" customHeight="1" thickBot="1" x14ac:dyDescent="0.3">
      <c r="A2634" s="9"/>
    </row>
    <row r="2635" spans="1:1" ht="15.75" customHeight="1" thickBot="1" x14ac:dyDescent="0.3">
      <c r="A2635" s="9"/>
    </row>
    <row r="2636" spans="1:1" ht="15.75" customHeight="1" thickBot="1" x14ac:dyDescent="0.3">
      <c r="A2636" s="9"/>
    </row>
    <row r="2637" spans="1:1" ht="15.75" customHeight="1" thickBot="1" x14ac:dyDescent="0.3">
      <c r="A2637" s="9"/>
    </row>
    <row r="2638" spans="1:1" ht="15.75" customHeight="1" thickBot="1" x14ac:dyDescent="0.3">
      <c r="A2638" s="9"/>
    </row>
    <row r="2639" spans="1:1" ht="15.75" customHeight="1" thickBot="1" x14ac:dyDescent="0.3">
      <c r="A2639" s="9"/>
    </row>
    <row r="2640" spans="1:1" ht="15.75" customHeight="1" thickBot="1" x14ac:dyDescent="0.3">
      <c r="A2640" s="9"/>
    </row>
    <row r="2641" spans="1:1" ht="15.75" customHeight="1" thickBot="1" x14ac:dyDescent="0.3">
      <c r="A2641" s="9"/>
    </row>
    <row r="2642" spans="1:1" ht="15.75" customHeight="1" thickBot="1" x14ac:dyDescent="0.3">
      <c r="A2642" s="9"/>
    </row>
    <row r="2643" spans="1:1" ht="15.75" customHeight="1" thickBot="1" x14ac:dyDescent="0.3">
      <c r="A2643" s="9"/>
    </row>
    <row r="2644" spans="1:1" ht="15.75" customHeight="1" thickBot="1" x14ac:dyDescent="0.3">
      <c r="A2644" s="9"/>
    </row>
    <row r="2645" spans="1:1" ht="15.75" customHeight="1" thickBot="1" x14ac:dyDescent="0.3">
      <c r="A2645" s="9"/>
    </row>
    <row r="2646" spans="1:1" ht="15.75" customHeight="1" thickBot="1" x14ac:dyDescent="0.3">
      <c r="A2646" s="9"/>
    </row>
    <row r="2647" spans="1:1" ht="15.75" customHeight="1" thickBot="1" x14ac:dyDescent="0.3">
      <c r="A2647" s="9"/>
    </row>
    <row r="2648" spans="1:1" ht="15.75" customHeight="1" thickBot="1" x14ac:dyDescent="0.3">
      <c r="A2648" s="9"/>
    </row>
    <row r="2649" spans="1:1" ht="15.75" customHeight="1" thickBot="1" x14ac:dyDescent="0.3">
      <c r="A2649" s="9"/>
    </row>
    <row r="2650" spans="1:1" ht="15.75" customHeight="1" thickBot="1" x14ac:dyDescent="0.3">
      <c r="A2650" s="9"/>
    </row>
    <row r="2651" spans="1:1" ht="15.75" customHeight="1" thickBot="1" x14ac:dyDescent="0.3">
      <c r="A2651" s="9"/>
    </row>
    <row r="2652" spans="1:1" ht="15.75" customHeight="1" thickBot="1" x14ac:dyDescent="0.3">
      <c r="A2652" s="9"/>
    </row>
    <row r="2653" spans="1:1" ht="15.75" customHeight="1" thickBot="1" x14ac:dyDescent="0.3">
      <c r="A2653" s="9"/>
    </row>
    <row r="2654" spans="1:1" ht="15.75" customHeight="1" thickBot="1" x14ac:dyDescent="0.3">
      <c r="A2654" s="9"/>
    </row>
    <row r="2655" spans="1:1" ht="15.75" customHeight="1" thickBot="1" x14ac:dyDescent="0.3">
      <c r="A2655" s="9"/>
    </row>
    <row r="2656" spans="1:1" ht="15.75" customHeight="1" thickBot="1" x14ac:dyDescent="0.3">
      <c r="A2656" s="9"/>
    </row>
    <row r="2657" spans="1:1" ht="15.75" customHeight="1" thickBot="1" x14ac:dyDescent="0.3">
      <c r="A2657" s="9"/>
    </row>
    <row r="2658" spans="1:1" ht="15.75" customHeight="1" thickBot="1" x14ac:dyDescent="0.3">
      <c r="A2658" s="9"/>
    </row>
    <row r="2659" spans="1:1" ht="15.75" customHeight="1" thickBot="1" x14ac:dyDescent="0.3">
      <c r="A2659" s="9"/>
    </row>
    <row r="2660" spans="1:1" ht="15.75" customHeight="1" thickBot="1" x14ac:dyDescent="0.3">
      <c r="A2660" s="9"/>
    </row>
    <row r="2661" spans="1:1" ht="15.75" customHeight="1" thickBot="1" x14ac:dyDescent="0.3">
      <c r="A2661" s="9"/>
    </row>
    <row r="2662" spans="1:1" ht="15.75" customHeight="1" thickBot="1" x14ac:dyDescent="0.3">
      <c r="A2662" s="9"/>
    </row>
    <row r="2663" spans="1:1" ht="15.75" customHeight="1" thickBot="1" x14ac:dyDescent="0.3">
      <c r="A2663" s="9"/>
    </row>
    <row r="2664" spans="1:1" ht="15.75" customHeight="1" thickBot="1" x14ac:dyDescent="0.3">
      <c r="A2664" s="9"/>
    </row>
    <row r="2665" spans="1:1" ht="15.75" customHeight="1" thickBot="1" x14ac:dyDescent="0.3">
      <c r="A2665" s="9"/>
    </row>
    <row r="2666" spans="1:1" ht="15.75" customHeight="1" thickBot="1" x14ac:dyDescent="0.3">
      <c r="A2666" s="9"/>
    </row>
    <row r="2667" spans="1:1" ht="15.75" customHeight="1" thickBot="1" x14ac:dyDescent="0.3">
      <c r="A2667" s="9"/>
    </row>
    <row r="2668" spans="1:1" ht="15.75" customHeight="1" thickBot="1" x14ac:dyDescent="0.3">
      <c r="A2668" s="9"/>
    </row>
    <row r="2669" spans="1:1" ht="15.75" customHeight="1" thickBot="1" x14ac:dyDescent="0.3">
      <c r="A2669" s="9"/>
    </row>
    <row r="2670" spans="1:1" ht="15.75" customHeight="1" thickBot="1" x14ac:dyDescent="0.3">
      <c r="A2670" s="9"/>
    </row>
    <row r="2671" spans="1:1" ht="15.75" customHeight="1" thickBot="1" x14ac:dyDescent="0.3">
      <c r="A2671" s="9"/>
    </row>
    <row r="2672" spans="1:1" ht="15.75" customHeight="1" thickBot="1" x14ac:dyDescent="0.3">
      <c r="A2672" s="9"/>
    </row>
    <row r="2673" spans="1:1" ht="15.75" customHeight="1" thickBot="1" x14ac:dyDescent="0.3">
      <c r="A2673" s="9"/>
    </row>
    <row r="2674" spans="1:1" ht="15.75" customHeight="1" thickBot="1" x14ac:dyDescent="0.3">
      <c r="A2674" s="9"/>
    </row>
    <row r="2675" spans="1:1" ht="15.75" customHeight="1" thickBot="1" x14ac:dyDescent="0.3">
      <c r="A2675" s="9"/>
    </row>
    <row r="2676" spans="1:1" ht="15.75" customHeight="1" thickBot="1" x14ac:dyDescent="0.3">
      <c r="A2676" s="9"/>
    </row>
    <row r="2677" spans="1:1" ht="15.75" customHeight="1" thickBot="1" x14ac:dyDescent="0.3">
      <c r="A2677" s="9"/>
    </row>
    <row r="2678" spans="1:1" ht="15.75" customHeight="1" thickBot="1" x14ac:dyDescent="0.3">
      <c r="A2678" s="9"/>
    </row>
    <row r="2679" spans="1:1" ht="15.75" customHeight="1" thickBot="1" x14ac:dyDescent="0.3">
      <c r="A2679" s="9"/>
    </row>
    <row r="2680" spans="1:1" ht="15.75" customHeight="1" thickBot="1" x14ac:dyDescent="0.3">
      <c r="A2680" s="9"/>
    </row>
    <row r="2681" spans="1:1" ht="15.75" customHeight="1" thickBot="1" x14ac:dyDescent="0.3">
      <c r="A2681" s="9"/>
    </row>
    <row r="2682" spans="1:1" ht="15.75" customHeight="1" thickBot="1" x14ac:dyDescent="0.3">
      <c r="A2682" s="9"/>
    </row>
    <row r="2683" spans="1:1" ht="15.75" customHeight="1" thickBot="1" x14ac:dyDescent="0.3">
      <c r="A2683" s="9"/>
    </row>
    <row r="2684" spans="1:1" ht="15.75" customHeight="1" thickBot="1" x14ac:dyDescent="0.3">
      <c r="A2684" s="9"/>
    </row>
    <row r="2685" spans="1:1" ht="15.75" customHeight="1" thickBot="1" x14ac:dyDescent="0.3">
      <c r="A2685" s="9"/>
    </row>
    <row r="2686" spans="1:1" ht="15.75" customHeight="1" thickBot="1" x14ac:dyDescent="0.3">
      <c r="A2686" s="9"/>
    </row>
    <row r="2687" spans="1:1" ht="15.75" customHeight="1" thickBot="1" x14ac:dyDescent="0.3">
      <c r="A2687" s="9"/>
    </row>
    <row r="2688" spans="1:1" ht="15.75" customHeight="1" thickBot="1" x14ac:dyDescent="0.3">
      <c r="A2688" s="9"/>
    </row>
    <row r="2689" spans="1:1" ht="15.75" customHeight="1" thickBot="1" x14ac:dyDescent="0.3">
      <c r="A2689" s="9"/>
    </row>
    <row r="2690" spans="1:1" ht="15.75" customHeight="1" thickBot="1" x14ac:dyDescent="0.3">
      <c r="A2690" s="9"/>
    </row>
    <row r="2691" spans="1:1" ht="15.75" customHeight="1" thickBot="1" x14ac:dyDescent="0.3">
      <c r="A2691" s="9"/>
    </row>
    <row r="2692" spans="1:1" ht="15.75" customHeight="1" thickBot="1" x14ac:dyDescent="0.3">
      <c r="A2692" s="9"/>
    </row>
    <row r="2693" spans="1:1" ht="15.75" customHeight="1" thickBot="1" x14ac:dyDescent="0.3">
      <c r="A2693" s="9"/>
    </row>
    <row r="2694" spans="1:1" ht="15.75" customHeight="1" thickBot="1" x14ac:dyDescent="0.3">
      <c r="A2694" s="9"/>
    </row>
    <row r="2695" spans="1:1" ht="15.75" customHeight="1" thickBot="1" x14ac:dyDescent="0.3">
      <c r="A2695" s="9"/>
    </row>
    <row r="2696" spans="1:1" ht="15.75" customHeight="1" thickBot="1" x14ac:dyDescent="0.3">
      <c r="A2696" s="9"/>
    </row>
    <row r="2697" spans="1:1" ht="15.75" customHeight="1" thickBot="1" x14ac:dyDescent="0.3">
      <c r="A2697" s="9"/>
    </row>
    <row r="2698" spans="1:1" ht="15.75" customHeight="1" thickBot="1" x14ac:dyDescent="0.3">
      <c r="A2698" s="9"/>
    </row>
    <row r="2699" spans="1:1" ht="15.75" customHeight="1" thickBot="1" x14ac:dyDescent="0.3">
      <c r="A2699" s="9"/>
    </row>
    <row r="2700" spans="1:1" ht="15.75" customHeight="1" thickBot="1" x14ac:dyDescent="0.3">
      <c r="A2700" s="9"/>
    </row>
    <row r="2701" spans="1:1" ht="15.75" customHeight="1" thickBot="1" x14ac:dyDescent="0.3">
      <c r="A2701" s="9"/>
    </row>
    <row r="2702" spans="1:1" ht="15.75" customHeight="1" thickBot="1" x14ac:dyDescent="0.3">
      <c r="A2702" s="9"/>
    </row>
    <row r="2703" spans="1:1" ht="15.75" customHeight="1" thickBot="1" x14ac:dyDescent="0.3">
      <c r="A2703" s="9"/>
    </row>
    <row r="2704" spans="1:1" ht="15.75" customHeight="1" thickBot="1" x14ac:dyDescent="0.3">
      <c r="A2704" s="9"/>
    </row>
    <row r="2705" spans="1:1" ht="15.75" customHeight="1" thickBot="1" x14ac:dyDescent="0.3">
      <c r="A2705" s="9"/>
    </row>
    <row r="2706" spans="1:1" ht="15.75" customHeight="1" thickBot="1" x14ac:dyDescent="0.3">
      <c r="A2706" s="9"/>
    </row>
    <row r="2707" spans="1:1" ht="15.75" customHeight="1" thickBot="1" x14ac:dyDescent="0.3">
      <c r="A2707" s="9"/>
    </row>
    <row r="2708" spans="1:1" ht="15.75" customHeight="1" thickBot="1" x14ac:dyDescent="0.3">
      <c r="A2708" s="9"/>
    </row>
    <row r="2709" spans="1:1" ht="15.75" customHeight="1" thickBot="1" x14ac:dyDescent="0.3">
      <c r="A2709" s="9"/>
    </row>
    <row r="2710" spans="1:1" ht="15.75" customHeight="1" thickBot="1" x14ac:dyDescent="0.3">
      <c r="A2710" s="9"/>
    </row>
    <row r="2711" spans="1:1" ht="15.75" customHeight="1" thickBot="1" x14ac:dyDescent="0.3">
      <c r="A2711" s="9"/>
    </row>
    <row r="2712" spans="1:1" ht="15.75" customHeight="1" thickBot="1" x14ac:dyDescent="0.3">
      <c r="A2712" s="9"/>
    </row>
    <row r="2713" spans="1:1" ht="15.75" customHeight="1" thickBot="1" x14ac:dyDescent="0.3">
      <c r="A2713" s="9"/>
    </row>
    <row r="2714" spans="1:1" ht="15.75" customHeight="1" thickBot="1" x14ac:dyDescent="0.3">
      <c r="A2714" s="9"/>
    </row>
    <row r="2715" spans="1:1" ht="15.75" customHeight="1" thickBot="1" x14ac:dyDescent="0.3">
      <c r="A2715" s="9"/>
    </row>
    <row r="2716" spans="1:1" ht="15.75" customHeight="1" thickBot="1" x14ac:dyDescent="0.3">
      <c r="A2716" s="9"/>
    </row>
    <row r="2717" spans="1:1" ht="15.75" customHeight="1" thickBot="1" x14ac:dyDescent="0.3">
      <c r="A2717" s="9"/>
    </row>
    <row r="2718" spans="1:1" ht="15.75" customHeight="1" thickBot="1" x14ac:dyDescent="0.3">
      <c r="A2718" s="9"/>
    </row>
    <row r="2719" spans="1:1" ht="15.75" customHeight="1" thickBot="1" x14ac:dyDescent="0.3">
      <c r="A2719" s="9"/>
    </row>
    <row r="2720" spans="1:1" ht="15.75" customHeight="1" thickBot="1" x14ac:dyDescent="0.3">
      <c r="A2720" s="9"/>
    </row>
    <row r="2721" spans="1:1" ht="15.75" customHeight="1" thickBot="1" x14ac:dyDescent="0.3">
      <c r="A2721" s="9"/>
    </row>
    <row r="2722" spans="1:1" ht="15.75" customHeight="1" thickBot="1" x14ac:dyDescent="0.3">
      <c r="A2722" s="9"/>
    </row>
    <row r="2723" spans="1:1" ht="15.75" customHeight="1" thickBot="1" x14ac:dyDescent="0.3">
      <c r="A2723" s="9"/>
    </row>
    <row r="2724" spans="1:1" ht="15.75" customHeight="1" thickBot="1" x14ac:dyDescent="0.3">
      <c r="A2724" s="9"/>
    </row>
    <row r="2725" spans="1:1" ht="15.75" customHeight="1" thickBot="1" x14ac:dyDescent="0.3">
      <c r="A2725" s="9"/>
    </row>
    <row r="2726" spans="1:1" ht="15.75" customHeight="1" thickBot="1" x14ac:dyDescent="0.3">
      <c r="A2726" s="9"/>
    </row>
    <row r="2727" spans="1:1" ht="15.75" customHeight="1" thickBot="1" x14ac:dyDescent="0.3">
      <c r="A2727" s="9"/>
    </row>
    <row r="2728" spans="1:1" ht="15.75" customHeight="1" thickBot="1" x14ac:dyDescent="0.3">
      <c r="A2728" s="9"/>
    </row>
    <row r="2729" spans="1:1" ht="15.75" customHeight="1" thickBot="1" x14ac:dyDescent="0.3">
      <c r="A2729" s="9"/>
    </row>
    <row r="2730" spans="1:1" ht="15.75" customHeight="1" thickBot="1" x14ac:dyDescent="0.3">
      <c r="A2730" s="9"/>
    </row>
    <row r="2731" spans="1:1" ht="15.75" customHeight="1" thickBot="1" x14ac:dyDescent="0.3">
      <c r="A2731" s="9"/>
    </row>
    <row r="2732" spans="1:1" ht="15.75" customHeight="1" thickBot="1" x14ac:dyDescent="0.3">
      <c r="A2732" s="9"/>
    </row>
    <row r="2733" spans="1:1" ht="15.75" customHeight="1" thickBot="1" x14ac:dyDescent="0.3">
      <c r="A2733" s="9"/>
    </row>
    <row r="2734" spans="1:1" ht="15.75" customHeight="1" thickBot="1" x14ac:dyDescent="0.3">
      <c r="A2734" s="9"/>
    </row>
    <row r="2735" spans="1:1" ht="15.75" customHeight="1" thickBot="1" x14ac:dyDescent="0.3">
      <c r="A2735" s="9"/>
    </row>
    <row r="2736" spans="1:1" ht="15.75" customHeight="1" thickBot="1" x14ac:dyDescent="0.3">
      <c r="A2736" s="9"/>
    </row>
    <row r="2737" spans="1:1" ht="15.75" customHeight="1" thickBot="1" x14ac:dyDescent="0.3">
      <c r="A2737" s="9"/>
    </row>
    <row r="2738" spans="1:1" ht="15.75" customHeight="1" thickBot="1" x14ac:dyDescent="0.3">
      <c r="A2738" s="9"/>
    </row>
    <row r="2739" spans="1:1" ht="15.75" customHeight="1" thickBot="1" x14ac:dyDescent="0.3">
      <c r="A2739" s="9"/>
    </row>
    <row r="2740" spans="1:1" ht="15.75" customHeight="1" thickBot="1" x14ac:dyDescent="0.3">
      <c r="A2740" s="9"/>
    </row>
    <row r="2741" spans="1:1" ht="15.75" customHeight="1" thickBot="1" x14ac:dyDescent="0.3">
      <c r="A2741" s="9"/>
    </row>
    <row r="2742" spans="1:1" ht="15.75" customHeight="1" thickBot="1" x14ac:dyDescent="0.3">
      <c r="A2742" s="9"/>
    </row>
    <row r="2743" spans="1:1" ht="15.75" customHeight="1" thickBot="1" x14ac:dyDescent="0.3">
      <c r="A2743" s="9"/>
    </row>
    <row r="2744" spans="1:1" ht="15.75" customHeight="1" thickBot="1" x14ac:dyDescent="0.3">
      <c r="A2744" s="9"/>
    </row>
    <row r="2745" spans="1:1" ht="15.75" customHeight="1" thickBot="1" x14ac:dyDescent="0.3">
      <c r="A2745" s="9"/>
    </row>
    <row r="2746" spans="1:1" ht="15.75" customHeight="1" thickBot="1" x14ac:dyDescent="0.3">
      <c r="A2746" s="9"/>
    </row>
    <row r="2747" spans="1:1" ht="15.75" customHeight="1" thickBot="1" x14ac:dyDescent="0.3">
      <c r="A2747" s="9"/>
    </row>
    <row r="2748" spans="1:1" ht="15.75" customHeight="1" thickBot="1" x14ac:dyDescent="0.3">
      <c r="A2748" s="9"/>
    </row>
    <row r="2749" spans="1:1" ht="15.75" customHeight="1" thickBot="1" x14ac:dyDescent="0.3">
      <c r="A2749" s="9"/>
    </row>
    <row r="2750" spans="1:1" ht="15.75" customHeight="1" thickBot="1" x14ac:dyDescent="0.3">
      <c r="A2750" s="9"/>
    </row>
    <row r="2751" spans="1:1" ht="15.75" customHeight="1" thickBot="1" x14ac:dyDescent="0.3">
      <c r="A2751" s="9"/>
    </row>
    <row r="2752" spans="1:1" ht="15.75" customHeight="1" thickBot="1" x14ac:dyDescent="0.3">
      <c r="A2752" s="9"/>
    </row>
    <row r="2753" spans="1:1" ht="15.75" customHeight="1" thickBot="1" x14ac:dyDescent="0.3">
      <c r="A2753" s="9"/>
    </row>
    <row r="2754" spans="1:1" ht="15.75" customHeight="1" thickBot="1" x14ac:dyDescent="0.3">
      <c r="A2754" s="9"/>
    </row>
    <row r="2755" spans="1:1" ht="15.75" customHeight="1" thickBot="1" x14ac:dyDescent="0.3">
      <c r="A2755" s="9"/>
    </row>
    <row r="2756" spans="1:1" ht="15.75" customHeight="1" thickBot="1" x14ac:dyDescent="0.3">
      <c r="A2756" s="9"/>
    </row>
    <row r="2757" spans="1:1" ht="15.75" customHeight="1" thickBot="1" x14ac:dyDescent="0.3">
      <c r="A2757" s="9"/>
    </row>
    <row r="2758" spans="1:1" ht="15.75" customHeight="1" thickBot="1" x14ac:dyDescent="0.3">
      <c r="A2758" s="9"/>
    </row>
    <row r="2759" spans="1:1" ht="15.75" customHeight="1" thickBot="1" x14ac:dyDescent="0.3">
      <c r="A2759" s="9"/>
    </row>
    <row r="2760" spans="1:1" ht="15.75" customHeight="1" thickBot="1" x14ac:dyDescent="0.3">
      <c r="A2760" s="9"/>
    </row>
    <row r="2761" spans="1:1" ht="15.75" customHeight="1" thickBot="1" x14ac:dyDescent="0.3">
      <c r="A2761" s="9"/>
    </row>
    <row r="2762" spans="1:1" ht="15.75" customHeight="1" thickBot="1" x14ac:dyDescent="0.3">
      <c r="A2762" s="9"/>
    </row>
    <row r="2763" spans="1:1" ht="15.75" customHeight="1" thickBot="1" x14ac:dyDescent="0.3">
      <c r="A2763" s="9"/>
    </row>
    <row r="2764" spans="1:1" ht="15.75" customHeight="1" thickBot="1" x14ac:dyDescent="0.3">
      <c r="A2764" s="9"/>
    </row>
    <row r="2765" spans="1:1" ht="15.75" customHeight="1" thickBot="1" x14ac:dyDescent="0.3">
      <c r="A2765" s="9"/>
    </row>
    <row r="2766" spans="1:1" ht="15.75" customHeight="1" thickBot="1" x14ac:dyDescent="0.3">
      <c r="A2766" s="9"/>
    </row>
    <row r="2767" spans="1:1" ht="15.75" customHeight="1" thickBot="1" x14ac:dyDescent="0.3">
      <c r="A2767" s="9"/>
    </row>
    <row r="2768" spans="1:1" ht="15.75" customHeight="1" thickBot="1" x14ac:dyDescent="0.3">
      <c r="A2768" s="9"/>
    </row>
    <row r="2769" spans="1:1" ht="15.75" customHeight="1" thickBot="1" x14ac:dyDescent="0.3">
      <c r="A2769" s="9"/>
    </row>
    <row r="2770" spans="1:1" ht="15.75" customHeight="1" thickBot="1" x14ac:dyDescent="0.3">
      <c r="A2770" s="9"/>
    </row>
    <row r="2771" spans="1:1" ht="15.75" customHeight="1" thickBot="1" x14ac:dyDescent="0.3">
      <c r="A2771" s="9"/>
    </row>
    <row r="2772" spans="1:1" ht="15.75" customHeight="1" thickBot="1" x14ac:dyDescent="0.3">
      <c r="A2772" s="9"/>
    </row>
    <row r="2773" spans="1:1" ht="15.75" customHeight="1" thickBot="1" x14ac:dyDescent="0.3">
      <c r="A2773" s="9"/>
    </row>
    <row r="2774" spans="1:1" ht="15.75" customHeight="1" thickBot="1" x14ac:dyDescent="0.3">
      <c r="A2774" s="9"/>
    </row>
    <row r="2775" spans="1:1" ht="15.75" customHeight="1" thickBot="1" x14ac:dyDescent="0.3">
      <c r="A2775" s="9"/>
    </row>
    <row r="2776" spans="1:1" ht="15.75" customHeight="1" thickBot="1" x14ac:dyDescent="0.3">
      <c r="A2776" s="9"/>
    </row>
    <row r="2777" spans="1:1" ht="15.75" customHeight="1" thickBot="1" x14ac:dyDescent="0.3">
      <c r="A2777" s="9"/>
    </row>
    <row r="2778" spans="1:1" ht="15.75" customHeight="1" thickBot="1" x14ac:dyDescent="0.3">
      <c r="A2778" s="9"/>
    </row>
    <row r="2779" spans="1:1" ht="15.75" customHeight="1" thickBot="1" x14ac:dyDescent="0.3">
      <c r="A2779" s="9"/>
    </row>
    <row r="2780" spans="1:1" ht="15.75" customHeight="1" thickBot="1" x14ac:dyDescent="0.3">
      <c r="A2780" s="9"/>
    </row>
    <row r="2781" spans="1:1" ht="15.75" customHeight="1" thickBot="1" x14ac:dyDescent="0.3">
      <c r="A2781" s="9"/>
    </row>
    <row r="2782" spans="1:1" ht="15.75" customHeight="1" thickBot="1" x14ac:dyDescent="0.3">
      <c r="A2782" s="9"/>
    </row>
    <row r="2783" spans="1:1" ht="15.75" customHeight="1" thickBot="1" x14ac:dyDescent="0.3">
      <c r="A2783" s="9"/>
    </row>
    <row r="2784" spans="1:1" ht="15.75" customHeight="1" thickBot="1" x14ac:dyDescent="0.3">
      <c r="A2784" s="9"/>
    </row>
    <row r="2785" spans="1:1" ht="15.75" customHeight="1" thickBot="1" x14ac:dyDescent="0.3">
      <c r="A2785" s="9"/>
    </row>
    <row r="2786" spans="1:1" ht="15.75" customHeight="1" thickBot="1" x14ac:dyDescent="0.3">
      <c r="A2786" s="9"/>
    </row>
    <row r="2787" spans="1:1" ht="15.75" customHeight="1" thickBot="1" x14ac:dyDescent="0.3">
      <c r="A2787" s="9"/>
    </row>
    <row r="2788" spans="1:1" ht="15.75" customHeight="1" thickBot="1" x14ac:dyDescent="0.3">
      <c r="A2788" s="9"/>
    </row>
    <row r="2789" spans="1:1" ht="15.75" customHeight="1" thickBot="1" x14ac:dyDescent="0.3">
      <c r="A2789" s="9"/>
    </row>
    <row r="2790" spans="1:1" ht="15.75" customHeight="1" thickBot="1" x14ac:dyDescent="0.3">
      <c r="A2790" s="9"/>
    </row>
    <row r="2791" spans="1:1" ht="15.75" customHeight="1" thickBot="1" x14ac:dyDescent="0.3">
      <c r="A2791" s="9"/>
    </row>
    <row r="2792" spans="1:1" ht="15.75" customHeight="1" thickBot="1" x14ac:dyDescent="0.3">
      <c r="A2792" s="9"/>
    </row>
    <row r="2793" spans="1:1" ht="15.75" customHeight="1" thickBot="1" x14ac:dyDescent="0.3">
      <c r="A2793" s="9"/>
    </row>
    <row r="2794" spans="1:1" ht="15.75" customHeight="1" thickBot="1" x14ac:dyDescent="0.3">
      <c r="A2794" s="9"/>
    </row>
    <row r="2795" spans="1:1" ht="15.75" customHeight="1" thickBot="1" x14ac:dyDescent="0.3">
      <c r="A2795" s="9"/>
    </row>
    <row r="2796" spans="1:1" ht="15.75" customHeight="1" thickBot="1" x14ac:dyDescent="0.3">
      <c r="A2796" s="9"/>
    </row>
    <row r="2797" spans="1:1" ht="15.75" customHeight="1" thickBot="1" x14ac:dyDescent="0.3">
      <c r="A2797" s="9"/>
    </row>
    <row r="2798" spans="1:1" ht="15.75" customHeight="1" thickBot="1" x14ac:dyDescent="0.3">
      <c r="A2798" s="9"/>
    </row>
    <row r="2799" spans="1:1" ht="15.75" customHeight="1" thickBot="1" x14ac:dyDescent="0.3">
      <c r="A2799" s="9"/>
    </row>
    <row r="2800" spans="1:1" ht="15.75" customHeight="1" thickBot="1" x14ac:dyDescent="0.3">
      <c r="A2800" s="9"/>
    </row>
    <row r="2801" spans="1:1" ht="15.75" customHeight="1" thickBot="1" x14ac:dyDescent="0.3">
      <c r="A2801" s="9"/>
    </row>
    <row r="2802" spans="1:1" ht="15.75" customHeight="1" thickBot="1" x14ac:dyDescent="0.3">
      <c r="A2802" s="9"/>
    </row>
    <row r="2803" spans="1:1" ht="15.75" customHeight="1" thickBot="1" x14ac:dyDescent="0.3">
      <c r="A2803" s="9"/>
    </row>
    <row r="2804" spans="1:1" ht="15.75" customHeight="1" thickBot="1" x14ac:dyDescent="0.3">
      <c r="A2804" s="9"/>
    </row>
    <row r="2805" spans="1:1" ht="15.75" customHeight="1" thickBot="1" x14ac:dyDescent="0.3">
      <c r="A2805" s="9"/>
    </row>
    <row r="2806" spans="1:1" ht="15.75" customHeight="1" thickBot="1" x14ac:dyDescent="0.3">
      <c r="A2806" s="9"/>
    </row>
    <row r="2807" spans="1:1" ht="15.75" customHeight="1" thickBot="1" x14ac:dyDescent="0.3">
      <c r="A2807" s="9"/>
    </row>
    <row r="2808" spans="1:1" ht="15.75" customHeight="1" thickBot="1" x14ac:dyDescent="0.3">
      <c r="A2808" s="9"/>
    </row>
    <row r="2809" spans="1:1" ht="15.75" customHeight="1" thickBot="1" x14ac:dyDescent="0.3">
      <c r="A2809" s="9"/>
    </row>
    <row r="2810" spans="1:1" ht="15.75" customHeight="1" thickBot="1" x14ac:dyDescent="0.3">
      <c r="A2810" s="9"/>
    </row>
    <row r="2811" spans="1:1" ht="15.75" customHeight="1" thickBot="1" x14ac:dyDescent="0.3">
      <c r="A2811" s="9"/>
    </row>
    <row r="2812" spans="1:1" ht="15.75" customHeight="1" thickBot="1" x14ac:dyDescent="0.3">
      <c r="A2812" s="9"/>
    </row>
    <row r="2813" spans="1:1" ht="15.75" customHeight="1" thickBot="1" x14ac:dyDescent="0.3">
      <c r="A2813" s="9"/>
    </row>
    <row r="2814" spans="1:1" ht="15.75" customHeight="1" thickBot="1" x14ac:dyDescent="0.3">
      <c r="A2814" s="9"/>
    </row>
    <row r="2815" spans="1:1" ht="15.75" customHeight="1" thickBot="1" x14ac:dyDescent="0.3">
      <c r="A2815" s="9"/>
    </row>
    <row r="2816" spans="1:1" ht="15.75" customHeight="1" thickBot="1" x14ac:dyDescent="0.3">
      <c r="A2816" s="9"/>
    </row>
    <row r="2817" spans="1:1" ht="15.75" customHeight="1" thickBot="1" x14ac:dyDescent="0.3">
      <c r="A2817" s="9"/>
    </row>
    <row r="2818" spans="1:1" ht="15.75" customHeight="1" thickBot="1" x14ac:dyDescent="0.3">
      <c r="A2818" s="9"/>
    </row>
    <row r="2819" spans="1:1" ht="15.75" customHeight="1" thickBot="1" x14ac:dyDescent="0.3">
      <c r="A2819" s="9"/>
    </row>
    <row r="2820" spans="1:1" ht="15.75" customHeight="1" thickBot="1" x14ac:dyDescent="0.3">
      <c r="A2820" s="9"/>
    </row>
    <row r="2821" spans="1:1" ht="15.75" customHeight="1" thickBot="1" x14ac:dyDescent="0.3">
      <c r="A2821" s="9"/>
    </row>
    <row r="2822" spans="1:1" ht="15.75" customHeight="1" thickBot="1" x14ac:dyDescent="0.3">
      <c r="A2822" s="9"/>
    </row>
    <row r="2823" spans="1:1" ht="15.75" customHeight="1" thickBot="1" x14ac:dyDescent="0.3">
      <c r="A2823" s="9"/>
    </row>
    <row r="2824" spans="1:1" ht="15.75" customHeight="1" thickBot="1" x14ac:dyDescent="0.3">
      <c r="A2824" s="9"/>
    </row>
    <row r="2825" spans="1:1" ht="15.75" customHeight="1" thickBot="1" x14ac:dyDescent="0.3">
      <c r="A2825" s="9"/>
    </row>
    <row r="2826" spans="1:1" ht="15.75" customHeight="1" thickBot="1" x14ac:dyDescent="0.3">
      <c r="A2826" s="9"/>
    </row>
    <row r="2827" spans="1:1" ht="15.75" customHeight="1" thickBot="1" x14ac:dyDescent="0.3">
      <c r="A2827" s="9"/>
    </row>
    <row r="2828" spans="1:1" ht="15.75" customHeight="1" thickBot="1" x14ac:dyDescent="0.3">
      <c r="A2828" s="9"/>
    </row>
    <row r="2829" spans="1:1" ht="15.75" customHeight="1" thickBot="1" x14ac:dyDescent="0.3">
      <c r="A2829" s="9"/>
    </row>
    <row r="2830" spans="1:1" ht="15.75" customHeight="1" thickBot="1" x14ac:dyDescent="0.3">
      <c r="A2830" s="9"/>
    </row>
    <row r="2831" spans="1:1" ht="15.75" customHeight="1" thickBot="1" x14ac:dyDescent="0.3">
      <c r="A2831" s="9"/>
    </row>
    <row r="2832" spans="1:1" ht="15.75" customHeight="1" thickBot="1" x14ac:dyDescent="0.3">
      <c r="A2832" s="9"/>
    </row>
    <row r="2833" spans="1:1" ht="15.75" customHeight="1" thickBot="1" x14ac:dyDescent="0.3">
      <c r="A2833" s="9"/>
    </row>
    <row r="2834" spans="1:1" ht="15.75" customHeight="1" thickBot="1" x14ac:dyDescent="0.3">
      <c r="A2834" s="9"/>
    </row>
    <row r="2835" spans="1:1" ht="15.75" customHeight="1" thickBot="1" x14ac:dyDescent="0.3">
      <c r="A2835" s="9"/>
    </row>
    <row r="2836" spans="1:1" ht="15.75" customHeight="1" thickBot="1" x14ac:dyDescent="0.3">
      <c r="A2836" s="9"/>
    </row>
    <row r="2837" spans="1:1" ht="15.75" customHeight="1" thickBot="1" x14ac:dyDescent="0.3">
      <c r="A2837" s="9"/>
    </row>
    <row r="2838" spans="1:1" ht="15.75" customHeight="1" thickBot="1" x14ac:dyDescent="0.3">
      <c r="A2838" s="9"/>
    </row>
    <row r="2839" spans="1:1" ht="15.75" customHeight="1" thickBot="1" x14ac:dyDescent="0.3">
      <c r="A2839" s="9"/>
    </row>
    <row r="2840" spans="1:1" ht="15.75" customHeight="1" thickBot="1" x14ac:dyDescent="0.3">
      <c r="A2840" s="9"/>
    </row>
    <row r="2841" spans="1:1" ht="15.75" customHeight="1" thickBot="1" x14ac:dyDescent="0.3">
      <c r="A2841" s="9"/>
    </row>
    <row r="2842" spans="1:1" ht="15.75" customHeight="1" thickBot="1" x14ac:dyDescent="0.3">
      <c r="A2842" s="9"/>
    </row>
    <row r="2843" spans="1:1" ht="15.75" customHeight="1" thickBot="1" x14ac:dyDescent="0.3">
      <c r="A2843" s="9"/>
    </row>
    <row r="2844" spans="1:1" ht="15.75" customHeight="1" thickBot="1" x14ac:dyDescent="0.3">
      <c r="A2844" s="9"/>
    </row>
    <row r="2845" spans="1:1" ht="15.75" customHeight="1" thickBot="1" x14ac:dyDescent="0.3">
      <c r="A2845" s="9"/>
    </row>
    <row r="2846" spans="1:1" ht="15.75" customHeight="1" thickBot="1" x14ac:dyDescent="0.3">
      <c r="A2846" s="9"/>
    </row>
    <row r="2847" spans="1:1" ht="15.75" customHeight="1" thickBot="1" x14ac:dyDescent="0.3">
      <c r="A2847" s="9"/>
    </row>
    <row r="2848" spans="1:1" ht="15.75" customHeight="1" thickBot="1" x14ac:dyDescent="0.3">
      <c r="A2848" s="9"/>
    </row>
    <row r="2849" spans="1:1" ht="15.75" customHeight="1" thickBot="1" x14ac:dyDescent="0.3">
      <c r="A2849" s="9"/>
    </row>
    <row r="2850" spans="1:1" ht="15.75" customHeight="1" thickBot="1" x14ac:dyDescent="0.3">
      <c r="A2850" s="9"/>
    </row>
    <row r="2851" spans="1:1" ht="15.75" customHeight="1" thickBot="1" x14ac:dyDescent="0.3">
      <c r="A2851" s="9"/>
    </row>
    <row r="2852" spans="1:1" ht="15.75" customHeight="1" thickBot="1" x14ac:dyDescent="0.3">
      <c r="A2852" s="9"/>
    </row>
    <row r="2853" spans="1:1" ht="15.75" customHeight="1" thickBot="1" x14ac:dyDescent="0.3">
      <c r="A2853" s="9"/>
    </row>
    <row r="2854" spans="1:1" ht="15.75" customHeight="1" thickBot="1" x14ac:dyDescent="0.3">
      <c r="A2854" s="9"/>
    </row>
    <row r="2855" spans="1:1" ht="15.75" customHeight="1" thickBot="1" x14ac:dyDescent="0.3">
      <c r="A2855" s="9"/>
    </row>
    <row r="2856" spans="1:1" ht="15.75" customHeight="1" thickBot="1" x14ac:dyDescent="0.3">
      <c r="A2856" s="9"/>
    </row>
    <row r="2857" spans="1:1" ht="15.75" customHeight="1" thickBot="1" x14ac:dyDescent="0.3">
      <c r="A2857" s="9"/>
    </row>
    <row r="2858" spans="1:1" ht="15.75" customHeight="1" thickBot="1" x14ac:dyDescent="0.3">
      <c r="A2858" s="9"/>
    </row>
    <row r="2859" spans="1:1" ht="15.75" customHeight="1" thickBot="1" x14ac:dyDescent="0.3">
      <c r="A2859" s="9"/>
    </row>
    <row r="2860" spans="1:1" ht="15.75" customHeight="1" thickBot="1" x14ac:dyDescent="0.3">
      <c r="A2860" s="9"/>
    </row>
    <row r="2861" spans="1:1" ht="15.75" customHeight="1" thickBot="1" x14ac:dyDescent="0.3">
      <c r="A2861" s="9"/>
    </row>
    <row r="2862" spans="1:1" ht="15.75" customHeight="1" thickBot="1" x14ac:dyDescent="0.3">
      <c r="A2862" s="9"/>
    </row>
    <row r="2863" spans="1:1" ht="15.75" customHeight="1" thickBot="1" x14ac:dyDescent="0.3">
      <c r="A2863" s="9"/>
    </row>
    <row r="2864" spans="1:1" ht="15.75" customHeight="1" thickBot="1" x14ac:dyDescent="0.3">
      <c r="A2864" s="9"/>
    </row>
    <row r="2865" spans="1:1" ht="15.75" customHeight="1" thickBot="1" x14ac:dyDescent="0.3">
      <c r="A2865" s="9"/>
    </row>
    <row r="2866" spans="1:1" ht="15.75" customHeight="1" thickBot="1" x14ac:dyDescent="0.3">
      <c r="A2866" s="9"/>
    </row>
    <row r="2867" spans="1:1" ht="15.75" customHeight="1" thickBot="1" x14ac:dyDescent="0.3">
      <c r="A2867" s="9"/>
    </row>
    <row r="2868" spans="1:1" ht="15.75" customHeight="1" thickBot="1" x14ac:dyDescent="0.3">
      <c r="A2868" s="9"/>
    </row>
    <row r="2869" spans="1:1" ht="15.75" customHeight="1" thickBot="1" x14ac:dyDescent="0.3">
      <c r="A2869" s="9"/>
    </row>
    <row r="2870" spans="1:1" ht="15.75" customHeight="1" thickBot="1" x14ac:dyDescent="0.3">
      <c r="A2870" s="9"/>
    </row>
    <row r="2871" spans="1:1" ht="15.75" customHeight="1" thickBot="1" x14ac:dyDescent="0.3">
      <c r="A2871" s="9"/>
    </row>
    <row r="2872" spans="1:1" ht="15.75" customHeight="1" thickBot="1" x14ac:dyDescent="0.3">
      <c r="A2872" s="9"/>
    </row>
    <row r="2873" spans="1:1" ht="15.75" customHeight="1" thickBot="1" x14ac:dyDescent="0.3">
      <c r="A2873" s="9"/>
    </row>
    <row r="2874" spans="1:1" ht="15.75" customHeight="1" thickBot="1" x14ac:dyDescent="0.3">
      <c r="A2874" s="9"/>
    </row>
    <row r="2875" spans="1:1" ht="15.75" customHeight="1" thickBot="1" x14ac:dyDescent="0.3">
      <c r="A2875" s="9"/>
    </row>
    <row r="2876" spans="1:1" ht="15.75" customHeight="1" thickBot="1" x14ac:dyDescent="0.3">
      <c r="A2876" s="9"/>
    </row>
    <row r="2877" spans="1:1" ht="15.75" customHeight="1" thickBot="1" x14ac:dyDescent="0.3">
      <c r="A2877" s="9"/>
    </row>
    <row r="2878" spans="1:1" ht="15.75" customHeight="1" thickBot="1" x14ac:dyDescent="0.3">
      <c r="A2878" s="9"/>
    </row>
    <row r="2879" spans="1:1" ht="15.75" customHeight="1" thickBot="1" x14ac:dyDescent="0.3">
      <c r="A2879" s="9"/>
    </row>
    <row r="2880" spans="1:1" ht="15.75" customHeight="1" thickBot="1" x14ac:dyDescent="0.3">
      <c r="A2880" s="9"/>
    </row>
    <row r="2881" spans="1:1" ht="15.75" customHeight="1" thickBot="1" x14ac:dyDescent="0.3">
      <c r="A2881" s="9"/>
    </row>
    <row r="2882" spans="1:1" ht="15.75" customHeight="1" thickBot="1" x14ac:dyDescent="0.3">
      <c r="A2882" s="9"/>
    </row>
    <row r="2883" spans="1:1" ht="15.75" customHeight="1" thickBot="1" x14ac:dyDescent="0.3">
      <c r="A2883" s="9"/>
    </row>
    <row r="2884" spans="1:1" ht="15.75" customHeight="1" thickBot="1" x14ac:dyDescent="0.3">
      <c r="A2884" s="9"/>
    </row>
    <row r="2885" spans="1:1" ht="15.75" customHeight="1" thickBot="1" x14ac:dyDescent="0.3">
      <c r="A2885" s="9"/>
    </row>
    <row r="2886" spans="1:1" ht="15.75" customHeight="1" thickBot="1" x14ac:dyDescent="0.3">
      <c r="A2886" s="9"/>
    </row>
    <row r="2887" spans="1:1" ht="15.75" customHeight="1" thickBot="1" x14ac:dyDescent="0.3">
      <c r="A2887" s="9"/>
    </row>
    <row r="2888" spans="1:1" ht="15.75" customHeight="1" thickBot="1" x14ac:dyDescent="0.3">
      <c r="A2888" s="9"/>
    </row>
    <row r="2889" spans="1:1" ht="15.75" customHeight="1" thickBot="1" x14ac:dyDescent="0.3">
      <c r="A2889" s="9"/>
    </row>
    <row r="2890" spans="1:1" ht="15.75" customHeight="1" thickBot="1" x14ac:dyDescent="0.3">
      <c r="A2890" s="9"/>
    </row>
    <row r="2891" spans="1:1" ht="15.75" customHeight="1" thickBot="1" x14ac:dyDescent="0.3">
      <c r="A2891" s="9"/>
    </row>
    <row r="2892" spans="1:1" ht="15.75" customHeight="1" thickBot="1" x14ac:dyDescent="0.3">
      <c r="A2892" s="9"/>
    </row>
    <row r="2893" spans="1:1" ht="15.75" customHeight="1" thickBot="1" x14ac:dyDescent="0.3">
      <c r="A2893" s="9"/>
    </row>
    <row r="2894" spans="1:1" ht="15.75" customHeight="1" thickBot="1" x14ac:dyDescent="0.3">
      <c r="A2894" s="9"/>
    </row>
    <row r="2895" spans="1:1" ht="15.75" customHeight="1" thickBot="1" x14ac:dyDescent="0.3">
      <c r="A2895" s="9"/>
    </row>
    <row r="2896" spans="1:1" ht="15.75" customHeight="1" thickBot="1" x14ac:dyDescent="0.3">
      <c r="A2896" s="9"/>
    </row>
    <row r="2897" spans="1:1" ht="15.75" customHeight="1" thickBot="1" x14ac:dyDescent="0.3">
      <c r="A2897" s="9"/>
    </row>
    <row r="2898" spans="1:1" ht="15.75" customHeight="1" thickBot="1" x14ac:dyDescent="0.3">
      <c r="A2898" s="9"/>
    </row>
    <row r="2899" spans="1:1" ht="15.75" customHeight="1" thickBot="1" x14ac:dyDescent="0.3">
      <c r="A2899" s="9"/>
    </row>
    <row r="2900" spans="1:1" ht="15.75" customHeight="1" thickBot="1" x14ac:dyDescent="0.3">
      <c r="A2900" s="9"/>
    </row>
    <row r="2901" spans="1:1" ht="15.75" customHeight="1" thickBot="1" x14ac:dyDescent="0.3">
      <c r="A2901" s="9"/>
    </row>
    <row r="2902" spans="1:1" ht="15.75" customHeight="1" thickBot="1" x14ac:dyDescent="0.3">
      <c r="A2902" s="9"/>
    </row>
    <row r="2903" spans="1:1" ht="15.75" customHeight="1" thickBot="1" x14ac:dyDescent="0.3">
      <c r="A2903" s="9"/>
    </row>
    <row r="2904" spans="1:1" ht="15.75" customHeight="1" thickBot="1" x14ac:dyDescent="0.3">
      <c r="A2904" s="9"/>
    </row>
    <row r="2905" spans="1:1" ht="15.75" customHeight="1" thickBot="1" x14ac:dyDescent="0.3">
      <c r="A2905" s="9"/>
    </row>
    <row r="2906" spans="1:1" ht="15.75" customHeight="1" thickBot="1" x14ac:dyDescent="0.3">
      <c r="A2906" s="9"/>
    </row>
    <row r="2907" spans="1:1" ht="15.75" customHeight="1" thickBot="1" x14ac:dyDescent="0.3">
      <c r="A2907" s="9"/>
    </row>
    <row r="2908" spans="1:1" ht="15.75" customHeight="1" thickBot="1" x14ac:dyDescent="0.3">
      <c r="A2908" s="9"/>
    </row>
    <row r="2909" spans="1:1" ht="15.75" customHeight="1" thickBot="1" x14ac:dyDescent="0.3">
      <c r="A2909" s="9"/>
    </row>
    <row r="2910" spans="1:1" ht="15.75" customHeight="1" thickBot="1" x14ac:dyDescent="0.3">
      <c r="A2910" s="9"/>
    </row>
    <row r="2911" spans="1:1" ht="15.75" customHeight="1" thickBot="1" x14ac:dyDescent="0.3">
      <c r="A2911" s="9"/>
    </row>
    <row r="2912" spans="1:1" ht="15.75" customHeight="1" thickBot="1" x14ac:dyDescent="0.3">
      <c r="A2912" s="9"/>
    </row>
    <row r="2913" spans="1:1" ht="15.75" customHeight="1" thickBot="1" x14ac:dyDescent="0.3">
      <c r="A2913" s="9"/>
    </row>
    <row r="2914" spans="1:1" ht="15.75" customHeight="1" thickBot="1" x14ac:dyDescent="0.3">
      <c r="A2914" s="9"/>
    </row>
    <row r="2915" spans="1:1" ht="15.75" customHeight="1" thickBot="1" x14ac:dyDescent="0.3">
      <c r="A2915" s="9"/>
    </row>
    <row r="2916" spans="1:1" ht="15.75" customHeight="1" thickBot="1" x14ac:dyDescent="0.3">
      <c r="A2916" s="9"/>
    </row>
    <row r="2917" spans="1:1" ht="15.75" customHeight="1" thickBot="1" x14ac:dyDescent="0.3">
      <c r="A2917" s="9"/>
    </row>
    <row r="2918" spans="1:1" ht="15.75" customHeight="1" thickBot="1" x14ac:dyDescent="0.3">
      <c r="A2918" s="9"/>
    </row>
    <row r="2919" spans="1:1" ht="15.75" customHeight="1" thickBot="1" x14ac:dyDescent="0.3">
      <c r="A2919" s="9"/>
    </row>
    <row r="2920" spans="1:1" ht="15.75" customHeight="1" thickBot="1" x14ac:dyDescent="0.3">
      <c r="A2920" s="9"/>
    </row>
    <row r="2921" spans="1:1" ht="15.75" customHeight="1" thickBot="1" x14ac:dyDescent="0.3">
      <c r="A2921" s="9"/>
    </row>
    <row r="2922" spans="1:1" ht="15.75" customHeight="1" thickBot="1" x14ac:dyDescent="0.3">
      <c r="A2922" s="9"/>
    </row>
    <row r="2923" spans="1:1" ht="15.75" customHeight="1" thickBot="1" x14ac:dyDescent="0.3">
      <c r="A2923" s="9"/>
    </row>
    <row r="2924" spans="1:1" ht="15.75" customHeight="1" thickBot="1" x14ac:dyDescent="0.3">
      <c r="A2924" s="9"/>
    </row>
    <row r="2925" spans="1:1" ht="15.75" customHeight="1" thickBot="1" x14ac:dyDescent="0.3">
      <c r="A2925" s="9"/>
    </row>
    <row r="2926" spans="1:1" ht="15.75" customHeight="1" thickBot="1" x14ac:dyDescent="0.3">
      <c r="A2926" s="9"/>
    </row>
    <row r="2927" spans="1:1" ht="15.75" customHeight="1" thickBot="1" x14ac:dyDescent="0.3">
      <c r="A2927" s="9"/>
    </row>
    <row r="2928" spans="1:1" ht="15.75" customHeight="1" thickBot="1" x14ac:dyDescent="0.3">
      <c r="A2928" s="9"/>
    </row>
    <row r="2929" spans="1:1" ht="15.75" customHeight="1" thickBot="1" x14ac:dyDescent="0.3">
      <c r="A2929" s="9"/>
    </row>
    <row r="2930" spans="1:1" ht="15.75" customHeight="1" thickBot="1" x14ac:dyDescent="0.3">
      <c r="A2930" s="9"/>
    </row>
    <row r="2931" spans="1:1" ht="15.75" customHeight="1" thickBot="1" x14ac:dyDescent="0.3">
      <c r="A2931" s="9"/>
    </row>
    <row r="2932" spans="1:1" ht="15.75" customHeight="1" thickBot="1" x14ac:dyDescent="0.3">
      <c r="A2932" s="9"/>
    </row>
    <row r="2933" spans="1:1" ht="15.75" customHeight="1" thickBot="1" x14ac:dyDescent="0.3">
      <c r="A2933" s="9"/>
    </row>
    <row r="2934" spans="1:1" ht="15.75" customHeight="1" thickBot="1" x14ac:dyDescent="0.3">
      <c r="A2934" s="9"/>
    </row>
    <row r="2935" spans="1:1" ht="15.75" customHeight="1" thickBot="1" x14ac:dyDescent="0.3">
      <c r="A2935" s="9"/>
    </row>
    <row r="2936" spans="1:1" ht="15.75" customHeight="1" thickBot="1" x14ac:dyDescent="0.3">
      <c r="A2936" s="9"/>
    </row>
    <row r="2937" spans="1:1" ht="15.75" customHeight="1" thickBot="1" x14ac:dyDescent="0.3">
      <c r="A2937" s="9"/>
    </row>
    <row r="2938" spans="1:1" ht="15.75" customHeight="1" thickBot="1" x14ac:dyDescent="0.3">
      <c r="A2938" s="9"/>
    </row>
    <row r="2939" spans="1:1" ht="15.75" customHeight="1" thickBot="1" x14ac:dyDescent="0.3">
      <c r="A2939" s="9"/>
    </row>
    <row r="2940" spans="1:1" ht="15.75" customHeight="1" thickBot="1" x14ac:dyDescent="0.3">
      <c r="A2940" s="9"/>
    </row>
    <row r="2941" spans="1:1" ht="15.75" customHeight="1" thickBot="1" x14ac:dyDescent="0.3">
      <c r="A2941" s="9"/>
    </row>
    <row r="2942" spans="1:1" ht="15.75" customHeight="1" thickBot="1" x14ac:dyDescent="0.3">
      <c r="A2942" s="9"/>
    </row>
    <row r="2943" spans="1:1" ht="15.75" customHeight="1" thickBot="1" x14ac:dyDescent="0.3">
      <c r="A2943" s="9"/>
    </row>
    <row r="2944" spans="1:1" ht="15.75" customHeight="1" thickBot="1" x14ac:dyDescent="0.3">
      <c r="A2944" s="9"/>
    </row>
    <row r="2945" spans="1:1" ht="15.75" customHeight="1" thickBot="1" x14ac:dyDescent="0.3">
      <c r="A2945" s="9"/>
    </row>
    <row r="2946" spans="1:1" ht="15.75" customHeight="1" thickBot="1" x14ac:dyDescent="0.3">
      <c r="A2946" s="9"/>
    </row>
    <row r="2947" spans="1:1" ht="15.75" customHeight="1" thickBot="1" x14ac:dyDescent="0.3">
      <c r="A2947" s="9"/>
    </row>
    <row r="2948" spans="1:1" ht="15.75" customHeight="1" thickBot="1" x14ac:dyDescent="0.3">
      <c r="A2948" s="9"/>
    </row>
    <row r="2949" spans="1:1" ht="15.75" customHeight="1" thickBot="1" x14ac:dyDescent="0.3">
      <c r="A2949" s="9"/>
    </row>
    <row r="2950" spans="1:1" ht="15.75" customHeight="1" thickBot="1" x14ac:dyDescent="0.3">
      <c r="A2950" s="9"/>
    </row>
    <row r="2951" spans="1:1" ht="15.75" customHeight="1" thickBot="1" x14ac:dyDescent="0.3">
      <c r="A2951" s="9"/>
    </row>
    <row r="2952" spans="1:1" ht="15.75" customHeight="1" thickBot="1" x14ac:dyDescent="0.3">
      <c r="A2952" s="9"/>
    </row>
    <row r="2953" spans="1:1" ht="15.75" customHeight="1" thickBot="1" x14ac:dyDescent="0.3">
      <c r="A2953" s="9"/>
    </row>
    <row r="2954" spans="1:1" ht="15.75" customHeight="1" thickBot="1" x14ac:dyDescent="0.3">
      <c r="A2954" s="9"/>
    </row>
    <row r="2955" spans="1:1" ht="15.75" customHeight="1" thickBot="1" x14ac:dyDescent="0.3">
      <c r="A2955" s="9"/>
    </row>
    <row r="2956" spans="1:1" ht="15.75" customHeight="1" thickBot="1" x14ac:dyDescent="0.3">
      <c r="A2956" s="9"/>
    </row>
    <row r="2957" spans="1:1" ht="15.75" customHeight="1" thickBot="1" x14ac:dyDescent="0.3">
      <c r="A2957" s="9"/>
    </row>
    <row r="2958" spans="1:1" ht="15.75" customHeight="1" thickBot="1" x14ac:dyDescent="0.3">
      <c r="A2958" s="9"/>
    </row>
    <row r="2959" spans="1:1" ht="15.75" customHeight="1" thickBot="1" x14ac:dyDescent="0.3">
      <c r="A2959" s="9"/>
    </row>
    <row r="2960" spans="1:1" ht="15.75" customHeight="1" thickBot="1" x14ac:dyDescent="0.3">
      <c r="A2960" s="9"/>
    </row>
    <row r="2961" spans="1:1" ht="15.75" customHeight="1" thickBot="1" x14ac:dyDescent="0.3">
      <c r="A2961" s="9"/>
    </row>
    <row r="2962" spans="1:1" ht="15.75" customHeight="1" thickBot="1" x14ac:dyDescent="0.3">
      <c r="A2962" s="9"/>
    </row>
    <row r="2963" spans="1:1" ht="15.75" customHeight="1" thickBot="1" x14ac:dyDescent="0.3">
      <c r="A2963" s="9"/>
    </row>
    <row r="2964" spans="1:1" ht="15.75" customHeight="1" thickBot="1" x14ac:dyDescent="0.3">
      <c r="A2964" s="9"/>
    </row>
    <row r="2965" spans="1:1" ht="15.75" customHeight="1" thickBot="1" x14ac:dyDescent="0.3">
      <c r="A2965" s="9"/>
    </row>
    <row r="2966" spans="1:1" ht="15.75" customHeight="1" thickBot="1" x14ac:dyDescent="0.3">
      <c r="A2966" s="9"/>
    </row>
    <row r="2967" spans="1:1" ht="15.75" customHeight="1" thickBot="1" x14ac:dyDescent="0.3">
      <c r="A2967" s="9"/>
    </row>
    <row r="2968" spans="1:1" ht="15.75" customHeight="1" thickBot="1" x14ac:dyDescent="0.3">
      <c r="A2968" s="9"/>
    </row>
    <row r="2969" spans="1:1" ht="15.75" customHeight="1" thickBot="1" x14ac:dyDescent="0.3">
      <c r="A2969" s="9"/>
    </row>
    <row r="2970" spans="1:1" ht="15.75" customHeight="1" thickBot="1" x14ac:dyDescent="0.3">
      <c r="A2970" s="9"/>
    </row>
    <row r="2971" spans="1:1" ht="15.75" customHeight="1" thickBot="1" x14ac:dyDescent="0.3">
      <c r="A2971" s="9"/>
    </row>
    <row r="2972" spans="1:1" ht="15.75" customHeight="1" thickBot="1" x14ac:dyDescent="0.3">
      <c r="A2972" s="9"/>
    </row>
    <row r="2973" spans="1:1" ht="15.75" customHeight="1" thickBot="1" x14ac:dyDescent="0.3">
      <c r="A2973" s="9"/>
    </row>
    <row r="2974" spans="1:1" ht="15.75" customHeight="1" thickBot="1" x14ac:dyDescent="0.3">
      <c r="A2974" s="9"/>
    </row>
    <row r="2975" spans="1:1" ht="15.75" customHeight="1" thickBot="1" x14ac:dyDescent="0.3">
      <c r="A2975" s="9"/>
    </row>
    <row r="2976" spans="1:1" ht="15.75" customHeight="1" thickBot="1" x14ac:dyDescent="0.3">
      <c r="A2976" s="9"/>
    </row>
    <row r="2977" spans="1:1" ht="15.75" customHeight="1" thickBot="1" x14ac:dyDescent="0.3">
      <c r="A2977" s="9"/>
    </row>
    <row r="2978" spans="1:1" ht="15.75" customHeight="1" thickBot="1" x14ac:dyDescent="0.3">
      <c r="A2978" s="9"/>
    </row>
    <row r="2979" spans="1:1" ht="15.75" customHeight="1" thickBot="1" x14ac:dyDescent="0.3">
      <c r="A2979" s="9"/>
    </row>
    <row r="2980" spans="1:1" ht="15.75" customHeight="1" thickBot="1" x14ac:dyDescent="0.3">
      <c r="A2980" s="9"/>
    </row>
    <row r="2981" spans="1:1" ht="15.75" customHeight="1" thickBot="1" x14ac:dyDescent="0.3">
      <c r="A2981" s="9"/>
    </row>
    <row r="2982" spans="1:1" ht="15.75" customHeight="1" thickBot="1" x14ac:dyDescent="0.3">
      <c r="A2982" s="9"/>
    </row>
    <row r="2983" spans="1:1" ht="15.75" customHeight="1" thickBot="1" x14ac:dyDescent="0.3">
      <c r="A2983" s="9"/>
    </row>
    <row r="2984" spans="1:1" ht="15.75" customHeight="1" thickBot="1" x14ac:dyDescent="0.3">
      <c r="A2984" s="9"/>
    </row>
    <row r="2985" spans="1:1" ht="15.75" customHeight="1" thickBot="1" x14ac:dyDescent="0.3">
      <c r="A2985" s="9"/>
    </row>
    <row r="2986" spans="1:1" ht="15.75" customHeight="1" thickBot="1" x14ac:dyDescent="0.3">
      <c r="A2986" s="9"/>
    </row>
    <row r="2987" spans="1:1" ht="15.75" customHeight="1" thickBot="1" x14ac:dyDescent="0.3">
      <c r="A2987" s="9"/>
    </row>
    <row r="2988" spans="1:1" ht="15.75" customHeight="1" thickBot="1" x14ac:dyDescent="0.3">
      <c r="A2988" s="9"/>
    </row>
    <row r="2989" spans="1:1" ht="15.75" customHeight="1" thickBot="1" x14ac:dyDescent="0.3">
      <c r="A2989" s="9"/>
    </row>
    <row r="2990" spans="1:1" ht="15.75" customHeight="1" thickBot="1" x14ac:dyDescent="0.3">
      <c r="A2990" s="9"/>
    </row>
    <row r="2991" spans="1:1" ht="15.75" customHeight="1" thickBot="1" x14ac:dyDescent="0.3">
      <c r="A2991" s="9"/>
    </row>
    <row r="2992" spans="1:1" ht="15.75" customHeight="1" thickBot="1" x14ac:dyDescent="0.3">
      <c r="A2992" s="9"/>
    </row>
    <row r="2993" spans="1:1" ht="15.75" customHeight="1" thickBot="1" x14ac:dyDescent="0.3">
      <c r="A2993" s="9"/>
    </row>
    <row r="2994" spans="1:1" ht="15.75" customHeight="1" thickBot="1" x14ac:dyDescent="0.3">
      <c r="A2994" s="9"/>
    </row>
    <row r="2995" spans="1:1" ht="15.75" customHeight="1" thickBot="1" x14ac:dyDescent="0.3">
      <c r="A2995" s="9"/>
    </row>
    <row r="2996" spans="1:1" ht="15.75" customHeight="1" thickBot="1" x14ac:dyDescent="0.3">
      <c r="A2996" s="9"/>
    </row>
    <row r="2997" spans="1:1" ht="15.75" customHeight="1" thickBot="1" x14ac:dyDescent="0.3">
      <c r="A2997" s="9"/>
    </row>
    <row r="2998" spans="1:1" ht="15.75" customHeight="1" thickBot="1" x14ac:dyDescent="0.3">
      <c r="A2998" s="9"/>
    </row>
    <row r="2999" spans="1:1" ht="15.75" customHeight="1" thickBot="1" x14ac:dyDescent="0.3">
      <c r="A2999" s="9"/>
    </row>
    <row r="3000" spans="1:1" ht="15.75" customHeight="1" thickBot="1" x14ac:dyDescent="0.3">
      <c r="A3000" s="9"/>
    </row>
    <row r="3001" spans="1:1" ht="15.75" customHeight="1" thickBot="1" x14ac:dyDescent="0.3">
      <c r="A3001" s="9"/>
    </row>
    <row r="3002" spans="1:1" ht="15.75" customHeight="1" thickBot="1" x14ac:dyDescent="0.3">
      <c r="A3002" s="9"/>
    </row>
    <row r="3003" spans="1:1" ht="15.75" customHeight="1" thickBot="1" x14ac:dyDescent="0.3">
      <c r="A3003" s="9"/>
    </row>
    <row r="3004" spans="1:1" ht="15.75" customHeight="1" thickBot="1" x14ac:dyDescent="0.3">
      <c r="A3004" s="9"/>
    </row>
    <row r="3005" spans="1:1" ht="15.75" customHeight="1" thickBot="1" x14ac:dyDescent="0.3">
      <c r="A3005" s="9"/>
    </row>
    <row r="3006" spans="1:1" ht="15.75" customHeight="1" thickBot="1" x14ac:dyDescent="0.3">
      <c r="A3006" s="9"/>
    </row>
    <row r="3007" spans="1:1" ht="15.75" customHeight="1" thickBot="1" x14ac:dyDescent="0.3">
      <c r="A3007" s="9"/>
    </row>
    <row r="3008" spans="1:1" ht="15.75" customHeight="1" thickBot="1" x14ac:dyDescent="0.3">
      <c r="A3008" s="9"/>
    </row>
    <row r="3009" spans="1:1" ht="15.75" customHeight="1" thickBot="1" x14ac:dyDescent="0.3">
      <c r="A3009" s="9"/>
    </row>
    <row r="3010" spans="1:1" ht="15.75" customHeight="1" thickBot="1" x14ac:dyDescent="0.3">
      <c r="A3010" s="9"/>
    </row>
    <row r="3011" spans="1:1" ht="15.75" customHeight="1" thickBot="1" x14ac:dyDescent="0.3">
      <c r="A3011" s="9"/>
    </row>
    <row r="3012" spans="1:1" ht="15.75" customHeight="1" thickBot="1" x14ac:dyDescent="0.3">
      <c r="A3012" s="9"/>
    </row>
    <row r="3013" spans="1:1" ht="15.75" customHeight="1" thickBot="1" x14ac:dyDescent="0.3">
      <c r="A3013" s="9"/>
    </row>
    <row r="3014" spans="1:1" ht="15.75" customHeight="1" thickBot="1" x14ac:dyDescent="0.3">
      <c r="A3014" s="9"/>
    </row>
    <row r="3015" spans="1:1" ht="15.75" customHeight="1" thickBot="1" x14ac:dyDescent="0.3">
      <c r="A3015" s="9"/>
    </row>
    <row r="3016" spans="1:1" ht="15.75" customHeight="1" thickBot="1" x14ac:dyDescent="0.3">
      <c r="A3016" s="9"/>
    </row>
    <row r="3017" spans="1:1" ht="15.75" customHeight="1" thickBot="1" x14ac:dyDescent="0.3">
      <c r="A3017" s="9"/>
    </row>
    <row r="3018" spans="1:1" ht="15.75" customHeight="1" thickBot="1" x14ac:dyDescent="0.3">
      <c r="A3018" s="9"/>
    </row>
    <row r="3019" spans="1:1" ht="15.75" customHeight="1" thickBot="1" x14ac:dyDescent="0.3">
      <c r="A3019" s="9"/>
    </row>
    <row r="3020" spans="1:1" ht="15.75" customHeight="1" thickBot="1" x14ac:dyDescent="0.3">
      <c r="A3020" s="9"/>
    </row>
    <row r="3021" spans="1:1" ht="15.75" customHeight="1" thickBot="1" x14ac:dyDescent="0.3">
      <c r="A3021" s="9"/>
    </row>
    <row r="3022" spans="1:1" ht="15.75" customHeight="1" thickBot="1" x14ac:dyDescent="0.3">
      <c r="A3022" s="9"/>
    </row>
    <row r="3023" spans="1:1" ht="15.75" customHeight="1" thickBot="1" x14ac:dyDescent="0.3">
      <c r="A3023" s="9"/>
    </row>
    <row r="3024" spans="1:1" ht="15.75" customHeight="1" thickBot="1" x14ac:dyDescent="0.3">
      <c r="A3024" s="9"/>
    </row>
  </sheetData>
  <mergeCells count="3">
    <mergeCell ref="F7:H7"/>
    <mergeCell ref="J7:K7"/>
    <mergeCell ref="P7:Q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C7D32-E7CD-487B-B736-ED4E02459C52}">
  <sheetPr>
    <outlinePr summaryBelow="0" summaryRight="0"/>
  </sheetPr>
  <dimension ref="A1:P3031"/>
  <sheetViews>
    <sheetView workbookViewId="0">
      <selection activeCell="A13" sqref="A13"/>
    </sheetView>
  </sheetViews>
  <sheetFormatPr defaultColWidth="12.6640625" defaultRowHeight="15.75" customHeight="1" x14ac:dyDescent="0.25"/>
  <cols>
    <col min="1" max="1" width="24.109375" style="13" customWidth="1"/>
    <col min="5" max="5" width="13.21875" bestFit="1" customWidth="1"/>
    <col min="10" max="10" width="12.109375" bestFit="1" customWidth="1"/>
  </cols>
  <sheetData>
    <row r="1" spans="1:16" ht="15.75" customHeight="1" x14ac:dyDescent="0.25">
      <c r="A1" s="17" t="s">
        <v>27</v>
      </c>
      <c r="B1" s="62">
        <f ca="1">CORREL(F16:F519,G16:G519)</f>
        <v>5.082793691158425E-2</v>
      </c>
      <c r="D1" s="17" t="s">
        <v>27</v>
      </c>
      <c r="E1" s="62">
        <f ca="1">B1</f>
        <v>5.082793691158425E-2</v>
      </c>
    </row>
    <row r="2" spans="1:16" ht="15.75" customHeight="1" x14ac:dyDescent="0.25">
      <c r="A2" s="17" t="s">
        <v>11</v>
      </c>
      <c r="B2" s="62">
        <f ca="1">_xlfn.COVARIANCE.S(F16:F519,G16:G519)</f>
        <v>4.298822808026106E-5</v>
      </c>
      <c r="D2" s="17" t="s">
        <v>11</v>
      </c>
      <c r="E2" s="62">
        <f ca="1">B2</f>
        <v>4.298822808026106E-5</v>
      </c>
      <c r="G2" s="18"/>
      <c r="H2" s="19" t="s">
        <v>3</v>
      </c>
      <c r="I2" s="18" t="s">
        <v>4</v>
      </c>
      <c r="J2" s="17" t="s">
        <v>17</v>
      </c>
      <c r="P2" s="39"/>
    </row>
    <row r="3" spans="1:16" ht="15.75" customHeight="1" x14ac:dyDescent="0.25">
      <c r="A3" s="17" t="s">
        <v>12</v>
      </c>
      <c r="B3" s="66">
        <v>1</v>
      </c>
      <c r="D3" s="17" t="s">
        <v>12</v>
      </c>
      <c r="E3" s="66">
        <v>0</v>
      </c>
      <c r="G3" s="18" t="s">
        <v>8</v>
      </c>
      <c r="H3" s="22">
        <f>AVERAGE(F16:F519)</f>
        <v>4.4007111550663295E-4</v>
      </c>
      <c r="I3" s="22">
        <f t="shared" ref="I3:J3" ca="1" si="0">AVERAGE(G16:G519)</f>
        <v>-5.8107032453057195E-4</v>
      </c>
      <c r="J3" s="22">
        <f t="shared" ca="1" si="0"/>
        <v>7.5358231677385328E-4</v>
      </c>
    </row>
    <row r="4" spans="1:16" ht="15.75" customHeight="1" x14ac:dyDescent="0.25">
      <c r="A4" s="17" t="s">
        <v>16</v>
      </c>
      <c r="B4" s="68">
        <v>0</v>
      </c>
      <c r="D4" s="17" t="s">
        <v>16</v>
      </c>
      <c r="E4" s="68">
        <v>1</v>
      </c>
      <c r="G4" s="18" t="s">
        <v>9</v>
      </c>
      <c r="H4" s="22">
        <f>_xlfn.STDEV.S(F16:F519)</f>
        <v>2.8438715285313238E-2</v>
      </c>
      <c r="I4" s="22">
        <f t="shared" ref="I4:J4" ca="1" si="1">_xlfn.STDEV.S(G16:G519)</f>
        <v>2.973973462682989E-2</v>
      </c>
      <c r="J4" s="22">
        <f t="shared" ca="1" si="1"/>
        <v>1.6143619606804886E-2</v>
      </c>
    </row>
    <row r="5" spans="1:16" ht="15.75" customHeight="1" thickBot="1" x14ac:dyDescent="0.3">
      <c r="A5" s="17" t="s">
        <v>13</v>
      </c>
      <c r="B5" s="63">
        <v>1</v>
      </c>
      <c r="D5" s="17" t="s">
        <v>13</v>
      </c>
      <c r="E5" s="63">
        <v>1</v>
      </c>
      <c r="G5" s="23" t="s">
        <v>10</v>
      </c>
      <c r="H5" s="24">
        <f>H4^2</f>
        <v>8.0876052707910882E-4</v>
      </c>
      <c r="I5" s="24">
        <f t="shared" ref="I5:J5" ca="1" si="2">I4^2</f>
        <v>8.8445181567426475E-4</v>
      </c>
      <c r="J5" s="24">
        <f t="shared" ca="1" si="2"/>
        <v>2.6061645400921512E-4</v>
      </c>
    </row>
    <row r="6" spans="1:16" ht="15.75" customHeight="1" x14ac:dyDescent="0.25">
      <c r="A6" s="72" t="s">
        <v>14</v>
      </c>
      <c r="B6" s="64">
        <f ca="1">(H3*B3+I3*B4) *252</f>
        <v>0.11089792110767151</v>
      </c>
      <c r="D6" s="72" t="s">
        <v>14</v>
      </c>
      <c r="E6" s="64">
        <f ca="1">(H3*E3+I3*E4) *252</f>
        <v>-0.14642972178170413</v>
      </c>
      <c r="G6" s="25" t="s">
        <v>18</v>
      </c>
      <c r="H6" s="26">
        <f ca="1">SLOPE(J16:J519,L16:L519)</f>
        <v>1.3642814625805626</v>
      </c>
      <c r="I6" s="26">
        <f ca="1">SLOPE(K16:K519,L16:L519)</f>
        <v>-0.12602182668263742</v>
      </c>
      <c r="J6" s="27"/>
    </row>
    <row r="7" spans="1:16" ht="15.75" customHeight="1" x14ac:dyDescent="0.25">
      <c r="A7" s="21" t="s">
        <v>26</v>
      </c>
      <c r="B7" s="65">
        <f>H4</f>
        <v>2.8438715285313238E-2</v>
      </c>
      <c r="C7" s="44"/>
      <c r="D7" s="21" t="s">
        <v>26</v>
      </c>
      <c r="E7" s="65">
        <f ca="1">I4</f>
        <v>2.973973462682989E-2</v>
      </c>
      <c r="G7" s="28" t="s">
        <v>19</v>
      </c>
      <c r="H7" s="29">
        <f ca="1">INTERCEPT(J16:J519,L16:L519)</f>
        <v>-5.7111420189092179E-4</v>
      </c>
      <c r="I7" s="30">
        <f ca="1">INTERCEPT(K16:K519,L16:L519)</f>
        <v>-5.3838208922526109E-4</v>
      </c>
      <c r="J7" s="27"/>
    </row>
    <row r="8" spans="1:16" ht="15.75" customHeight="1" thickBot="1" x14ac:dyDescent="0.3">
      <c r="A8" s="17" t="s">
        <v>15</v>
      </c>
      <c r="B8" s="62">
        <f>AVERAGE(0.89%,1.45%)</f>
        <v>1.1699999999999999E-2</v>
      </c>
      <c r="C8" s="45"/>
      <c r="D8" s="17" t="s">
        <v>15</v>
      </c>
      <c r="E8" s="62">
        <f>B8</f>
        <v>1.1699999999999999E-2</v>
      </c>
      <c r="G8" s="31" t="s">
        <v>20</v>
      </c>
      <c r="H8" s="32">
        <f ca="1">B9+H6*(J3-B9)</f>
        <v>1.0111853173975552E-3</v>
      </c>
      <c r="I8" s="32">
        <f ca="1">B9+I6*(J3-B9)</f>
        <v>-4.2688235305309615E-5</v>
      </c>
      <c r="J8" s="27"/>
    </row>
    <row r="9" spans="1:16" ht="13.8" thickBot="1" x14ac:dyDescent="0.3">
      <c r="A9" s="9" t="s">
        <v>21</v>
      </c>
      <c r="B9" s="62">
        <f>B8/252</f>
        <v>4.6428571428571423E-5</v>
      </c>
      <c r="C9" s="45"/>
      <c r="D9" s="9" t="s">
        <v>21</v>
      </c>
      <c r="E9" s="62">
        <f>E8/252</f>
        <v>4.6428571428571423E-5</v>
      </c>
    </row>
    <row r="10" spans="1:16" ht="30" customHeight="1" thickBot="1" x14ac:dyDescent="0.3">
      <c r="A10" s="9" t="s">
        <v>63</v>
      </c>
    </row>
    <row r="11" spans="1:16" ht="15.75" customHeight="1" x14ac:dyDescent="0.25">
      <c r="A11" s="40"/>
    </row>
    <row r="12" spans="1:16" ht="15.75" customHeight="1" thickBot="1" x14ac:dyDescent="0.3">
      <c r="A12" s="40"/>
    </row>
    <row r="13" spans="1:16" ht="13.95" customHeight="1" thickBot="1" x14ac:dyDescent="0.5">
      <c r="A13" s="9"/>
      <c r="B13" s="1" t="s">
        <v>24</v>
      </c>
      <c r="F13" s="156" t="s">
        <v>7</v>
      </c>
      <c r="G13" s="156"/>
      <c r="H13" s="156"/>
      <c r="J13" s="156" t="s">
        <v>22</v>
      </c>
      <c r="K13" s="156"/>
      <c r="L13" s="156"/>
    </row>
    <row r="14" spans="1:16" s="5" customFormat="1" ht="13.05" customHeight="1" thickBot="1" x14ac:dyDescent="0.3">
      <c r="A14" s="14"/>
      <c r="B14" s="6" t="s">
        <v>3</v>
      </c>
      <c r="C14" s="6" t="s">
        <v>4</v>
      </c>
      <c r="D14" s="6" t="s">
        <v>5</v>
      </c>
      <c r="F14" s="15" t="s">
        <v>3</v>
      </c>
      <c r="G14" s="15" t="s">
        <v>4</v>
      </c>
      <c r="H14" s="15" t="s">
        <v>5</v>
      </c>
      <c r="I14"/>
      <c r="J14" s="15" t="s">
        <v>3</v>
      </c>
      <c r="K14" s="15" t="s">
        <v>4</v>
      </c>
      <c r="L14" s="15" t="s">
        <v>5</v>
      </c>
    </row>
    <row r="15" spans="1:16" s="7" customFormat="1" ht="15.75" customHeight="1" thickBot="1" x14ac:dyDescent="0.3">
      <c r="A15" s="12">
        <v>43832.666666666664</v>
      </c>
      <c r="B15" s="4">
        <v>35.64</v>
      </c>
      <c r="C15" s="2">
        <f ca="1">IFERROR(__xludf.DUMMYFUNCTION("""COMPUTED_VALUE"""),71.65)</f>
        <v>71.650000000000006</v>
      </c>
      <c r="D15" s="2">
        <f ca="1">IFERROR(__xludf.DUMMYFUNCTION("""COMPUTED_VALUE"""),324.87)</f>
        <v>324.87</v>
      </c>
      <c r="G15" s="8"/>
    </row>
    <row r="16" spans="1:16" ht="13.8" thickBot="1" x14ac:dyDescent="0.3">
      <c r="A16" s="12">
        <v>43833.666666666664</v>
      </c>
      <c r="B16" s="4">
        <v>34.9</v>
      </c>
      <c r="C16" s="2">
        <f ca="1">IFERROR(__xludf.DUMMYFUNCTION("""COMPUTED_VALUE"""),70.93)</f>
        <v>70.930000000000007</v>
      </c>
      <c r="D16" s="2">
        <f ca="1">IFERROR(__xludf.DUMMYFUNCTION("""COMPUTED_VALUE"""),322.41)</f>
        <v>322.41000000000003</v>
      </c>
      <c r="F16">
        <f t="shared" ref="F16:F79" si="3">LN(B16/B15)</f>
        <v>-2.0981773394227153E-2</v>
      </c>
      <c r="G16">
        <f t="shared" ref="G16:H16" ca="1" si="4">LN(C16/C15)</f>
        <v>-1.0099679060185498E-2</v>
      </c>
      <c r="H16">
        <f t="shared" ca="1" si="4"/>
        <v>-7.6010747872260667E-3</v>
      </c>
      <c r="J16" s="38">
        <f>F16-$B$9</f>
        <v>-2.1028201965655725E-2</v>
      </c>
      <c r="K16" s="38">
        <f t="shared" ref="K16:L16" ca="1" si="5">G16-$B$9</f>
        <v>-1.014610763161407E-2</v>
      </c>
      <c r="L16" s="38">
        <f t="shared" ca="1" si="5"/>
        <v>-7.647503358654638E-3</v>
      </c>
    </row>
    <row r="17" spans="1:12" ht="13.8" thickBot="1" x14ac:dyDescent="0.3">
      <c r="A17" s="12">
        <v>43836.666666666664</v>
      </c>
      <c r="B17" s="4">
        <v>34.85</v>
      </c>
      <c r="C17" s="2">
        <f ca="1">IFERROR(__xludf.DUMMYFUNCTION("""COMPUTED_VALUE"""),70.99)</f>
        <v>70.989999999999995</v>
      </c>
      <c r="D17" s="2">
        <f ca="1">IFERROR(__xludf.DUMMYFUNCTION("""COMPUTED_VALUE"""),323.64)</f>
        <v>323.64</v>
      </c>
      <c r="F17" s="16">
        <f t="shared" si="3"/>
        <v>-1.4336920018484744E-3</v>
      </c>
      <c r="G17" s="16">
        <f ca="1">LN(C17/C16)</f>
        <v>8.4554683729886986E-4</v>
      </c>
      <c r="H17" s="16">
        <f ca="1">LN(D17/D16)</f>
        <v>3.8077594184671988E-3</v>
      </c>
      <c r="J17" s="38">
        <f>F17-$B$9</f>
        <v>-1.4801205732770458E-3</v>
      </c>
      <c r="K17" s="38">
        <f t="shared" ref="K17:L32" ca="1" si="6">G17-$B$9</f>
        <v>7.9911826587029846E-4</v>
      </c>
      <c r="L17" s="38">
        <f t="shared" ca="1" si="6"/>
        <v>3.7613308470386274E-3</v>
      </c>
    </row>
    <row r="18" spans="1:12" ht="13.8" thickBot="1" x14ac:dyDescent="0.3">
      <c r="A18" s="12">
        <v>43837.666666666664</v>
      </c>
      <c r="B18" s="4">
        <v>34.619999999999997</v>
      </c>
      <c r="C18" s="2">
        <f ca="1">IFERROR(__xludf.DUMMYFUNCTION("""COMPUTED_VALUE"""),71.22)</f>
        <v>71.22</v>
      </c>
      <c r="D18" s="2">
        <f ca="1">IFERROR(__xludf.DUMMYFUNCTION("""COMPUTED_VALUE"""),322.73)</f>
        <v>322.73</v>
      </c>
      <c r="F18" s="16">
        <f t="shared" si="3"/>
        <v>-6.6215874584698011E-3</v>
      </c>
      <c r="G18" s="16">
        <f t="shared" ref="G18:G81" ca="1" si="7">LN(C18/C17)</f>
        <v>3.2346557983371832E-3</v>
      </c>
      <c r="H18" s="16">
        <f t="shared" ref="H18:H81" ca="1" si="8">LN(D18/D17)</f>
        <v>-2.8157266000295596E-3</v>
      </c>
      <c r="J18" s="38">
        <f t="shared" ref="J18:L81" si="9">F18-$B$9</f>
        <v>-6.6680160298983725E-3</v>
      </c>
      <c r="K18" s="38">
        <f t="shared" ca="1" si="6"/>
        <v>3.1882272269086118E-3</v>
      </c>
      <c r="L18" s="38">
        <f t="shared" ca="1" si="6"/>
        <v>-2.862155171458131E-3</v>
      </c>
    </row>
    <row r="19" spans="1:12" ht="13.8" thickBot="1" x14ac:dyDescent="0.3">
      <c r="A19" s="12">
        <v>43838.666666666664</v>
      </c>
      <c r="B19" s="4">
        <v>34.97</v>
      </c>
      <c r="C19" s="2">
        <f ca="1">IFERROR(__xludf.DUMMYFUNCTION("""COMPUTED_VALUE"""),72.08)</f>
        <v>72.08</v>
      </c>
      <c r="D19" s="2">
        <f ca="1">IFERROR(__xludf.DUMMYFUNCTION("""COMPUTED_VALUE"""),324.45)</f>
        <v>324.45</v>
      </c>
      <c r="F19" s="16">
        <f t="shared" si="3"/>
        <v>1.0059001327221269E-2</v>
      </c>
      <c r="G19" s="16">
        <f t="shared" ca="1" si="7"/>
        <v>1.2002935450450771E-2</v>
      </c>
      <c r="H19" s="16">
        <f t="shared" ca="1" si="8"/>
        <v>5.3153807275680134E-3</v>
      </c>
      <c r="J19" s="38">
        <f t="shared" si="9"/>
        <v>1.0012572755792697E-2</v>
      </c>
      <c r="K19" s="38">
        <f t="shared" ca="1" si="6"/>
        <v>1.1956506879022199E-2</v>
      </c>
      <c r="L19" s="38">
        <f t="shared" ca="1" si="6"/>
        <v>5.268952156139442E-3</v>
      </c>
    </row>
    <row r="20" spans="1:12" ht="15.75" customHeight="1" thickBot="1" x14ac:dyDescent="0.3">
      <c r="A20" s="12">
        <v>43839.666666666664</v>
      </c>
      <c r="B20" s="4">
        <v>35.03</v>
      </c>
      <c r="C20" s="2">
        <f ca="1">IFERROR(__xludf.DUMMYFUNCTION("""COMPUTED_VALUE"""),71.55)</f>
        <v>71.55</v>
      </c>
      <c r="D20" s="2">
        <f ca="1">IFERROR(__xludf.DUMMYFUNCTION("""COMPUTED_VALUE"""),326.65)</f>
        <v>326.64999999999998</v>
      </c>
      <c r="F20" s="16">
        <f t="shared" si="3"/>
        <v>1.7142861341109266E-3</v>
      </c>
      <c r="G20" s="16">
        <f t="shared" ca="1" si="7"/>
        <v>-7.3801072976225337E-3</v>
      </c>
      <c r="H20" s="16">
        <f t="shared" ca="1" si="8"/>
        <v>6.7578202195817845E-3</v>
      </c>
      <c r="J20" s="38">
        <f t="shared" si="9"/>
        <v>1.6678575626823552E-3</v>
      </c>
      <c r="K20" s="38">
        <f t="shared" ca="1" si="6"/>
        <v>-7.4265358690511051E-3</v>
      </c>
      <c r="L20" s="38">
        <f t="shared" ca="1" si="6"/>
        <v>6.7113916481532131E-3</v>
      </c>
    </row>
    <row r="21" spans="1:12" ht="15.75" customHeight="1" thickBot="1" x14ac:dyDescent="0.3">
      <c r="A21" s="12">
        <v>43840.666666666664</v>
      </c>
      <c r="B21" s="4">
        <v>34.74</v>
      </c>
      <c r="C21" s="2">
        <f ca="1">IFERROR(__xludf.DUMMYFUNCTION("""COMPUTED_VALUE"""),71.55)</f>
        <v>71.55</v>
      </c>
      <c r="D21" s="2">
        <f ca="1">IFERROR(__xludf.DUMMYFUNCTION("""COMPUTED_VALUE"""),325.71)</f>
        <v>325.70999999999998</v>
      </c>
      <c r="F21" s="16">
        <f t="shared" si="3"/>
        <v>-8.3130763964365684E-3</v>
      </c>
      <c r="G21" s="16">
        <f t="shared" ca="1" si="7"/>
        <v>0</v>
      </c>
      <c r="H21" s="16">
        <f t="shared" ca="1" si="8"/>
        <v>-2.8818463748889263E-3</v>
      </c>
      <c r="J21" s="38">
        <f t="shared" si="9"/>
        <v>-8.3595049678651407E-3</v>
      </c>
      <c r="K21" s="38">
        <f t="shared" ca="1" si="6"/>
        <v>-4.6428571428571423E-5</v>
      </c>
      <c r="L21" s="38">
        <f t="shared" ca="1" si="6"/>
        <v>-2.9282749463174977E-3</v>
      </c>
    </row>
    <row r="22" spans="1:12" ht="15.75" customHeight="1" thickBot="1" x14ac:dyDescent="0.3">
      <c r="A22" s="12">
        <v>43843.666666666664</v>
      </c>
      <c r="B22" s="4">
        <v>35.06</v>
      </c>
      <c r="C22" s="2">
        <f ca="1">IFERROR(__xludf.DUMMYFUNCTION("""COMPUTED_VALUE"""),74.27)</f>
        <v>74.27</v>
      </c>
      <c r="D22" s="2">
        <f ca="1">IFERROR(__xludf.DUMMYFUNCTION("""COMPUTED_VALUE"""),327.95)</f>
        <v>327.95</v>
      </c>
      <c r="F22" s="16">
        <f t="shared" si="3"/>
        <v>9.1691186801295468E-3</v>
      </c>
      <c r="G22" s="16">
        <f t="shared" ca="1" si="7"/>
        <v>3.7310595678745125E-2</v>
      </c>
      <c r="H22" s="16">
        <f t="shared" ca="1" si="8"/>
        <v>6.8537428278740787E-3</v>
      </c>
      <c r="J22" s="38">
        <f t="shared" si="9"/>
        <v>9.1226901087009746E-3</v>
      </c>
      <c r="K22" s="38">
        <f t="shared" ca="1" si="6"/>
        <v>3.7264167107316552E-2</v>
      </c>
      <c r="L22" s="38">
        <f t="shared" ca="1" si="6"/>
        <v>6.8073142564455073E-3</v>
      </c>
    </row>
    <row r="23" spans="1:12" ht="15.75" customHeight="1" thickBot="1" x14ac:dyDescent="0.3">
      <c r="A23" s="12">
        <v>43844.666666666664</v>
      </c>
      <c r="B23" s="4">
        <v>35.32</v>
      </c>
      <c r="C23" s="2">
        <f ca="1">IFERROR(__xludf.DUMMYFUNCTION("""COMPUTED_VALUE"""),72.82)</f>
        <v>72.819999999999993</v>
      </c>
      <c r="D23" s="2">
        <f ca="1">IFERROR(__xludf.DUMMYFUNCTION("""COMPUTED_VALUE"""),327.45)</f>
        <v>327.45</v>
      </c>
      <c r="F23" s="16">
        <f t="shared" si="3"/>
        <v>7.388496242670857E-3</v>
      </c>
      <c r="G23" s="16">
        <f t="shared" ca="1" si="7"/>
        <v>-1.9716458933917717E-2</v>
      </c>
      <c r="H23" s="16">
        <f t="shared" ca="1" si="8"/>
        <v>-1.5257860756819445E-3</v>
      </c>
      <c r="J23" s="38">
        <f t="shared" si="9"/>
        <v>7.3420676712422856E-3</v>
      </c>
      <c r="K23" s="38">
        <f t="shared" ca="1" si="6"/>
        <v>-1.9762887505346289E-2</v>
      </c>
      <c r="L23" s="38">
        <f t="shared" ca="1" si="6"/>
        <v>-1.5722146471105159E-3</v>
      </c>
    </row>
    <row r="24" spans="1:12" ht="15.75" customHeight="1" thickBot="1" x14ac:dyDescent="0.3">
      <c r="A24" s="12">
        <v>43845.666666666664</v>
      </c>
      <c r="B24" s="4">
        <v>34.67</v>
      </c>
      <c r="C24" s="2">
        <f ca="1">IFERROR(__xludf.DUMMYFUNCTION("""COMPUTED_VALUE"""),72.91)</f>
        <v>72.91</v>
      </c>
      <c r="D24" s="2">
        <f ca="1">IFERROR(__xludf.DUMMYFUNCTION("""COMPUTED_VALUE"""),328.19)</f>
        <v>328.19</v>
      </c>
      <c r="F24" s="16">
        <f t="shared" si="3"/>
        <v>-1.857461603882711E-2</v>
      </c>
      <c r="G24" s="16">
        <f t="shared" ca="1" si="7"/>
        <v>1.2351610710515859E-3</v>
      </c>
      <c r="H24" s="16">
        <f t="shared" ca="1" si="8"/>
        <v>2.2573373016500859E-3</v>
      </c>
      <c r="J24" s="38">
        <f t="shared" si="9"/>
        <v>-1.8621044610255683E-2</v>
      </c>
      <c r="K24" s="38">
        <f t="shared" ca="1" si="6"/>
        <v>1.1887324996230145E-3</v>
      </c>
      <c r="L24" s="38">
        <f t="shared" ca="1" si="6"/>
        <v>2.2109087302215145E-3</v>
      </c>
    </row>
    <row r="25" spans="1:12" ht="15.75" customHeight="1" thickBot="1" x14ac:dyDescent="0.3">
      <c r="A25" s="12">
        <v>43846.666666666664</v>
      </c>
      <c r="B25" s="4">
        <v>34.72</v>
      </c>
      <c r="C25" s="2">
        <f ca="1">IFERROR(__xludf.DUMMYFUNCTION("""COMPUTED_VALUE"""),73.03)</f>
        <v>73.03</v>
      </c>
      <c r="D25" s="2">
        <f ca="1">IFERROR(__xludf.DUMMYFUNCTION("""COMPUTED_VALUE"""),330.92)</f>
        <v>330.92</v>
      </c>
      <c r="F25" s="16">
        <f t="shared" si="3"/>
        <v>1.4411300952172363E-3</v>
      </c>
      <c r="G25" s="16">
        <f t="shared" ca="1" si="7"/>
        <v>1.6445118136795315E-3</v>
      </c>
      <c r="H25" s="16">
        <f t="shared" ca="1" si="8"/>
        <v>8.2839453562695842E-3</v>
      </c>
      <c r="J25" s="38">
        <f t="shared" si="9"/>
        <v>1.3947015237886649E-3</v>
      </c>
      <c r="K25" s="38">
        <f t="shared" ca="1" si="6"/>
        <v>1.5980832422509601E-3</v>
      </c>
      <c r="L25" s="38">
        <f t="shared" ca="1" si="6"/>
        <v>8.2375167848410119E-3</v>
      </c>
    </row>
    <row r="26" spans="1:12" ht="15.75" customHeight="1" thickBot="1" x14ac:dyDescent="0.3">
      <c r="A26" s="12">
        <v>43847.666666666664</v>
      </c>
      <c r="B26" s="4">
        <v>34.71</v>
      </c>
      <c r="C26" s="2">
        <f ca="1">IFERROR(__xludf.DUMMYFUNCTION("""COMPUTED_VALUE"""),72.87)</f>
        <v>72.87</v>
      </c>
      <c r="D26" s="2">
        <f ca="1">IFERROR(__xludf.DUMMYFUNCTION("""COMPUTED_VALUE"""),331.95)</f>
        <v>331.95</v>
      </c>
      <c r="F26" s="16">
        <f t="shared" si="3"/>
        <v>-2.8805991845451477E-4</v>
      </c>
      <c r="G26" s="16">
        <f t="shared" ca="1" si="7"/>
        <v>-2.1932839498275398E-3</v>
      </c>
      <c r="H26" s="16">
        <f t="shared" ca="1" si="8"/>
        <v>3.1077008431860645E-3</v>
      </c>
      <c r="J26" s="38">
        <f t="shared" si="9"/>
        <v>-3.3448848988308622E-4</v>
      </c>
      <c r="K26" s="38">
        <f t="shared" ca="1" si="6"/>
        <v>-2.2397125212561112E-3</v>
      </c>
      <c r="L26" s="38">
        <f t="shared" ca="1" si="6"/>
        <v>3.0612722717574931E-3</v>
      </c>
    </row>
    <row r="27" spans="1:12" ht="15.75" customHeight="1" thickBot="1" x14ac:dyDescent="0.3">
      <c r="A27" s="12">
        <v>43851.666666666664</v>
      </c>
      <c r="B27" s="4">
        <v>34.26</v>
      </c>
      <c r="C27" s="2">
        <f ca="1">IFERROR(__xludf.DUMMYFUNCTION("""COMPUTED_VALUE"""),72.57)</f>
        <v>72.569999999999993</v>
      </c>
      <c r="D27" s="2">
        <f ca="1">IFERROR(__xludf.DUMMYFUNCTION("""COMPUTED_VALUE"""),331.3)</f>
        <v>331.3</v>
      </c>
      <c r="F27" s="16">
        <f t="shared" si="3"/>
        <v>-1.3049336977721098E-2</v>
      </c>
      <c r="G27" s="16">
        <f t="shared" ca="1" si="7"/>
        <v>-4.1254183921454425E-3</v>
      </c>
      <c r="H27" s="16">
        <f t="shared" ca="1" si="8"/>
        <v>-1.9600458593181371E-3</v>
      </c>
      <c r="J27" s="38">
        <f t="shared" si="9"/>
        <v>-1.3095765549149671E-2</v>
      </c>
      <c r="K27" s="38">
        <f t="shared" ca="1" si="6"/>
        <v>-4.1718469635740139E-3</v>
      </c>
      <c r="L27" s="38">
        <f t="shared" ca="1" si="6"/>
        <v>-2.0064744307467085E-3</v>
      </c>
    </row>
    <row r="28" spans="1:12" ht="15.75" customHeight="1" thickBot="1" x14ac:dyDescent="0.3">
      <c r="A28" s="12">
        <v>43852.666666666664</v>
      </c>
      <c r="B28" s="4">
        <v>34.36</v>
      </c>
      <c r="C28" s="2">
        <f ca="1">IFERROR(__xludf.DUMMYFUNCTION("""COMPUTED_VALUE"""),72.16)</f>
        <v>72.16</v>
      </c>
      <c r="D28" s="2">
        <f ca="1">IFERROR(__xludf.DUMMYFUNCTION("""COMPUTED_VALUE"""),331.34)</f>
        <v>331.34</v>
      </c>
      <c r="F28" s="16">
        <f t="shared" si="3"/>
        <v>2.9146042200808488E-3</v>
      </c>
      <c r="G28" s="16">
        <f t="shared" ca="1" si="7"/>
        <v>-5.6657375356773077E-3</v>
      </c>
      <c r="H28" s="16">
        <f t="shared" ca="1" si="8"/>
        <v>1.207292045410948E-4</v>
      </c>
      <c r="J28" s="38">
        <f t="shared" si="9"/>
        <v>2.8681756486522774E-3</v>
      </c>
      <c r="K28" s="38">
        <f t="shared" ca="1" si="6"/>
        <v>-5.7121661071058791E-3</v>
      </c>
      <c r="L28" s="38">
        <f t="shared" ca="1" si="6"/>
        <v>7.4300633112523375E-5</v>
      </c>
    </row>
    <row r="29" spans="1:12" ht="13.8" thickBot="1" x14ac:dyDescent="0.3">
      <c r="A29" s="12">
        <v>43853.666666666664</v>
      </c>
      <c r="B29" s="4">
        <v>34.119999999999997</v>
      </c>
      <c r="C29" s="2">
        <f ca="1">IFERROR(__xludf.DUMMYFUNCTION("""COMPUTED_VALUE"""),71.61)</f>
        <v>71.61</v>
      </c>
      <c r="D29" s="2">
        <f ca="1">IFERROR(__xludf.DUMMYFUNCTION("""COMPUTED_VALUE"""),331.72)</f>
        <v>331.72</v>
      </c>
      <c r="F29" s="16">
        <f t="shared" si="3"/>
        <v>-7.0093744925762771E-3</v>
      </c>
      <c r="G29" s="16">
        <f t="shared" ca="1" si="7"/>
        <v>-7.6511467355197503E-3</v>
      </c>
      <c r="H29" s="16">
        <f t="shared" ca="1" si="8"/>
        <v>1.1462010726118045E-3</v>
      </c>
      <c r="J29" s="38">
        <f t="shared" si="9"/>
        <v>-7.0558030640048485E-3</v>
      </c>
      <c r="K29" s="38">
        <f t="shared" ca="1" si="6"/>
        <v>-7.6975753069483217E-3</v>
      </c>
      <c r="L29" s="38">
        <f t="shared" ca="1" si="6"/>
        <v>1.0997725011832331E-3</v>
      </c>
    </row>
    <row r="30" spans="1:12" ht="13.8" thickBot="1" x14ac:dyDescent="0.3">
      <c r="A30" s="12">
        <v>43854.666666666664</v>
      </c>
      <c r="B30" s="4">
        <v>33.54</v>
      </c>
      <c r="C30" s="2">
        <f ca="1">IFERROR(__xludf.DUMMYFUNCTION("""COMPUTED_VALUE"""),71.07)</f>
        <v>71.069999999999993</v>
      </c>
      <c r="D30" s="2">
        <f ca="1">IFERROR(__xludf.DUMMYFUNCTION("""COMPUTED_VALUE"""),328.77)</f>
        <v>328.77</v>
      </c>
      <c r="F30" s="16">
        <f t="shared" si="3"/>
        <v>-1.7144966228415534E-2</v>
      </c>
      <c r="G30" s="16">
        <f t="shared" ca="1" si="7"/>
        <v>-7.5694221800447223E-3</v>
      </c>
      <c r="H30" s="16">
        <f t="shared" ca="1" si="8"/>
        <v>-8.9328214395926336E-3</v>
      </c>
      <c r="J30" s="38">
        <f t="shared" si="9"/>
        <v>-1.7191394799844106E-2</v>
      </c>
      <c r="K30" s="38">
        <f t="shared" ca="1" si="6"/>
        <v>-7.6158507514732937E-3</v>
      </c>
      <c r="L30" s="38">
        <f t="shared" ca="1" si="6"/>
        <v>-8.9792500110212059E-3</v>
      </c>
    </row>
    <row r="31" spans="1:12" ht="13.8" thickBot="1" x14ac:dyDescent="0.3">
      <c r="A31" s="12">
        <v>43857.666666666664</v>
      </c>
      <c r="B31" s="4">
        <v>32.85</v>
      </c>
      <c r="C31" s="2">
        <f ca="1">IFERROR(__xludf.DUMMYFUNCTION("""COMPUTED_VALUE"""),69.16)</f>
        <v>69.16</v>
      </c>
      <c r="D31" s="2">
        <f ca="1">IFERROR(__xludf.DUMMYFUNCTION("""COMPUTED_VALUE"""),323.5)</f>
        <v>323.5</v>
      </c>
      <c r="F31" s="16">
        <f t="shared" si="3"/>
        <v>-2.0787011464443242E-2</v>
      </c>
      <c r="G31" s="16">
        <f t="shared" ca="1" si="7"/>
        <v>-2.7242646023713953E-2</v>
      </c>
      <c r="H31" s="16">
        <f t="shared" ca="1" si="8"/>
        <v>-1.6159304202455257E-2</v>
      </c>
      <c r="J31" s="38">
        <f t="shared" si="9"/>
        <v>-2.0833440035871814E-2</v>
      </c>
      <c r="K31" s="38">
        <f t="shared" ca="1" si="6"/>
        <v>-2.7289074595142526E-2</v>
      </c>
      <c r="L31" s="38">
        <f t="shared" ca="1" si="6"/>
        <v>-1.6205732773883829E-2</v>
      </c>
    </row>
    <row r="32" spans="1:12" ht="13.8" thickBot="1" x14ac:dyDescent="0.3">
      <c r="A32" s="12">
        <v>43858.666666666664</v>
      </c>
      <c r="B32" s="4">
        <v>33.24</v>
      </c>
      <c r="C32" s="2">
        <f ca="1">IFERROR(__xludf.DUMMYFUNCTION("""COMPUTED_VALUE"""),70.57)</f>
        <v>70.569999999999993</v>
      </c>
      <c r="D32" s="2">
        <f ca="1">IFERROR(__xludf.DUMMYFUNCTION("""COMPUTED_VALUE"""),326.89)</f>
        <v>326.89</v>
      </c>
      <c r="F32" s="16">
        <f t="shared" si="3"/>
        <v>1.1802225056627912E-2</v>
      </c>
      <c r="G32" s="16">
        <f t="shared" ca="1" si="7"/>
        <v>2.0182464197649099E-2</v>
      </c>
      <c r="H32" s="16">
        <f t="shared" ca="1" si="8"/>
        <v>1.0424608926697842E-2</v>
      </c>
      <c r="J32" s="38">
        <f t="shared" si="9"/>
        <v>1.175579648519934E-2</v>
      </c>
      <c r="K32" s="38">
        <f t="shared" ca="1" si="6"/>
        <v>2.0136035626220527E-2</v>
      </c>
      <c r="L32" s="38">
        <f t="shared" ca="1" si="6"/>
        <v>1.037818035526927E-2</v>
      </c>
    </row>
    <row r="33" spans="1:12" ht="13.8" thickBot="1" x14ac:dyDescent="0.3">
      <c r="A33" s="12">
        <v>43859.666666666664</v>
      </c>
      <c r="B33" s="4">
        <v>33.01</v>
      </c>
      <c r="C33" s="2">
        <f ca="1">IFERROR(__xludf.DUMMYFUNCTION("""COMPUTED_VALUE"""),70.42)</f>
        <v>70.42</v>
      </c>
      <c r="D33" s="2">
        <f ca="1">IFERROR(__xludf.DUMMYFUNCTION("""COMPUTED_VALUE"""),326.62)</f>
        <v>326.62</v>
      </c>
      <c r="F33" s="16">
        <f t="shared" si="3"/>
        <v>-6.9434241221459332E-3</v>
      </c>
      <c r="G33" s="16">
        <f t="shared" ca="1" si="7"/>
        <v>-2.1278112858323507E-3</v>
      </c>
      <c r="H33" s="16">
        <f t="shared" ca="1" si="8"/>
        <v>-8.2630721905587953E-4</v>
      </c>
      <c r="J33" s="38">
        <f t="shared" si="9"/>
        <v>-6.9898526935745046E-3</v>
      </c>
      <c r="K33" s="38">
        <f t="shared" ca="1" si="9"/>
        <v>-2.1742398572609221E-3</v>
      </c>
      <c r="L33" s="38">
        <f t="shared" ca="1" si="9"/>
        <v>-8.7273579048445093E-4</v>
      </c>
    </row>
    <row r="34" spans="1:12" ht="13.8" thickBot="1" x14ac:dyDescent="0.3">
      <c r="A34" s="12">
        <v>43860.666666666664</v>
      </c>
      <c r="B34" s="4">
        <v>33.479999999999997</v>
      </c>
      <c r="C34" s="2">
        <f ca="1">IFERROR(__xludf.DUMMYFUNCTION("""COMPUTED_VALUE"""),68.74)</f>
        <v>68.739999999999995</v>
      </c>
      <c r="D34" s="2">
        <f ca="1">IFERROR(__xludf.DUMMYFUNCTION("""COMPUTED_VALUE"""),327.68)</f>
        <v>327.68</v>
      </c>
      <c r="F34" s="16">
        <f t="shared" si="3"/>
        <v>1.4137699756172949E-2</v>
      </c>
      <c r="G34" s="16">
        <f t="shared" ca="1" si="7"/>
        <v>-2.4146042305218711E-2</v>
      </c>
      <c r="H34" s="16">
        <f t="shared" ca="1" si="8"/>
        <v>3.2401067624911622E-3</v>
      </c>
      <c r="J34" s="38">
        <f t="shared" si="9"/>
        <v>1.4091271184744377E-2</v>
      </c>
      <c r="K34" s="38">
        <f t="shared" ca="1" si="9"/>
        <v>-2.4192470876647283E-2</v>
      </c>
      <c r="L34" s="38">
        <f t="shared" ca="1" si="9"/>
        <v>3.1936781910625908E-3</v>
      </c>
    </row>
    <row r="35" spans="1:12" ht="13.8" thickBot="1" x14ac:dyDescent="0.3">
      <c r="A35" s="12">
        <v>43861.666666666664</v>
      </c>
      <c r="B35" s="4">
        <v>32.83</v>
      </c>
      <c r="C35" s="2">
        <f ca="1">IFERROR(__xludf.DUMMYFUNCTION("""COMPUTED_VALUE"""),67.8)</f>
        <v>67.8</v>
      </c>
      <c r="D35" s="2">
        <f ca="1">IFERROR(__xludf.DUMMYFUNCTION("""COMPUTED_VALUE"""),321.73)</f>
        <v>321.73</v>
      </c>
      <c r="F35" s="16">
        <f t="shared" si="3"/>
        <v>-1.9605514107773277E-2</v>
      </c>
      <c r="G35" s="16">
        <f t="shared" ca="1" si="7"/>
        <v>-1.3769076475337936E-2</v>
      </c>
      <c r="H35" s="16">
        <f t="shared" ca="1" si="8"/>
        <v>-1.8324837929029017E-2</v>
      </c>
      <c r="J35" s="38">
        <f t="shared" si="9"/>
        <v>-1.965194267920185E-2</v>
      </c>
      <c r="K35" s="38">
        <f t="shared" ca="1" si="9"/>
        <v>-1.3815505046766508E-2</v>
      </c>
      <c r="L35" s="38">
        <f t="shared" ca="1" si="9"/>
        <v>-1.8371266500457589E-2</v>
      </c>
    </row>
    <row r="36" spans="1:12" ht="13.8" thickBot="1" x14ac:dyDescent="0.3">
      <c r="A36" s="12">
        <v>43864.666666666664</v>
      </c>
      <c r="B36" s="4">
        <v>32.97</v>
      </c>
      <c r="C36" s="2">
        <f ca="1">IFERROR(__xludf.DUMMYFUNCTION("""COMPUTED_VALUE"""),68.1)</f>
        <v>68.099999999999994</v>
      </c>
      <c r="D36" s="2">
        <f ca="1">IFERROR(__xludf.DUMMYFUNCTION("""COMPUTED_VALUE"""),324.12)</f>
        <v>324.12</v>
      </c>
      <c r="F36" s="16">
        <f t="shared" si="3"/>
        <v>4.255325570138491E-3</v>
      </c>
      <c r="G36" s="16">
        <f t="shared" ca="1" si="7"/>
        <v>4.4150182091166933E-3</v>
      </c>
      <c r="H36" s="16">
        <f t="shared" ca="1" si="8"/>
        <v>7.4011331104652861E-3</v>
      </c>
      <c r="J36" s="38">
        <f t="shared" si="9"/>
        <v>4.2088969987099196E-3</v>
      </c>
      <c r="K36" s="38">
        <f t="shared" ca="1" si="9"/>
        <v>4.3685896376881219E-3</v>
      </c>
      <c r="L36" s="38">
        <f t="shared" ca="1" si="9"/>
        <v>7.3547045390367147E-3</v>
      </c>
    </row>
    <row r="37" spans="1:12" ht="13.8" thickBot="1" x14ac:dyDescent="0.3">
      <c r="A37" s="12">
        <v>43865.666666666664</v>
      </c>
      <c r="B37" s="4">
        <v>33.619999999999997</v>
      </c>
      <c r="C37" s="2">
        <f ca="1">IFERROR(__xludf.DUMMYFUNCTION("""COMPUTED_VALUE"""),69.67)</f>
        <v>69.67</v>
      </c>
      <c r="D37" s="2">
        <f ca="1">IFERROR(__xludf.DUMMYFUNCTION("""COMPUTED_VALUE"""),329.06)</f>
        <v>329.06</v>
      </c>
      <c r="F37" s="16">
        <f t="shared" si="3"/>
        <v>1.9523070896829829E-2</v>
      </c>
      <c r="G37" s="16">
        <f t="shared" ca="1" si="7"/>
        <v>2.2792595886560879E-2</v>
      </c>
      <c r="H37" s="16">
        <f t="shared" ca="1" si="8"/>
        <v>1.512628736597954E-2</v>
      </c>
      <c r="J37" s="38">
        <f t="shared" si="9"/>
        <v>1.9476642325401257E-2</v>
      </c>
      <c r="K37" s="38">
        <f t="shared" ca="1" si="9"/>
        <v>2.2746167315132307E-2</v>
      </c>
      <c r="L37" s="38">
        <f t="shared" ca="1" si="9"/>
        <v>1.5079858794550968E-2</v>
      </c>
    </row>
    <row r="38" spans="1:12" ht="13.8" thickBot="1" x14ac:dyDescent="0.3">
      <c r="A38" s="12">
        <v>43866.666666666664</v>
      </c>
      <c r="B38" s="4">
        <v>34.71</v>
      </c>
      <c r="C38" s="2">
        <f ca="1">IFERROR(__xludf.DUMMYFUNCTION("""COMPUTED_VALUE"""),71.25)</f>
        <v>71.25</v>
      </c>
      <c r="D38" s="2">
        <f ca="1">IFERROR(__xludf.DUMMYFUNCTION("""COMPUTED_VALUE"""),332.86)</f>
        <v>332.86</v>
      </c>
      <c r="F38" s="16">
        <f t="shared" si="3"/>
        <v>3.1906701893225455E-2</v>
      </c>
      <c r="G38" s="16">
        <f t="shared" ca="1" si="7"/>
        <v>2.2425010106732274E-2</v>
      </c>
      <c r="H38" s="16">
        <f t="shared" ca="1" si="8"/>
        <v>1.148187620007645E-2</v>
      </c>
      <c r="J38" s="38">
        <f t="shared" si="9"/>
        <v>3.1860273321796882E-2</v>
      </c>
      <c r="K38" s="38">
        <f t="shared" ca="1" si="9"/>
        <v>2.2378581535303702E-2</v>
      </c>
      <c r="L38" s="38">
        <f t="shared" ca="1" si="9"/>
        <v>1.1435447628647878E-2</v>
      </c>
    </row>
    <row r="39" spans="1:12" ht="13.8" thickBot="1" x14ac:dyDescent="0.3">
      <c r="A39" s="12">
        <v>43867.666666666664</v>
      </c>
      <c r="B39" s="4">
        <v>34.67</v>
      </c>
      <c r="C39" s="2">
        <f ca="1">IFERROR(__xludf.DUMMYFUNCTION("""COMPUTED_VALUE"""),71.57)</f>
        <v>71.569999999999993</v>
      </c>
      <c r="D39" s="2">
        <f ca="1">IFERROR(__xludf.DUMMYFUNCTION("""COMPUTED_VALUE"""),333.98)</f>
        <v>333.98</v>
      </c>
      <c r="F39" s="16">
        <f t="shared" si="3"/>
        <v>-1.1530701767628101E-3</v>
      </c>
      <c r="G39" s="16">
        <f t="shared" ca="1" si="7"/>
        <v>4.4811726017462191E-3</v>
      </c>
      <c r="H39" s="16">
        <f t="shared" ca="1" si="8"/>
        <v>3.3591297857059428E-3</v>
      </c>
      <c r="J39" s="38">
        <f t="shared" si="9"/>
        <v>-1.1994987481913815E-3</v>
      </c>
      <c r="K39" s="38">
        <f t="shared" ca="1" si="9"/>
        <v>4.4347440303176477E-3</v>
      </c>
      <c r="L39" s="38">
        <f t="shared" ca="1" si="9"/>
        <v>3.3127012142773714E-3</v>
      </c>
    </row>
    <row r="40" spans="1:12" ht="13.8" thickBot="1" x14ac:dyDescent="0.3">
      <c r="A40" s="12">
        <v>43868.666666666664</v>
      </c>
      <c r="B40" s="4">
        <v>34.61</v>
      </c>
      <c r="C40" s="2">
        <f ca="1">IFERROR(__xludf.DUMMYFUNCTION("""COMPUTED_VALUE"""),72.05)</f>
        <v>72.05</v>
      </c>
      <c r="D40" s="2">
        <f ca="1">IFERROR(__xludf.DUMMYFUNCTION("""COMPUTED_VALUE"""),332.2)</f>
        <v>332.2</v>
      </c>
      <c r="F40" s="16">
        <f t="shared" si="3"/>
        <v>-1.7321020496792808E-3</v>
      </c>
      <c r="G40" s="16">
        <f t="shared" ca="1" si="7"/>
        <v>6.6843306950249608E-3</v>
      </c>
      <c r="H40" s="16">
        <f t="shared" ca="1" si="8"/>
        <v>-5.3439137650919373E-3</v>
      </c>
      <c r="J40" s="38">
        <f t="shared" si="9"/>
        <v>-1.7785306211078522E-3</v>
      </c>
      <c r="K40" s="38">
        <f t="shared" ca="1" si="9"/>
        <v>6.6379021235963894E-3</v>
      </c>
      <c r="L40" s="38">
        <f t="shared" ca="1" si="9"/>
        <v>-5.3903423365205087E-3</v>
      </c>
    </row>
    <row r="41" spans="1:12" ht="13.8" thickBot="1" x14ac:dyDescent="0.3">
      <c r="A41" s="12">
        <v>43871.666666666664</v>
      </c>
      <c r="B41" s="4">
        <v>34.69</v>
      </c>
      <c r="C41" s="2">
        <f ca="1">IFERROR(__xludf.DUMMYFUNCTION("""COMPUTED_VALUE"""),71.75)</f>
        <v>71.75</v>
      </c>
      <c r="D41" s="2">
        <f ca="1">IFERROR(__xludf.DUMMYFUNCTION("""COMPUTED_VALUE"""),334.68)</f>
        <v>334.68</v>
      </c>
      <c r="F41" s="16">
        <f t="shared" si="3"/>
        <v>2.3088033344053115E-3</v>
      </c>
      <c r="G41" s="16">
        <f t="shared" ca="1" si="7"/>
        <v>-4.1724678058005608E-3</v>
      </c>
      <c r="H41" s="16">
        <f t="shared" ca="1" si="8"/>
        <v>7.4376542482034232E-3</v>
      </c>
      <c r="J41" s="38">
        <f t="shared" si="9"/>
        <v>2.2623747629767401E-3</v>
      </c>
      <c r="K41" s="38">
        <f t="shared" ca="1" si="9"/>
        <v>-4.2188963772291322E-3</v>
      </c>
      <c r="L41" s="38">
        <f t="shared" ca="1" si="9"/>
        <v>7.3912256767748518E-3</v>
      </c>
    </row>
    <row r="42" spans="1:12" ht="13.8" thickBot="1" x14ac:dyDescent="0.3">
      <c r="A42" s="12">
        <v>43872.666666666664</v>
      </c>
      <c r="B42" s="4">
        <v>34.770000000000003</v>
      </c>
      <c r="C42" s="2">
        <f ca="1">IFERROR(__xludf.DUMMYFUNCTION("""COMPUTED_VALUE"""),72.19)</f>
        <v>72.19</v>
      </c>
      <c r="D42" s="2">
        <f ca="1">IFERROR(__xludf.DUMMYFUNCTION("""COMPUTED_VALUE"""),335.26)</f>
        <v>335.26</v>
      </c>
      <c r="F42" s="16">
        <f t="shared" si="3"/>
        <v>2.3034850381118471E-3</v>
      </c>
      <c r="G42" s="16">
        <f t="shared" ca="1" si="7"/>
        <v>6.113677511339035E-3</v>
      </c>
      <c r="H42" s="16">
        <f t="shared" ca="1" si="8"/>
        <v>1.7314987757339484E-3</v>
      </c>
      <c r="J42" s="38">
        <f t="shared" si="9"/>
        <v>2.2570564666832757E-3</v>
      </c>
      <c r="K42" s="38">
        <f t="shared" ca="1" si="9"/>
        <v>6.0672489399104636E-3</v>
      </c>
      <c r="L42" s="38">
        <f t="shared" ca="1" si="9"/>
        <v>1.685070204305377E-3</v>
      </c>
    </row>
    <row r="43" spans="1:12" ht="13.8" thickBot="1" x14ac:dyDescent="0.3">
      <c r="A43" s="12">
        <v>43873.666666666664</v>
      </c>
      <c r="B43" s="4">
        <v>34.92</v>
      </c>
      <c r="C43" s="2">
        <f ca="1">IFERROR(__xludf.DUMMYFUNCTION("""COMPUTED_VALUE"""),73.17)</f>
        <v>73.17</v>
      </c>
      <c r="D43" s="2">
        <f ca="1">IFERROR(__xludf.DUMMYFUNCTION("""COMPUTED_VALUE"""),337.42)</f>
        <v>337.42</v>
      </c>
      <c r="F43" s="16">
        <f t="shared" si="3"/>
        <v>4.3047849516313933E-3</v>
      </c>
      <c r="G43" s="16">
        <f t="shared" ca="1" si="7"/>
        <v>1.3483968744868954E-2</v>
      </c>
      <c r="H43" s="16">
        <f t="shared" ca="1" si="8"/>
        <v>6.422094974697104E-3</v>
      </c>
      <c r="J43" s="38">
        <f t="shared" si="9"/>
        <v>4.258356380202822E-3</v>
      </c>
      <c r="K43" s="38">
        <f t="shared" ca="1" si="9"/>
        <v>1.3437540173440381E-2</v>
      </c>
      <c r="L43" s="38">
        <f t="shared" ca="1" si="9"/>
        <v>6.3756664032685326E-3</v>
      </c>
    </row>
    <row r="44" spans="1:12" ht="13.8" thickBot="1" x14ac:dyDescent="0.3">
      <c r="A44" s="12">
        <v>43874.666666666664</v>
      </c>
      <c r="B44" s="4">
        <v>34.909999999999997</v>
      </c>
      <c r="C44" s="2">
        <f ca="1">IFERROR(__xludf.DUMMYFUNCTION("""COMPUTED_VALUE"""),72.88)</f>
        <v>72.88</v>
      </c>
      <c r="D44" s="2">
        <f ca="1">IFERROR(__xludf.DUMMYFUNCTION("""COMPUTED_VALUE"""),337.06)</f>
        <v>337.06</v>
      </c>
      <c r="F44" s="16">
        <f t="shared" si="3"/>
        <v>-2.8640985445690047E-4</v>
      </c>
      <c r="G44" s="16">
        <f t="shared" ca="1" si="7"/>
        <v>-3.9712479442357822E-3</v>
      </c>
      <c r="H44" s="16">
        <f t="shared" ca="1" si="8"/>
        <v>-1.0674891299548971E-3</v>
      </c>
      <c r="J44" s="38">
        <f t="shared" si="9"/>
        <v>-3.3283842588547187E-4</v>
      </c>
      <c r="K44" s="38">
        <f t="shared" ca="1" si="9"/>
        <v>-4.0176765156643536E-3</v>
      </c>
      <c r="L44" s="38">
        <f t="shared" ca="1" si="9"/>
        <v>-1.1139177013834685E-3</v>
      </c>
    </row>
    <row r="45" spans="1:12" ht="13.8" thickBot="1" x14ac:dyDescent="0.3">
      <c r="A45" s="12">
        <v>43875.666666666664</v>
      </c>
      <c r="B45" s="4">
        <v>34.85</v>
      </c>
      <c r="C45" s="2">
        <f ca="1">IFERROR(__xludf.DUMMYFUNCTION("""COMPUTED_VALUE"""),72.75)</f>
        <v>72.75</v>
      </c>
      <c r="D45" s="2">
        <f ca="1">IFERROR(__xludf.DUMMYFUNCTION("""COMPUTED_VALUE"""),337.6)</f>
        <v>337.6</v>
      </c>
      <c r="F45" s="16">
        <f t="shared" si="3"/>
        <v>-1.7201839104116524E-3</v>
      </c>
      <c r="G45" s="16">
        <f t="shared" ca="1" si="7"/>
        <v>-1.7853469001008957E-3</v>
      </c>
      <c r="H45" s="16">
        <f t="shared" ca="1" si="8"/>
        <v>1.600806673928127E-3</v>
      </c>
      <c r="J45" s="38">
        <f t="shared" si="9"/>
        <v>-1.7666124818402238E-3</v>
      </c>
      <c r="K45" s="38">
        <f t="shared" ca="1" si="9"/>
        <v>-1.8317754715294671E-3</v>
      </c>
      <c r="L45" s="38">
        <f t="shared" ca="1" si="9"/>
        <v>1.5543781024995556E-3</v>
      </c>
    </row>
    <row r="46" spans="1:12" ht="13.8" thickBot="1" x14ac:dyDescent="0.3">
      <c r="A46" s="12">
        <v>43879.666666666664</v>
      </c>
      <c r="B46" s="4">
        <v>34.270000000000003</v>
      </c>
      <c r="C46" s="2">
        <f ca="1">IFERROR(__xludf.DUMMYFUNCTION("""COMPUTED_VALUE"""),73.12)</f>
        <v>73.12</v>
      </c>
      <c r="D46" s="2">
        <f ca="1">IFERROR(__xludf.DUMMYFUNCTION("""COMPUTED_VALUE"""),336.73)</f>
        <v>336.73</v>
      </c>
      <c r="F46" s="16">
        <f t="shared" si="3"/>
        <v>-1.6782801320015389E-2</v>
      </c>
      <c r="G46" s="16">
        <f t="shared" ca="1" si="7"/>
        <v>5.0730210942927885E-3</v>
      </c>
      <c r="H46" s="16">
        <f t="shared" ca="1" si="8"/>
        <v>-2.5803404348503393E-3</v>
      </c>
      <c r="J46" s="38">
        <f t="shared" si="9"/>
        <v>-1.6829229891443961E-2</v>
      </c>
      <c r="K46" s="38">
        <f t="shared" ca="1" si="9"/>
        <v>5.0265925228642171E-3</v>
      </c>
      <c r="L46" s="38">
        <f t="shared" ca="1" si="9"/>
        <v>-2.6267690062789107E-3</v>
      </c>
    </row>
    <row r="47" spans="1:12" ht="13.8" thickBot="1" x14ac:dyDescent="0.3">
      <c r="A47" s="12">
        <v>43880.666666666664</v>
      </c>
      <c r="B47" s="4">
        <v>34.72</v>
      </c>
      <c r="C47" s="2">
        <f ca="1">IFERROR(__xludf.DUMMYFUNCTION("""COMPUTED_VALUE"""),71.79)</f>
        <v>71.790000000000006</v>
      </c>
      <c r="D47" s="2">
        <f ca="1">IFERROR(__xludf.DUMMYFUNCTION("""COMPUTED_VALUE"""),338.34)</f>
        <v>338.34</v>
      </c>
      <c r="F47" s="16">
        <f t="shared" si="3"/>
        <v>1.3045553905631896E-2</v>
      </c>
      <c r="G47" s="16">
        <f t="shared" ca="1" si="7"/>
        <v>-1.8356736557502924E-2</v>
      </c>
      <c r="H47" s="16">
        <f t="shared" ca="1" si="8"/>
        <v>4.7698847601938162E-3</v>
      </c>
      <c r="J47" s="38">
        <f t="shared" si="9"/>
        <v>1.2999125334203323E-2</v>
      </c>
      <c r="K47" s="38">
        <f t="shared" ca="1" si="9"/>
        <v>-1.8403165128931497E-2</v>
      </c>
      <c r="L47" s="38">
        <f t="shared" ca="1" si="9"/>
        <v>4.7234561887652448E-3</v>
      </c>
    </row>
    <row r="48" spans="1:12" ht="13.8" thickBot="1" x14ac:dyDescent="0.3">
      <c r="A48" s="12">
        <v>43881.666666666664</v>
      </c>
      <c r="B48" s="4">
        <v>34.85</v>
      </c>
      <c r="C48" s="2">
        <f ca="1">IFERROR(__xludf.DUMMYFUNCTION("""COMPUTED_VALUE"""),72.43)</f>
        <v>72.430000000000007</v>
      </c>
      <c r="D48" s="2">
        <f ca="1">IFERROR(__xludf.DUMMYFUNCTION("""COMPUTED_VALUE"""),336.95)</f>
        <v>336.95</v>
      </c>
      <c r="F48" s="16">
        <f t="shared" si="3"/>
        <v>3.7372474143835851E-3</v>
      </c>
      <c r="G48" s="16">
        <f t="shared" ca="1" si="7"/>
        <v>8.8753876188430239E-3</v>
      </c>
      <c r="H48" s="16">
        <f t="shared" ca="1" si="8"/>
        <v>-4.1167556549196573E-3</v>
      </c>
      <c r="J48" s="38">
        <f t="shared" si="9"/>
        <v>3.6908188429550137E-3</v>
      </c>
      <c r="K48" s="38">
        <f t="shared" ca="1" si="9"/>
        <v>8.8289590474144516E-3</v>
      </c>
      <c r="L48" s="38">
        <f t="shared" ca="1" si="9"/>
        <v>-4.1631842263482287E-3</v>
      </c>
    </row>
    <row r="49" spans="1:12" ht="13.8" thickBot="1" x14ac:dyDescent="0.3">
      <c r="A49" s="12">
        <v>43882.666666666664</v>
      </c>
      <c r="B49" s="4">
        <v>34.36</v>
      </c>
      <c r="C49" s="2">
        <f ca="1">IFERROR(__xludf.DUMMYFUNCTION("""COMPUTED_VALUE"""),71.82)</f>
        <v>71.819999999999993</v>
      </c>
      <c r="D49" s="2">
        <f ca="1">IFERROR(__xludf.DUMMYFUNCTION("""COMPUTED_VALUE"""),333.48)</f>
        <v>333.48</v>
      </c>
      <c r="F49" s="16">
        <f t="shared" si="3"/>
        <v>-1.4160040090478361E-2</v>
      </c>
      <c r="G49" s="16">
        <f t="shared" ca="1" si="7"/>
        <v>-8.4575894092980778E-3</v>
      </c>
      <c r="H49" s="16">
        <f t="shared" ca="1" si="8"/>
        <v>-1.0351657849813289E-2</v>
      </c>
      <c r="J49" s="38">
        <f t="shared" si="9"/>
        <v>-1.4206468661906934E-2</v>
      </c>
      <c r="K49" s="38">
        <f t="shared" ca="1" si="9"/>
        <v>-8.5040179807266501E-3</v>
      </c>
      <c r="L49" s="38">
        <f t="shared" ca="1" si="9"/>
        <v>-1.0398086421241862E-2</v>
      </c>
    </row>
    <row r="50" spans="1:12" ht="13.8" thickBot="1" x14ac:dyDescent="0.3">
      <c r="A50" s="12">
        <v>43885.666666666664</v>
      </c>
      <c r="B50" s="4">
        <v>32.729999999999997</v>
      </c>
      <c r="C50" s="2">
        <f ca="1">IFERROR(__xludf.DUMMYFUNCTION("""COMPUTED_VALUE"""),70.87)</f>
        <v>70.87</v>
      </c>
      <c r="D50" s="2">
        <f ca="1">IFERROR(__xludf.DUMMYFUNCTION("""COMPUTED_VALUE"""),322.42)</f>
        <v>322.42</v>
      </c>
      <c r="F50" s="16">
        <f t="shared" si="3"/>
        <v>-4.8601008602965588E-2</v>
      </c>
      <c r="G50" s="16">
        <f t="shared" ca="1" si="7"/>
        <v>-1.331577597577195E-2</v>
      </c>
      <c r="H50" s="16">
        <f t="shared" ca="1" si="8"/>
        <v>-3.3727850094560217E-2</v>
      </c>
      <c r="J50" s="38">
        <f t="shared" si="9"/>
        <v>-4.8647437174394161E-2</v>
      </c>
      <c r="K50" s="38">
        <f t="shared" ca="1" si="9"/>
        <v>-1.3362204547200522E-2</v>
      </c>
      <c r="L50" s="38">
        <f t="shared" ca="1" si="9"/>
        <v>-3.377427866598879E-2</v>
      </c>
    </row>
    <row r="51" spans="1:12" ht="13.8" thickBot="1" x14ac:dyDescent="0.3">
      <c r="A51" s="12">
        <v>43886.666666666664</v>
      </c>
      <c r="B51" s="4">
        <v>31.08</v>
      </c>
      <c r="C51" s="2">
        <f ca="1">IFERROR(__xludf.DUMMYFUNCTION("""COMPUTED_VALUE"""),67.3)</f>
        <v>67.3</v>
      </c>
      <c r="D51" s="2">
        <f ca="1">IFERROR(__xludf.DUMMYFUNCTION("""COMPUTED_VALUE"""),312.65)</f>
        <v>312.64999999999998</v>
      </c>
      <c r="F51" s="16">
        <f t="shared" si="3"/>
        <v>-5.1727563013642383E-2</v>
      </c>
      <c r="G51" s="16">
        <f t="shared" ca="1" si="7"/>
        <v>-5.1686976171482657E-2</v>
      </c>
      <c r="H51" s="16">
        <f t="shared" ca="1" si="8"/>
        <v>-3.0770689434545594E-2</v>
      </c>
      <c r="J51" s="38">
        <f t="shared" si="9"/>
        <v>-5.1773991585070955E-2</v>
      </c>
      <c r="K51" s="38">
        <f t="shared" ca="1" si="9"/>
        <v>-5.1733404742911229E-2</v>
      </c>
      <c r="L51" s="38">
        <f t="shared" ca="1" si="9"/>
        <v>-3.0817118005974167E-2</v>
      </c>
    </row>
    <row r="52" spans="1:12" ht="13.8" thickBot="1" x14ac:dyDescent="0.3">
      <c r="A52" s="12">
        <v>43887.666666666664</v>
      </c>
      <c r="B52" s="4">
        <v>30.63</v>
      </c>
      <c r="C52" s="2">
        <f ca="1">IFERROR(__xludf.DUMMYFUNCTION("""COMPUTED_VALUE"""),65.94)</f>
        <v>65.94</v>
      </c>
      <c r="D52" s="2">
        <f ca="1">IFERROR(__xludf.DUMMYFUNCTION("""COMPUTED_VALUE"""),311.5)</f>
        <v>311.5</v>
      </c>
      <c r="F52" s="16">
        <f t="shared" si="3"/>
        <v>-1.458460465476284E-2</v>
      </c>
      <c r="G52" s="16">
        <f t="shared" ca="1" si="7"/>
        <v>-2.0414999007097166E-2</v>
      </c>
      <c r="H52" s="16">
        <f t="shared" ca="1" si="8"/>
        <v>-3.6850157857990506E-3</v>
      </c>
      <c r="J52" s="38">
        <f t="shared" si="9"/>
        <v>-1.4631033226191413E-2</v>
      </c>
      <c r="K52" s="38">
        <f t="shared" ca="1" si="9"/>
        <v>-2.0461427578525739E-2</v>
      </c>
      <c r="L52" s="38">
        <f t="shared" ca="1" si="9"/>
        <v>-3.731444357227622E-3</v>
      </c>
    </row>
    <row r="53" spans="1:12" ht="13.8" thickBot="1" x14ac:dyDescent="0.3">
      <c r="A53" s="12">
        <v>43888.666666666664</v>
      </c>
      <c r="B53" s="4">
        <v>29.13</v>
      </c>
      <c r="C53" s="2">
        <f ca="1">IFERROR(__xludf.DUMMYFUNCTION("""COMPUTED_VALUE"""),64.42)</f>
        <v>64.42</v>
      </c>
      <c r="D53" s="2">
        <f ca="1">IFERROR(__xludf.DUMMYFUNCTION("""COMPUTED_VALUE"""),297.51)</f>
        <v>297.51</v>
      </c>
      <c r="F53" s="16">
        <f t="shared" si="3"/>
        <v>-5.0211349873340624E-2</v>
      </c>
      <c r="G53" s="16">
        <f t="shared" ca="1" si="7"/>
        <v>-2.3321093740532126E-2</v>
      </c>
      <c r="H53" s="16">
        <f t="shared" ca="1" si="8"/>
        <v>-4.5951500361364486E-2</v>
      </c>
      <c r="J53" s="38">
        <f t="shared" si="9"/>
        <v>-5.0257778444769197E-2</v>
      </c>
      <c r="K53" s="38">
        <f t="shared" ca="1" si="9"/>
        <v>-2.3367522311960699E-2</v>
      </c>
      <c r="L53" s="38">
        <f t="shared" ca="1" si="9"/>
        <v>-4.5997928932793058E-2</v>
      </c>
    </row>
    <row r="54" spans="1:12" ht="13.8" thickBot="1" x14ac:dyDescent="0.3">
      <c r="A54" s="12">
        <v>43889.666666666664</v>
      </c>
      <c r="B54" s="4">
        <v>28.5</v>
      </c>
      <c r="C54" s="2">
        <f ca="1">IFERROR(__xludf.DUMMYFUNCTION("""COMPUTED_VALUE"""),59.94)</f>
        <v>59.94</v>
      </c>
      <c r="D54" s="2">
        <f ca="1">IFERROR(__xludf.DUMMYFUNCTION("""COMPUTED_VALUE"""),296.26)</f>
        <v>296.26</v>
      </c>
      <c r="F54" s="16">
        <f t="shared" si="3"/>
        <v>-2.18644836967384E-2</v>
      </c>
      <c r="G54" s="16">
        <f t="shared" ca="1" si="7"/>
        <v>-7.208008201453564E-2</v>
      </c>
      <c r="H54" s="16">
        <f t="shared" ca="1" si="8"/>
        <v>-4.2103907122373373E-3</v>
      </c>
      <c r="J54" s="38">
        <f t="shared" si="9"/>
        <v>-2.1910912268166972E-2</v>
      </c>
      <c r="K54" s="38">
        <f t="shared" ca="1" si="9"/>
        <v>-7.2126510585964212E-2</v>
      </c>
      <c r="L54" s="38">
        <f t="shared" ca="1" si="9"/>
        <v>-4.2568192836659087E-3</v>
      </c>
    </row>
    <row r="55" spans="1:12" ht="13.8" thickBot="1" x14ac:dyDescent="0.3">
      <c r="A55" s="12">
        <v>43892.666666666664</v>
      </c>
      <c r="B55" s="4">
        <v>29.37</v>
      </c>
      <c r="C55" s="2">
        <f ca="1">IFERROR(__xludf.DUMMYFUNCTION("""COMPUTED_VALUE"""),57.62)</f>
        <v>57.62</v>
      </c>
      <c r="D55" s="2">
        <f ca="1">IFERROR(__xludf.DUMMYFUNCTION("""COMPUTED_VALUE"""),309.09)</f>
        <v>309.08999999999997</v>
      </c>
      <c r="F55" s="16">
        <f t="shared" si="3"/>
        <v>3.0069657935923914E-2</v>
      </c>
      <c r="G55" s="16">
        <f t="shared" ca="1" si="7"/>
        <v>-3.9474332232134743E-2</v>
      </c>
      <c r="H55" s="16">
        <f t="shared" ca="1" si="8"/>
        <v>4.2395049471180134E-2</v>
      </c>
      <c r="J55" s="38">
        <f t="shared" si="9"/>
        <v>3.0023229364495342E-2</v>
      </c>
      <c r="K55" s="38">
        <f t="shared" ca="1" si="9"/>
        <v>-3.9520760803563315E-2</v>
      </c>
      <c r="L55" s="38">
        <f t="shared" ca="1" si="9"/>
        <v>4.2348620899751561E-2</v>
      </c>
    </row>
    <row r="56" spans="1:12" ht="13.8" thickBot="1" x14ac:dyDescent="0.3">
      <c r="A56" s="12">
        <v>43893.666666666664</v>
      </c>
      <c r="B56" s="4">
        <v>27.75</v>
      </c>
      <c r="C56" s="2">
        <f ca="1">IFERROR(__xludf.DUMMYFUNCTION("""COMPUTED_VALUE"""),58.33)</f>
        <v>58.33</v>
      </c>
      <c r="D56" s="2">
        <f ca="1">IFERROR(__xludf.DUMMYFUNCTION("""COMPUTED_VALUE"""),300.24)</f>
        <v>300.24</v>
      </c>
      <c r="F56" s="16">
        <f t="shared" si="3"/>
        <v>-5.6737905018085184E-2</v>
      </c>
      <c r="G56" s="16">
        <f t="shared" ca="1" si="7"/>
        <v>1.2246811109163824E-2</v>
      </c>
      <c r="H56" s="16">
        <f t="shared" ca="1" si="8"/>
        <v>-2.9050341798320847E-2</v>
      </c>
      <c r="J56" s="38">
        <f t="shared" si="9"/>
        <v>-5.6784333589513757E-2</v>
      </c>
      <c r="K56" s="38">
        <f t="shared" ca="1" si="9"/>
        <v>1.2200382537735251E-2</v>
      </c>
      <c r="L56" s="38">
        <f t="shared" ca="1" si="9"/>
        <v>-2.909677036974942E-2</v>
      </c>
    </row>
    <row r="57" spans="1:12" ht="13.8" thickBot="1" x14ac:dyDescent="0.3">
      <c r="A57" s="12">
        <v>43894.666666666664</v>
      </c>
      <c r="B57" s="4">
        <v>28.39</v>
      </c>
      <c r="C57" s="2">
        <f ca="1">IFERROR(__xludf.DUMMYFUNCTION("""COMPUTED_VALUE"""),59.27)</f>
        <v>59.27</v>
      </c>
      <c r="D57" s="2">
        <f ca="1">IFERROR(__xludf.DUMMYFUNCTION("""COMPUTED_VALUE"""),312.86)</f>
        <v>312.86</v>
      </c>
      <c r="F57" s="16">
        <f t="shared" si="3"/>
        <v>2.280113029243629E-2</v>
      </c>
      <c r="G57" s="16">
        <f t="shared" ca="1" si="7"/>
        <v>1.5986735034200728E-2</v>
      </c>
      <c r="H57" s="16">
        <f t="shared" ca="1" si="8"/>
        <v>4.1173651306858822E-2</v>
      </c>
      <c r="J57" s="38">
        <f t="shared" si="9"/>
        <v>2.2754701721007718E-2</v>
      </c>
      <c r="K57" s="38">
        <f t="shared" ca="1" si="9"/>
        <v>1.5940306462772155E-2</v>
      </c>
      <c r="L57" s="38">
        <f t="shared" ca="1" si="9"/>
        <v>4.1127222735430249E-2</v>
      </c>
    </row>
    <row r="58" spans="1:12" ht="13.8" thickBot="1" x14ac:dyDescent="0.3">
      <c r="A58" s="12">
        <v>43895.666666666664</v>
      </c>
      <c r="B58" s="4">
        <v>26.78</v>
      </c>
      <c r="C58" s="2">
        <f ca="1">IFERROR(__xludf.DUMMYFUNCTION("""COMPUTED_VALUE"""),58.6)</f>
        <v>58.6</v>
      </c>
      <c r="D58" s="2">
        <f ca="1">IFERROR(__xludf.DUMMYFUNCTION("""COMPUTED_VALUE"""),302.46)</f>
        <v>302.45999999999998</v>
      </c>
      <c r="F58" s="16">
        <f t="shared" si="3"/>
        <v>-5.8381630221853352E-2</v>
      </c>
      <c r="G58" s="16">
        <f t="shared" ca="1" si="7"/>
        <v>-1.1368579216779934E-2</v>
      </c>
      <c r="H58" s="16">
        <f t="shared" ca="1" si="8"/>
        <v>-3.3806768811029911E-2</v>
      </c>
      <c r="J58" s="38">
        <f t="shared" si="9"/>
        <v>-5.8428058793281924E-2</v>
      </c>
      <c r="K58" s="38">
        <f t="shared" ca="1" si="9"/>
        <v>-1.1415007788208507E-2</v>
      </c>
      <c r="L58" s="38">
        <f t="shared" ca="1" si="9"/>
        <v>-3.3853197382458483E-2</v>
      </c>
    </row>
    <row r="59" spans="1:12" ht="13.8" thickBot="1" x14ac:dyDescent="0.3">
      <c r="A59" s="12">
        <v>43896.666666666664</v>
      </c>
      <c r="B59" s="4">
        <v>25.71</v>
      </c>
      <c r="C59" s="2">
        <f ca="1">IFERROR(__xludf.DUMMYFUNCTION("""COMPUTED_VALUE"""),57.88)</f>
        <v>57.88</v>
      </c>
      <c r="D59" s="2">
        <f ca="1">IFERROR(__xludf.DUMMYFUNCTION("""COMPUTED_VALUE"""),297.46)</f>
        <v>297.45999999999998</v>
      </c>
      <c r="F59" s="16">
        <f t="shared" si="3"/>
        <v>-4.0775318985228341E-2</v>
      </c>
      <c r="G59" s="16">
        <f t="shared" ca="1" si="7"/>
        <v>-1.2362794819683757E-2</v>
      </c>
      <c r="H59" s="16">
        <f t="shared" ca="1" si="8"/>
        <v>-1.6669275158142611E-2</v>
      </c>
      <c r="J59" s="38">
        <f t="shared" si="9"/>
        <v>-4.0821747556656914E-2</v>
      </c>
      <c r="K59" s="38">
        <f t="shared" ca="1" si="9"/>
        <v>-1.2409223391112329E-2</v>
      </c>
      <c r="L59" s="38">
        <f t="shared" ca="1" si="9"/>
        <v>-1.6715703729571183E-2</v>
      </c>
    </row>
    <row r="60" spans="1:12" ht="13.8" thickBot="1" x14ac:dyDescent="0.3">
      <c r="A60" s="12">
        <v>43899.666666666664</v>
      </c>
      <c r="B60" s="4">
        <v>21.93</v>
      </c>
      <c r="C60" s="2">
        <f ca="1">IFERROR(__xludf.DUMMYFUNCTION("""COMPUTED_VALUE"""),53.85)</f>
        <v>53.85</v>
      </c>
      <c r="D60" s="2">
        <f ca="1">IFERROR(__xludf.DUMMYFUNCTION("""COMPUTED_VALUE"""),274.23)</f>
        <v>274.23</v>
      </c>
      <c r="F60" s="16">
        <f t="shared" si="3"/>
        <v>-0.15902445884800132</v>
      </c>
      <c r="G60" s="16">
        <f t="shared" ca="1" si="7"/>
        <v>-7.2169498160885567E-2</v>
      </c>
      <c r="H60" s="16">
        <f t="shared" ca="1" si="8"/>
        <v>-8.1312591830614719E-2</v>
      </c>
      <c r="J60" s="38">
        <f t="shared" si="9"/>
        <v>-0.15907088741942987</v>
      </c>
      <c r="K60" s="38">
        <f t="shared" ca="1" si="9"/>
        <v>-7.221592673231414E-2</v>
      </c>
      <c r="L60" s="38">
        <f t="shared" ca="1" si="9"/>
        <v>-8.1359020402043292E-2</v>
      </c>
    </row>
    <row r="61" spans="1:12" ht="13.8" thickBot="1" x14ac:dyDescent="0.3">
      <c r="A61" s="12">
        <v>43900.666666666664</v>
      </c>
      <c r="B61" s="4">
        <v>23.61</v>
      </c>
      <c r="C61" s="2">
        <f ca="1">IFERROR(__xludf.DUMMYFUNCTION("""COMPUTED_VALUE"""),46.74)</f>
        <v>46.74</v>
      </c>
      <c r="D61" s="2">
        <f ca="1">IFERROR(__xludf.DUMMYFUNCTION("""COMPUTED_VALUE"""),288.42)</f>
        <v>288.42</v>
      </c>
      <c r="F61" s="16">
        <f t="shared" si="3"/>
        <v>7.3814788667624615E-2</v>
      </c>
      <c r="G61" s="16">
        <f t="shared" ca="1" si="7"/>
        <v>-0.1416020744916856</v>
      </c>
      <c r="H61" s="16">
        <f t="shared" ca="1" si="8"/>
        <v>5.0450580800087193E-2</v>
      </c>
      <c r="J61" s="38">
        <f t="shared" si="9"/>
        <v>7.3768360096196042E-2</v>
      </c>
      <c r="K61" s="38">
        <f t="shared" ca="1" si="9"/>
        <v>-0.14164850306311416</v>
      </c>
      <c r="L61" s="38">
        <f t="shared" ca="1" si="9"/>
        <v>5.040415222865862E-2</v>
      </c>
    </row>
    <row r="62" spans="1:12" ht="13.8" thickBot="1" x14ac:dyDescent="0.3">
      <c r="A62" s="12">
        <v>43901.666666666664</v>
      </c>
      <c r="B62" s="4">
        <v>22.67</v>
      </c>
      <c r="C62" s="2">
        <f ca="1">IFERROR(__xludf.DUMMYFUNCTION("""COMPUTED_VALUE"""),46.12)</f>
        <v>46.12</v>
      </c>
      <c r="D62" s="2">
        <f ca="1">IFERROR(__xludf.DUMMYFUNCTION("""COMPUTED_VALUE"""),274.36)</f>
        <v>274.36</v>
      </c>
      <c r="F62" s="16">
        <f t="shared" si="3"/>
        <v>-4.0627886577983795E-2</v>
      </c>
      <c r="G62" s="16">
        <f t="shared" ca="1" si="7"/>
        <v>-1.3353633709853752E-2</v>
      </c>
      <c r="H62" s="16">
        <f t="shared" ca="1" si="8"/>
        <v>-4.9976638502803712E-2</v>
      </c>
      <c r="J62" s="38">
        <f t="shared" si="9"/>
        <v>-4.0674315149412367E-2</v>
      </c>
      <c r="K62" s="38">
        <f t="shared" ca="1" si="9"/>
        <v>-1.3400062281282325E-2</v>
      </c>
      <c r="L62" s="38">
        <f t="shared" ca="1" si="9"/>
        <v>-5.0023067074232284E-2</v>
      </c>
    </row>
    <row r="63" spans="1:12" ht="13.8" thickBot="1" x14ac:dyDescent="0.3">
      <c r="A63" s="12">
        <v>43902.666666666664</v>
      </c>
      <c r="B63" s="4">
        <v>20.51</v>
      </c>
      <c r="C63" s="2">
        <f ca="1">IFERROR(__xludf.DUMMYFUNCTION("""COMPUTED_VALUE"""),47.45)</f>
        <v>47.45</v>
      </c>
      <c r="D63" s="2">
        <f ca="1">IFERROR(__xludf.DUMMYFUNCTION("""COMPUTED_VALUE"""),248.11)</f>
        <v>248.11</v>
      </c>
      <c r="F63" s="16">
        <f t="shared" si="3"/>
        <v>-0.10012989243514835</v>
      </c>
      <c r="G63" s="16">
        <f t="shared" ca="1" si="7"/>
        <v>2.8429829655078731E-2</v>
      </c>
      <c r="H63" s="16">
        <f t="shared" ca="1" si="8"/>
        <v>-0.10056891641755006</v>
      </c>
      <c r="J63" s="38">
        <f t="shared" si="9"/>
        <v>-0.10017632100657692</v>
      </c>
      <c r="K63" s="38">
        <f t="shared" ca="1" si="9"/>
        <v>2.8383401083650159E-2</v>
      </c>
      <c r="L63" s="38">
        <f t="shared" ca="1" si="9"/>
        <v>-0.10061534498897863</v>
      </c>
    </row>
    <row r="64" spans="1:12" ht="13.8" thickBot="1" x14ac:dyDescent="0.3">
      <c r="A64" s="12">
        <v>43903.666666666664</v>
      </c>
      <c r="B64" s="4">
        <v>24.16</v>
      </c>
      <c r="C64" s="2">
        <f ca="1">IFERROR(__xludf.DUMMYFUNCTION("""COMPUTED_VALUE"""),39.8)</f>
        <v>39.799999999999997</v>
      </c>
      <c r="D64" s="2">
        <f ca="1">IFERROR(__xludf.DUMMYFUNCTION("""COMPUTED_VALUE"""),269.32)</f>
        <v>269.32</v>
      </c>
      <c r="F64" s="16">
        <f t="shared" si="3"/>
        <v>0.16378580098232493</v>
      </c>
      <c r="G64" s="16">
        <f t="shared" ca="1" si="7"/>
        <v>-0.17580961276554502</v>
      </c>
      <c r="H64" s="16">
        <f t="shared" ca="1" si="8"/>
        <v>8.2028067463509408E-2</v>
      </c>
      <c r="J64" s="38">
        <f t="shared" si="9"/>
        <v>0.16373937241089637</v>
      </c>
      <c r="K64" s="38">
        <f t="shared" ca="1" si="9"/>
        <v>-0.17585604133697358</v>
      </c>
      <c r="L64" s="38">
        <f t="shared" ca="1" si="9"/>
        <v>8.1981638892080835E-2</v>
      </c>
    </row>
    <row r="65" spans="1:12" ht="13.8" thickBot="1" x14ac:dyDescent="0.3">
      <c r="A65" s="12">
        <v>43906.666666666664</v>
      </c>
      <c r="B65" s="4">
        <v>20.440000000000001</v>
      </c>
      <c r="C65" s="2">
        <f ca="1">IFERROR(__xludf.DUMMYFUNCTION("""COMPUTED_VALUE"""),41.44)</f>
        <v>41.44</v>
      </c>
      <c r="D65" s="2">
        <f ca="1">IFERROR(__xludf.DUMMYFUNCTION("""COMPUTED_VALUE"""),239.85)</f>
        <v>239.85</v>
      </c>
      <c r="F65" s="16">
        <f t="shared" si="3"/>
        <v>-0.16720460773111046</v>
      </c>
      <c r="G65" s="16">
        <f t="shared" ca="1" si="7"/>
        <v>4.0379685660835579E-2</v>
      </c>
      <c r="H65" s="16">
        <f t="shared" ca="1" si="8"/>
        <v>-0.11588653572900726</v>
      </c>
      <c r="J65" s="38">
        <f t="shared" si="9"/>
        <v>-0.16725103630253901</v>
      </c>
      <c r="K65" s="38">
        <f t="shared" ca="1" si="9"/>
        <v>4.0333257089407007E-2</v>
      </c>
      <c r="L65" s="38">
        <f t="shared" ca="1" si="9"/>
        <v>-0.11593296430043583</v>
      </c>
    </row>
    <row r="66" spans="1:12" ht="13.8" thickBot="1" x14ac:dyDescent="0.3">
      <c r="A66" s="12">
        <v>43907.666666666664</v>
      </c>
      <c r="B66" s="4">
        <v>21.98</v>
      </c>
      <c r="C66" s="2">
        <f ca="1">IFERROR(__xludf.DUMMYFUNCTION("""COMPUTED_VALUE"""),38.03)</f>
        <v>38.03</v>
      </c>
      <c r="D66" s="2">
        <f ca="1">IFERROR(__xludf.DUMMYFUNCTION("""COMPUTED_VALUE"""),252.8)</f>
        <v>252.8</v>
      </c>
      <c r="F66" s="16">
        <f t="shared" si="3"/>
        <v>7.2639183639971489E-2</v>
      </c>
      <c r="G66" s="16">
        <f t="shared" ca="1" si="7"/>
        <v>-8.5871276011059261E-2</v>
      </c>
      <c r="H66" s="16">
        <f t="shared" ca="1" si="8"/>
        <v>5.2584934324629587E-2</v>
      </c>
      <c r="J66" s="38">
        <f t="shared" si="9"/>
        <v>7.2592755068542916E-2</v>
      </c>
      <c r="K66" s="38">
        <f t="shared" ca="1" si="9"/>
        <v>-8.5917704582487833E-2</v>
      </c>
      <c r="L66" s="38">
        <f t="shared" ca="1" si="9"/>
        <v>5.2538505753201015E-2</v>
      </c>
    </row>
    <row r="67" spans="1:12" ht="13.8" thickBot="1" x14ac:dyDescent="0.3">
      <c r="A67" s="12">
        <v>43908.666666666664</v>
      </c>
      <c r="B67" s="4">
        <v>20.79</v>
      </c>
      <c r="C67" s="2">
        <f ca="1">IFERROR(__xludf.DUMMYFUNCTION("""COMPUTED_VALUE"""),38.37)</f>
        <v>38.369999999999997</v>
      </c>
      <c r="D67" s="2">
        <f ca="1">IFERROR(__xludf.DUMMYFUNCTION("""COMPUTED_VALUE"""),240)</f>
        <v>240</v>
      </c>
      <c r="F67" s="16">
        <f t="shared" si="3"/>
        <v>-5.5660847105553857E-2</v>
      </c>
      <c r="G67" s="16">
        <f t="shared" ca="1" si="7"/>
        <v>8.9005823186926788E-3</v>
      </c>
      <c r="H67" s="16">
        <f t="shared" ca="1" si="8"/>
        <v>-5.1959738930711104E-2</v>
      </c>
      <c r="J67" s="38">
        <f t="shared" si="9"/>
        <v>-5.5707275676982429E-2</v>
      </c>
      <c r="K67" s="38">
        <f t="shared" ca="1" si="9"/>
        <v>8.8541537472641065E-3</v>
      </c>
      <c r="L67" s="38">
        <f t="shared" ca="1" si="9"/>
        <v>-5.2006167502139676E-2</v>
      </c>
    </row>
    <row r="68" spans="1:12" ht="13.8" thickBot="1" x14ac:dyDescent="0.3">
      <c r="A68" s="12">
        <v>43909.666666666664</v>
      </c>
      <c r="B68" s="4">
        <v>21.2</v>
      </c>
      <c r="C68" s="2">
        <f ca="1">IFERROR(__xludf.DUMMYFUNCTION("""COMPUTED_VALUE"""),32.28)</f>
        <v>32.28</v>
      </c>
      <c r="D68" s="2">
        <f ca="1">IFERROR(__xludf.DUMMYFUNCTION("""COMPUTED_VALUE"""),240.51)</f>
        <v>240.51</v>
      </c>
      <c r="F68" s="16">
        <f t="shared" si="3"/>
        <v>1.9529079808045295E-2</v>
      </c>
      <c r="G68" s="16">
        <f t="shared" ca="1" si="7"/>
        <v>-0.17282806085711291</v>
      </c>
      <c r="H68" s="16">
        <f t="shared" ca="1" si="8"/>
        <v>2.1227453809785743E-3</v>
      </c>
      <c r="J68" s="38">
        <f t="shared" si="9"/>
        <v>1.9482651236616723E-2</v>
      </c>
      <c r="K68" s="38">
        <f t="shared" ca="1" si="9"/>
        <v>-0.17287448942854147</v>
      </c>
      <c r="L68" s="38">
        <f t="shared" ca="1" si="9"/>
        <v>2.0763168095500029E-3</v>
      </c>
    </row>
    <row r="69" spans="1:12" ht="13.8" thickBot="1" x14ac:dyDescent="0.3">
      <c r="A69" s="12">
        <v>43910.666666666664</v>
      </c>
      <c r="B69" s="4">
        <v>19.670000000000002</v>
      </c>
      <c r="C69" s="2">
        <f ca="1">IFERROR(__xludf.DUMMYFUNCTION("""COMPUTED_VALUE"""),32)</f>
        <v>32</v>
      </c>
      <c r="D69" s="2">
        <f ca="1">IFERROR(__xludf.DUMMYFUNCTION("""COMPUTED_VALUE"""),228.8)</f>
        <v>228.8</v>
      </c>
      <c r="F69" s="16">
        <f t="shared" si="3"/>
        <v>-7.4906549276998954E-2</v>
      </c>
      <c r="G69" s="16">
        <f t="shared" ca="1" si="7"/>
        <v>-8.7119406020215676E-3</v>
      </c>
      <c r="H69" s="16">
        <f t="shared" ca="1" si="8"/>
        <v>-4.9913409217327044E-2</v>
      </c>
      <c r="J69" s="38">
        <f t="shared" si="9"/>
        <v>-7.4952977848427527E-2</v>
      </c>
      <c r="K69" s="38">
        <f t="shared" ca="1" si="9"/>
        <v>-8.7583691734501399E-3</v>
      </c>
      <c r="L69" s="38">
        <f t="shared" ca="1" si="9"/>
        <v>-4.9959837788755616E-2</v>
      </c>
    </row>
    <row r="70" spans="1:12" ht="13.8" thickBot="1" x14ac:dyDescent="0.3">
      <c r="A70" s="12">
        <v>43913.666666666664</v>
      </c>
      <c r="B70" s="4">
        <v>18.079999999999998</v>
      </c>
      <c r="C70" s="2">
        <f ca="1">IFERROR(__xludf.DUMMYFUNCTION("""COMPUTED_VALUE"""),36.46)</f>
        <v>36.46</v>
      </c>
      <c r="D70" s="2">
        <f ca="1">IFERROR(__xludf.DUMMYFUNCTION("""COMPUTED_VALUE"""),222.95)</f>
        <v>222.95</v>
      </c>
      <c r="F70" s="16">
        <f t="shared" si="3"/>
        <v>-8.4288277436937453E-2</v>
      </c>
      <c r="G70" s="16">
        <f t="shared" ca="1" si="7"/>
        <v>0.13047986645079046</v>
      </c>
      <c r="H70" s="16">
        <f t="shared" ca="1" si="8"/>
        <v>-2.5900728432157238E-2</v>
      </c>
      <c r="J70" s="38">
        <f t="shared" si="9"/>
        <v>-8.4334706008366025E-2</v>
      </c>
      <c r="K70" s="38">
        <f t="shared" ca="1" si="9"/>
        <v>0.1304334378793619</v>
      </c>
      <c r="L70" s="38">
        <f t="shared" ca="1" si="9"/>
        <v>-2.5947157003585811E-2</v>
      </c>
    </row>
    <row r="71" spans="1:12" ht="13.8" thickBot="1" x14ac:dyDescent="0.3">
      <c r="A71" s="12">
        <v>43914.666666666664</v>
      </c>
      <c r="B71" s="4">
        <v>21.03</v>
      </c>
      <c r="C71" s="2">
        <f ca="1">IFERROR(__xludf.DUMMYFUNCTION("""COMPUTED_VALUE"""),32.78)</f>
        <v>32.78</v>
      </c>
      <c r="D71" s="2">
        <f ca="1">IFERROR(__xludf.DUMMYFUNCTION("""COMPUTED_VALUE"""),243.15)</f>
        <v>243.15</v>
      </c>
      <c r="F71" s="16">
        <f t="shared" si="3"/>
        <v>0.15114363475057818</v>
      </c>
      <c r="G71" s="16">
        <f t="shared" ca="1" si="7"/>
        <v>-0.10639719593483341</v>
      </c>
      <c r="H71" s="16">
        <f t="shared" ca="1" si="8"/>
        <v>8.6731005776309225E-2</v>
      </c>
      <c r="J71" s="38">
        <f t="shared" si="9"/>
        <v>0.15109720617914962</v>
      </c>
      <c r="K71" s="38">
        <f t="shared" ca="1" si="9"/>
        <v>-0.10644362450626198</v>
      </c>
      <c r="L71" s="38">
        <f t="shared" ca="1" si="9"/>
        <v>8.6684577204880653E-2</v>
      </c>
    </row>
    <row r="72" spans="1:12" ht="13.8" thickBot="1" x14ac:dyDescent="0.3">
      <c r="A72" s="12">
        <v>43915.666666666664</v>
      </c>
      <c r="B72" s="4">
        <v>21.1</v>
      </c>
      <c r="C72" s="2">
        <f ca="1">IFERROR(__xludf.DUMMYFUNCTION("""COMPUTED_VALUE"""),37.09)</f>
        <v>37.090000000000003</v>
      </c>
      <c r="D72" s="2">
        <f ca="1">IFERROR(__xludf.DUMMYFUNCTION("""COMPUTED_VALUE"""),246.79)</f>
        <v>246.79</v>
      </c>
      <c r="F72" s="16">
        <f t="shared" si="3"/>
        <v>3.3230507674123539E-3</v>
      </c>
      <c r="G72" s="16">
        <f t="shared" ca="1" si="7"/>
        <v>0.12352881818581578</v>
      </c>
      <c r="H72" s="16">
        <f t="shared" ca="1" si="8"/>
        <v>1.4859235721962022E-2</v>
      </c>
      <c r="J72" s="38">
        <f t="shared" si="9"/>
        <v>3.2766221959837825E-3</v>
      </c>
      <c r="K72" s="38">
        <f t="shared" ca="1" si="9"/>
        <v>0.12348238961438721</v>
      </c>
      <c r="L72" s="38">
        <f t="shared" ca="1" si="9"/>
        <v>1.4812807150533449E-2</v>
      </c>
    </row>
    <row r="73" spans="1:12" ht="13.8" thickBot="1" x14ac:dyDescent="0.3">
      <c r="A73" s="12">
        <v>43916.666666666664</v>
      </c>
      <c r="B73" s="4">
        <v>22.72</v>
      </c>
      <c r="C73" s="2">
        <f ca="1">IFERROR(__xludf.DUMMYFUNCTION("""COMPUTED_VALUE"""),38.81)</f>
        <v>38.81</v>
      </c>
      <c r="D73" s="2">
        <f ca="1">IFERROR(__xludf.DUMMYFUNCTION("""COMPUTED_VALUE"""),261.2)</f>
        <v>261.2</v>
      </c>
      <c r="F73" s="16">
        <f t="shared" si="3"/>
        <v>7.3972553370929603E-2</v>
      </c>
      <c r="G73" s="16">
        <f t="shared" ca="1" si="7"/>
        <v>4.5330553879315554E-2</v>
      </c>
      <c r="H73" s="16">
        <f t="shared" ca="1" si="8"/>
        <v>5.67486248305192E-2</v>
      </c>
      <c r="J73" s="38">
        <f t="shared" si="9"/>
        <v>7.3926124799501031E-2</v>
      </c>
      <c r="K73" s="38">
        <f t="shared" ca="1" si="9"/>
        <v>4.5284125307886981E-2</v>
      </c>
      <c r="L73" s="38">
        <f t="shared" ca="1" si="9"/>
        <v>5.6702196259090627E-2</v>
      </c>
    </row>
    <row r="74" spans="1:12" ht="13.8" thickBot="1" x14ac:dyDescent="0.3">
      <c r="A74" s="12">
        <v>43917.666666666664</v>
      </c>
      <c r="B74" s="4">
        <v>21.6</v>
      </c>
      <c r="C74" s="2">
        <f ca="1">IFERROR(__xludf.DUMMYFUNCTION("""COMPUTED_VALUE"""),41.63)</f>
        <v>41.63</v>
      </c>
      <c r="D74" s="2">
        <f ca="1">IFERROR(__xludf.DUMMYFUNCTION("""COMPUTED_VALUE"""),253.42)</f>
        <v>253.42</v>
      </c>
      <c r="F74" s="16">
        <f t="shared" si="3"/>
        <v>-5.0552279162831212E-2</v>
      </c>
      <c r="G74" s="16">
        <f t="shared" ca="1" si="7"/>
        <v>7.014311582606915E-2</v>
      </c>
      <c r="H74" s="16">
        <f t="shared" ca="1" si="8"/>
        <v>-3.0238206031513816E-2</v>
      </c>
      <c r="J74" s="38">
        <f t="shared" si="9"/>
        <v>-5.0598707734259785E-2</v>
      </c>
      <c r="K74" s="38">
        <f t="shared" ca="1" si="9"/>
        <v>7.0096687254640577E-2</v>
      </c>
      <c r="L74" s="38">
        <f t="shared" ca="1" si="9"/>
        <v>-3.0284634602942388E-2</v>
      </c>
    </row>
    <row r="75" spans="1:12" ht="13.8" thickBot="1" x14ac:dyDescent="0.3">
      <c r="A75" s="12">
        <v>43920.666666666664</v>
      </c>
      <c r="B75" s="4">
        <v>22.04</v>
      </c>
      <c r="C75" s="2">
        <f ca="1">IFERROR(__xludf.DUMMYFUNCTION("""COMPUTED_VALUE"""),40.25)</f>
        <v>40.25</v>
      </c>
      <c r="D75" s="2">
        <f ca="1">IFERROR(__xludf.DUMMYFUNCTION("""COMPUTED_VALUE"""),261.65)</f>
        <v>261.64999999999998</v>
      </c>
      <c r="F75" s="16">
        <f t="shared" si="3"/>
        <v>2.0165669594594419E-2</v>
      </c>
      <c r="G75" s="16">
        <f t="shared" ca="1" si="7"/>
        <v>-3.3711057342311723E-2</v>
      </c>
      <c r="H75" s="16">
        <f t="shared" ca="1" si="8"/>
        <v>3.1959541447454637E-2</v>
      </c>
      <c r="J75" s="38">
        <f t="shared" si="9"/>
        <v>2.0119241023165847E-2</v>
      </c>
      <c r="K75" s="38">
        <f t="shared" ca="1" si="9"/>
        <v>-3.3757485913740296E-2</v>
      </c>
      <c r="L75" s="38">
        <f t="shared" ca="1" si="9"/>
        <v>3.1913112876026065E-2</v>
      </c>
    </row>
    <row r="76" spans="1:12" ht="13.8" thickBot="1" x14ac:dyDescent="0.3">
      <c r="A76" s="12">
        <v>43921.666666666664</v>
      </c>
      <c r="B76" s="4">
        <v>21.23</v>
      </c>
      <c r="C76" s="2">
        <f ca="1">IFERROR(__xludf.DUMMYFUNCTION("""COMPUTED_VALUE"""),39.59)</f>
        <v>39.590000000000003</v>
      </c>
      <c r="D76" s="2">
        <f ca="1">IFERROR(__xludf.DUMMYFUNCTION("""COMPUTED_VALUE"""),257.75)</f>
        <v>257.75</v>
      </c>
      <c r="F76" s="16">
        <f t="shared" si="3"/>
        <v>-3.7443708569548949E-2</v>
      </c>
      <c r="G76" s="16">
        <f t="shared" ca="1" si="7"/>
        <v>-1.6533442746533029E-2</v>
      </c>
      <c r="H76" s="16">
        <f t="shared" ca="1" si="8"/>
        <v>-1.5017609921147439E-2</v>
      </c>
      <c r="J76" s="38">
        <f t="shared" si="9"/>
        <v>-3.7490137140977521E-2</v>
      </c>
      <c r="K76" s="38">
        <f t="shared" ca="1" si="9"/>
        <v>-1.6579871317961601E-2</v>
      </c>
      <c r="L76" s="38">
        <f t="shared" ca="1" si="9"/>
        <v>-1.5064038492576011E-2</v>
      </c>
    </row>
    <row r="77" spans="1:12" ht="13.8" thickBot="1" x14ac:dyDescent="0.3">
      <c r="A77" s="12">
        <v>43922.666666666664</v>
      </c>
      <c r="B77" s="4">
        <v>19.77</v>
      </c>
      <c r="C77" s="2">
        <f ca="1">IFERROR(__xludf.DUMMYFUNCTION("""COMPUTED_VALUE"""),40.06)</f>
        <v>40.06</v>
      </c>
      <c r="D77" s="2">
        <f ca="1">IFERROR(__xludf.DUMMYFUNCTION("""COMPUTED_VALUE"""),246.15)</f>
        <v>246.15</v>
      </c>
      <c r="F77" s="16">
        <f t="shared" si="3"/>
        <v>-7.1249638532639228E-2</v>
      </c>
      <c r="G77" s="16">
        <f t="shared" ca="1" si="7"/>
        <v>1.1801769119632812E-2</v>
      </c>
      <c r="H77" s="16">
        <f t="shared" ca="1" si="8"/>
        <v>-4.6049016692859705E-2</v>
      </c>
      <c r="J77" s="38">
        <f t="shared" si="9"/>
        <v>-7.1296067104067801E-2</v>
      </c>
      <c r="K77" s="38">
        <f t="shared" ca="1" si="9"/>
        <v>1.175534054820424E-2</v>
      </c>
      <c r="L77" s="38">
        <f t="shared" ca="1" si="9"/>
        <v>-4.6095445264288278E-2</v>
      </c>
    </row>
    <row r="78" spans="1:12" ht="13.8" thickBot="1" x14ac:dyDescent="0.3">
      <c r="A78" s="12">
        <v>43923.666666666664</v>
      </c>
      <c r="B78" s="4">
        <v>20.57</v>
      </c>
      <c r="C78" s="2">
        <f ca="1">IFERROR(__xludf.DUMMYFUNCTION("""COMPUTED_VALUE"""),35.76)</f>
        <v>35.76</v>
      </c>
      <c r="D78" s="2">
        <f ca="1">IFERROR(__xludf.DUMMYFUNCTION("""COMPUTED_VALUE"""),251.83)</f>
        <v>251.83</v>
      </c>
      <c r="F78" s="16">
        <f t="shared" si="3"/>
        <v>3.9668066482340288E-2</v>
      </c>
      <c r="G78" s="16">
        <f t="shared" ca="1" si="7"/>
        <v>-0.11354837993235888</v>
      </c>
      <c r="H78" s="16">
        <f t="shared" ca="1" si="8"/>
        <v>2.2813150485502275E-2</v>
      </c>
      <c r="J78" s="38">
        <f t="shared" si="9"/>
        <v>3.9621637910911715E-2</v>
      </c>
      <c r="K78" s="38">
        <f t="shared" ca="1" si="9"/>
        <v>-0.11359480850378745</v>
      </c>
      <c r="L78" s="38">
        <f t="shared" ca="1" si="9"/>
        <v>2.2766721914073702E-2</v>
      </c>
    </row>
    <row r="79" spans="1:12" ht="13.8" thickBot="1" x14ac:dyDescent="0.3">
      <c r="A79" s="12">
        <v>43924.666666666664</v>
      </c>
      <c r="B79" s="4">
        <v>20.03</v>
      </c>
      <c r="C79" s="2">
        <f ca="1">IFERROR(__xludf.DUMMYFUNCTION("""COMPUTED_VALUE"""),35.16)</f>
        <v>35.159999999999997</v>
      </c>
      <c r="D79" s="2">
        <f ca="1">IFERROR(__xludf.DUMMYFUNCTION("""COMPUTED_VALUE"""),248.19)</f>
        <v>248.19</v>
      </c>
      <c r="F79" s="16">
        <f t="shared" si="3"/>
        <v>-2.660255398713892E-2</v>
      </c>
      <c r="G79" s="16">
        <f t="shared" ca="1" si="7"/>
        <v>-1.6920877488337177E-2</v>
      </c>
      <c r="H79" s="16">
        <f t="shared" ca="1" si="8"/>
        <v>-1.4559674819510617E-2</v>
      </c>
      <c r="J79" s="38">
        <f t="shared" si="9"/>
        <v>-2.6648982558567492E-2</v>
      </c>
      <c r="K79" s="38">
        <f t="shared" ca="1" si="9"/>
        <v>-1.6967306059765749E-2</v>
      </c>
      <c r="L79" s="38">
        <f t="shared" ca="1" si="9"/>
        <v>-1.4606103390939189E-2</v>
      </c>
    </row>
    <row r="80" spans="1:12" ht="13.8" thickBot="1" x14ac:dyDescent="0.3">
      <c r="A80" s="12">
        <v>43927.666666666664</v>
      </c>
      <c r="B80" s="4">
        <v>21.39</v>
      </c>
      <c r="C80" s="2">
        <f ca="1">IFERROR(__xludf.DUMMYFUNCTION("""COMPUTED_VALUE"""),34.95)</f>
        <v>34.950000000000003</v>
      </c>
      <c r="D80" s="2">
        <f ca="1">IFERROR(__xludf.DUMMYFUNCTION("""COMPUTED_VALUE"""),264.86)</f>
        <v>264.86</v>
      </c>
      <c r="F80" s="16">
        <f t="shared" ref="F80:F143" si="10">LN(B80/B79)</f>
        <v>6.5692373416587402E-2</v>
      </c>
      <c r="G80" s="16">
        <f t="shared" ca="1" si="7"/>
        <v>-5.9906041371567947E-3</v>
      </c>
      <c r="H80" s="16">
        <f t="shared" ca="1" si="8"/>
        <v>6.5006802628617147E-2</v>
      </c>
      <c r="J80" s="38">
        <f t="shared" si="9"/>
        <v>6.564594484515883E-2</v>
      </c>
      <c r="K80" s="38">
        <f t="shared" ca="1" si="9"/>
        <v>-6.0370327085853661E-3</v>
      </c>
      <c r="L80" s="38">
        <f t="shared" ca="1" si="9"/>
        <v>6.4960374057188575E-2</v>
      </c>
    </row>
    <row r="81" spans="1:12" ht="13.8" thickBot="1" x14ac:dyDescent="0.3">
      <c r="A81" s="12">
        <v>43928.666666666664</v>
      </c>
      <c r="B81" s="4">
        <v>22.14</v>
      </c>
      <c r="C81" s="2">
        <f ca="1">IFERROR(__xludf.DUMMYFUNCTION("""COMPUTED_VALUE"""),36.76)</f>
        <v>36.76</v>
      </c>
      <c r="D81" s="2">
        <f ca="1">IFERROR(__xludf.DUMMYFUNCTION("""COMPUTED_VALUE"""),265.13)</f>
        <v>265.13</v>
      </c>
      <c r="F81" s="16">
        <f t="shared" si="10"/>
        <v>3.4462404186176583E-2</v>
      </c>
      <c r="G81" s="16">
        <f t="shared" ca="1" si="7"/>
        <v>5.0491828807666922E-2</v>
      </c>
      <c r="H81" s="16">
        <f t="shared" ca="1" si="8"/>
        <v>1.0188872369589197E-3</v>
      </c>
      <c r="J81" s="38">
        <f t="shared" si="9"/>
        <v>3.4415975614748011E-2</v>
      </c>
      <c r="K81" s="38">
        <f t="shared" ca="1" si="9"/>
        <v>5.044540023623835E-2</v>
      </c>
      <c r="L81" s="38">
        <f t="shared" ca="1" si="9"/>
        <v>9.7245866553034833E-4</v>
      </c>
    </row>
    <row r="82" spans="1:12" ht="13.8" thickBot="1" x14ac:dyDescent="0.3">
      <c r="A82" s="12">
        <v>43929.666666666664</v>
      </c>
      <c r="B82" s="4">
        <v>23.45</v>
      </c>
      <c r="C82" s="2">
        <f ca="1">IFERROR(__xludf.DUMMYFUNCTION("""COMPUTED_VALUE"""),39.84)</f>
        <v>39.840000000000003</v>
      </c>
      <c r="D82" s="2">
        <f ca="1">IFERROR(__xludf.DUMMYFUNCTION("""COMPUTED_VALUE"""),274.03)</f>
        <v>274.02999999999997</v>
      </c>
      <c r="F82" s="16">
        <f t="shared" si="10"/>
        <v>5.7484567611797523E-2</v>
      </c>
      <c r="G82" s="16">
        <f t="shared" ref="G82:G145" ca="1" si="11">LN(C82/C81)</f>
        <v>8.046113522891124E-2</v>
      </c>
      <c r="H82" s="16">
        <f t="shared" ref="H82:H145" ca="1" si="12">LN(D82/D81)</f>
        <v>3.3017317709899061E-2</v>
      </c>
      <c r="J82" s="38">
        <f t="shared" ref="J82:L145" si="13">F82-$B$9</f>
        <v>5.743813904036895E-2</v>
      </c>
      <c r="K82" s="38">
        <f t="shared" ca="1" si="13"/>
        <v>8.0414706657482668E-2</v>
      </c>
      <c r="L82" s="38">
        <f t="shared" ca="1" si="13"/>
        <v>3.2970889138470488E-2</v>
      </c>
    </row>
    <row r="83" spans="1:12" ht="13.8" thickBot="1" x14ac:dyDescent="0.3">
      <c r="A83" s="12">
        <v>43930.666666666664</v>
      </c>
      <c r="B83" s="4">
        <v>24.86</v>
      </c>
      <c r="C83" s="2">
        <f ca="1">IFERROR(__xludf.DUMMYFUNCTION("""COMPUTED_VALUE"""),39.85)</f>
        <v>39.85</v>
      </c>
      <c r="D83" s="2">
        <f ca="1">IFERROR(__xludf.DUMMYFUNCTION("""COMPUTED_VALUE"""),278.2)</f>
        <v>278.2</v>
      </c>
      <c r="F83" s="16">
        <f t="shared" si="10"/>
        <v>5.8389591190276625E-2</v>
      </c>
      <c r="G83" s="16">
        <f t="shared" ca="1" si="11"/>
        <v>2.509725198264535E-4</v>
      </c>
      <c r="H83" s="16">
        <f t="shared" ca="1" si="12"/>
        <v>1.510269004366605E-2</v>
      </c>
      <c r="J83" s="38">
        <f t="shared" si="13"/>
        <v>5.8343162618848053E-2</v>
      </c>
      <c r="K83" s="38">
        <f t="shared" ca="1" si="13"/>
        <v>2.0454394839788207E-4</v>
      </c>
      <c r="L83" s="38">
        <f t="shared" ca="1" si="13"/>
        <v>1.5056261472237478E-2</v>
      </c>
    </row>
    <row r="84" spans="1:12" ht="13.8" thickBot="1" x14ac:dyDescent="0.3">
      <c r="A84" s="12">
        <v>43934.666666666664</v>
      </c>
      <c r="B84" s="4">
        <v>23.92</v>
      </c>
      <c r="C84" s="2">
        <f ca="1">IFERROR(__xludf.DUMMYFUNCTION("""COMPUTED_VALUE"""),43.3)</f>
        <v>43.3</v>
      </c>
      <c r="D84" s="2">
        <f ca="1">IFERROR(__xludf.DUMMYFUNCTION("""COMPUTED_VALUE"""),275.66)</f>
        <v>275.66000000000003</v>
      </c>
      <c r="F84" s="16">
        <f t="shared" si="10"/>
        <v>-3.8545157000134014E-2</v>
      </c>
      <c r="G84" s="16">
        <f t="shared" ca="1" si="11"/>
        <v>8.303022977222009E-2</v>
      </c>
      <c r="H84" s="16">
        <f t="shared" ca="1" si="12"/>
        <v>-9.1720572230496438E-3</v>
      </c>
      <c r="J84" s="38">
        <f t="shared" si="13"/>
        <v>-3.8591585571562587E-2</v>
      </c>
      <c r="K84" s="38">
        <f t="shared" ca="1" si="13"/>
        <v>8.2983801200791518E-2</v>
      </c>
      <c r="L84" s="38">
        <f t="shared" ca="1" si="13"/>
        <v>-9.2184857944782161E-3</v>
      </c>
    </row>
    <row r="85" spans="1:12" ht="13.8" thickBot="1" x14ac:dyDescent="0.3">
      <c r="A85" s="12">
        <v>43935.666666666664</v>
      </c>
      <c r="B85" s="4">
        <v>23.73</v>
      </c>
      <c r="C85" s="2">
        <f ca="1">IFERROR(__xludf.DUMMYFUNCTION("""COMPUTED_VALUE"""),40.28)</f>
        <v>40.28</v>
      </c>
      <c r="D85" s="2">
        <f ca="1">IFERROR(__xludf.DUMMYFUNCTION("""COMPUTED_VALUE"""),283.79)</f>
        <v>283.79000000000002</v>
      </c>
      <c r="F85" s="16">
        <f t="shared" si="10"/>
        <v>-7.9748586347588683E-3</v>
      </c>
      <c r="G85" s="16">
        <f t="shared" ca="1" si="11"/>
        <v>-7.2297567158082512E-2</v>
      </c>
      <c r="H85" s="16">
        <f t="shared" ca="1" si="12"/>
        <v>2.9066305757096515E-2</v>
      </c>
      <c r="J85" s="38">
        <f t="shared" si="13"/>
        <v>-8.0212872061874406E-3</v>
      </c>
      <c r="K85" s="38">
        <f t="shared" ca="1" si="13"/>
        <v>-7.2343995729511085E-2</v>
      </c>
      <c r="L85" s="38">
        <f t="shared" ca="1" si="13"/>
        <v>2.9019877185667942E-2</v>
      </c>
    </row>
    <row r="86" spans="1:12" ht="13.8" thickBot="1" x14ac:dyDescent="0.3">
      <c r="A86" s="12">
        <v>43936.666666666664</v>
      </c>
      <c r="B86" s="4">
        <v>22.19</v>
      </c>
      <c r="C86" s="2">
        <f ca="1">IFERROR(__xludf.DUMMYFUNCTION("""COMPUTED_VALUE"""),40.22)</f>
        <v>40.22</v>
      </c>
      <c r="D86" s="2">
        <f ca="1">IFERROR(__xludf.DUMMYFUNCTION("""COMPUTED_VALUE"""),277.76)</f>
        <v>277.76</v>
      </c>
      <c r="F86" s="16">
        <f t="shared" si="10"/>
        <v>-6.7098333503169558E-2</v>
      </c>
      <c r="G86" s="16">
        <f t="shared" ca="1" si="11"/>
        <v>-1.490683505855574E-3</v>
      </c>
      <c r="H86" s="16">
        <f t="shared" ca="1" si="12"/>
        <v>-2.1477096551404048E-2</v>
      </c>
      <c r="J86" s="38">
        <f t="shared" si="13"/>
        <v>-6.714476207459813E-2</v>
      </c>
      <c r="K86" s="38">
        <f t="shared" ca="1" si="13"/>
        <v>-1.5371120772841454E-3</v>
      </c>
      <c r="L86" s="38">
        <f t="shared" ca="1" si="13"/>
        <v>-2.1523525122832621E-2</v>
      </c>
    </row>
    <row r="87" spans="1:12" ht="13.8" thickBot="1" x14ac:dyDescent="0.3">
      <c r="A87" s="12">
        <v>43937.666666666664</v>
      </c>
      <c r="B87" s="4">
        <v>21.42</v>
      </c>
      <c r="C87" s="2">
        <f ca="1">IFERROR(__xludf.DUMMYFUNCTION("""COMPUTED_VALUE"""),37.53)</f>
        <v>37.53</v>
      </c>
      <c r="D87" s="2">
        <f ca="1">IFERROR(__xludf.DUMMYFUNCTION("""COMPUTED_VALUE"""),279.1)</f>
        <v>279.10000000000002</v>
      </c>
      <c r="F87" s="16">
        <f t="shared" si="10"/>
        <v>-3.5316671924899845E-2</v>
      </c>
      <c r="G87" s="16">
        <f t="shared" ca="1" si="11"/>
        <v>-6.9223771197576431E-2</v>
      </c>
      <c r="H87" s="16">
        <f t="shared" ca="1" si="12"/>
        <v>4.8127090702912217E-3</v>
      </c>
      <c r="J87" s="38">
        <f t="shared" si="13"/>
        <v>-3.5363100496328417E-2</v>
      </c>
      <c r="K87" s="38">
        <f t="shared" ca="1" si="13"/>
        <v>-6.9270199769005003E-2</v>
      </c>
      <c r="L87" s="38">
        <f t="shared" ca="1" si="13"/>
        <v>4.7662804988626503E-3</v>
      </c>
    </row>
    <row r="88" spans="1:12" ht="13.8" thickBot="1" x14ac:dyDescent="0.3">
      <c r="A88" s="12">
        <v>43938.666666666664</v>
      </c>
      <c r="B88" s="4">
        <v>23.28</v>
      </c>
      <c r="C88" s="2">
        <f ca="1">IFERROR(__xludf.DUMMYFUNCTION("""COMPUTED_VALUE"""),40.4)</f>
        <v>40.4</v>
      </c>
      <c r="D88" s="2">
        <f ca="1">IFERROR(__xludf.DUMMYFUNCTION("""COMPUTED_VALUE"""),286.64)</f>
        <v>286.64</v>
      </c>
      <c r="F88" s="16">
        <f t="shared" si="10"/>
        <v>8.3269557843634281E-2</v>
      </c>
      <c r="G88" s="16">
        <f t="shared" ca="1" si="11"/>
        <v>7.3689171820174801E-2</v>
      </c>
      <c r="H88" s="16">
        <f t="shared" ca="1" si="12"/>
        <v>2.6656932454421675E-2</v>
      </c>
      <c r="J88" s="38">
        <f t="shared" si="13"/>
        <v>8.3223129272205709E-2</v>
      </c>
      <c r="K88" s="38">
        <f t="shared" ca="1" si="13"/>
        <v>7.3642743248746229E-2</v>
      </c>
      <c r="L88" s="38">
        <f t="shared" ca="1" si="13"/>
        <v>2.6610503882993103E-2</v>
      </c>
    </row>
    <row r="89" spans="1:12" ht="13.8" thickBot="1" x14ac:dyDescent="0.3">
      <c r="A89" s="12">
        <v>43941.666666666664</v>
      </c>
      <c r="B89" s="4">
        <v>22.5</v>
      </c>
      <c r="C89" s="2">
        <f ca="1">IFERROR(__xludf.DUMMYFUNCTION("""COMPUTED_VALUE"""),41.41)</f>
        <v>41.41</v>
      </c>
      <c r="D89" s="2">
        <f ca="1">IFERROR(__xludf.DUMMYFUNCTION("""COMPUTED_VALUE"""),281.59)</f>
        <v>281.58999999999997</v>
      </c>
      <c r="F89" s="16">
        <f t="shared" si="10"/>
        <v>-3.4079313652862618E-2</v>
      </c>
      <c r="G89" s="16">
        <f t="shared" ca="1" si="11"/>
        <v>2.4692612590371414E-2</v>
      </c>
      <c r="H89" s="16">
        <f t="shared" ca="1" si="12"/>
        <v>-1.7774960706990806E-2</v>
      </c>
      <c r="J89" s="38">
        <f t="shared" si="13"/>
        <v>-3.412574222429119E-2</v>
      </c>
      <c r="K89" s="38">
        <f t="shared" ca="1" si="13"/>
        <v>2.4646184018942842E-2</v>
      </c>
      <c r="L89" s="38">
        <f t="shared" ca="1" si="13"/>
        <v>-1.7821389278419378E-2</v>
      </c>
    </row>
    <row r="90" spans="1:12" ht="13.8" thickBot="1" x14ac:dyDescent="0.3">
      <c r="A90" s="12">
        <v>43942.666666666664</v>
      </c>
      <c r="B90" s="4">
        <v>21.64</v>
      </c>
      <c r="C90" s="2">
        <f ca="1">IFERROR(__xludf.DUMMYFUNCTION("""COMPUTED_VALUE"""),38.32)</f>
        <v>38.32</v>
      </c>
      <c r="D90" s="2">
        <f ca="1">IFERROR(__xludf.DUMMYFUNCTION("""COMPUTED_VALUE"""),273.04)</f>
        <v>273.04000000000002</v>
      </c>
      <c r="F90" s="16">
        <f t="shared" si="10"/>
        <v>-3.8971855232093608E-2</v>
      </c>
      <c r="G90" s="16">
        <f t="shared" ca="1" si="11"/>
        <v>-7.7550444454816042E-2</v>
      </c>
      <c r="H90" s="16">
        <f t="shared" ca="1" si="12"/>
        <v>-3.0833807691255787E-2</v>
      </c>
      <c r="J90" s="38">
        <f t="shared" si="13"/>
        <v>-3.901828380352218E-2</v>
      </c>
      <c r="K90" s="38">
        <f t="shared" ca="1" si="13"/>
        <v>-7.7596873026244614E-2</v>
      </c>
      <c r="L90" s="38">
        <f t="shared" ca="1" si="13"/>
        <v>-3.0880236262684359E-2</v>
      </c>
    </row>
    <row r="91" spans="1:12" ht="13.8" thickBot="1" x14ac:dyDescent="0.3">
      <c r="A91" s="12">
        <v>43943.666666666664</v>
      </c>
      <c r="B91" s="4">
        <v>21.8</v>
      </c>
      <c r="C91" s="2">
        <f ca="1">IFERROR(__xludf.DUMMYFUNCTION("""COMPUTED_VALUE"""),38.83)</f>
        <v>38.83</v>
      </c>
      <c r="D91" s="2">
        <f ca="1">IFERROR(__xludf.DUMMYFUNCTION("""COMPUTED_VALUE"""),279.1)</f>
        <v>279.10000000000002</v>
      </c>
      <c r="F91" s="16">
        <f t="shared" si="10"/>
        <v>7.3665158167626459E-3</v>
      </c>
      <c r="G91" s="16">
        <f t="shared" ca="1" si="11"/>
        <v>1.3221190640916152E-2</v>
      </c>
      <c r="H91" s="16">
        <f t="shared" ca="1" si="12"/>
        <v>2.1951835943824834E-2</v>
      </c>
      <c r="J91" s="38">
        <f t="shared" si="13"/>
        <v>7.3200872453340745E-3</v>
      </c>
      <c r="K91" s="38">
        <f t="shared" ca="1" si="13"/>
        <v>1.317476206948758E-2</v>
      </c>
      <c r="L91" s="38">
        <f t="shared" ca="1" si="13"/>
        <v>2.1905407372396261E-2</v>
      </c>
    </row>
    <row r="92" spans="1:12" ht="13.8" thickBot="1" x14ac:dyDescent="0.3">
      <c r="A92" s="12">
        <v>43944.666666666664</v>
      </c>
      <c r="B92" s="4">
        <v>21.87</v>
      </c>
      <c r="C92" s="2">
        <f ca="1">IFERROR(__xludf.DUMMYFUNCTION("""COMPUTED_VALUE"""),40.11)</f>
        <v>40.11</v>
      </c>
      <c r="D92" s="2">
        <f ca="1">IFERROR(__xludf.DUMMYFUNCTION("""COMPUTED_VALUE"""),279.08)</f>
        <v>279.08</v>
      </c>
      <c r="F92" s="16">
        <f t="shared" si="10"/>
        <v>3.2058648936330492E-3</v>
      </c>
      <c r="G92" s="16">
        <f t="shared" ca="1" si="11"/>
        <v>3.2432536038385557E-2</v>
      </c>
      <c r="H92" s="16">
        <f t="shared" ca="1" si="12"/>
        <v>-7.1661471240828549E-5</v>
      </c>
      <c r="J92" s="38">
        <f t="shared" si="13"/>
        <v>3.1594363222044778E-3</v>
      </c>
      <c r="K92" s="38">
        <f t="shared" ca="1" si="13"/>
        <v>3.2386107466956984E-2</v>
      </c>
      <c r="L92" s="38">
        <f t="shared" ca="1" si="13"/>
        <v>-1.1809004266939997E-4</v>
      </c>
    </row>
    <row r="93" spans="1:12" ht="13.8" thickBot="1" x14ac:dyDescent="0.3">
      <c r="A93" s="12">
        <v>43945.666666666664</v>
      </c>
      <c r="B93" s="4">
        <v>22.18</v>
      </c>
      <c r="C93" s="2">
        <f ca="1">IFERROR(__xludf.DUMMYFUNCTION("""COMPUTED_VALUE"""),38.74)</f>
        <v>38.74</v>
      </c>
      <c r="D93" s="2">
        <f ca="1">IFERROR(__xludf.DUMMYFUNCTION("""COMPUTED_VALUE"""),282.97)</f>
        <v>282.97000000000003</v>
      </c>
      <c r="F93" s="16">
        <f t="shared" si="10"/>
        <v>1.4075147233544428E-2</v>
      </c>
      <c r="G93" s="16">
        <f t="shared" ca="1" si="11"/>
        <v>-3.4753021803111593E-2</v>
      </c>
      <c r="H93" s="16">
        <f t="shared" ca="1" si="12"/>
        <v>1.3842405885917959E-2</v>
      </c>
      <c r="J93" s="38">
        <f t="shared" si="13"/>
        <v>1.4028718662115856E-2</v>
      </c>
      <c r="K93" s="38">
        <f t="shared" ca="1" si="13"/>
        <v>-3.4799450374540165E-2</v>
      </c>
      <c r="L93" s="38">
        <f t="shared" ca="1" si="13"/>
        <v>1.3795977314489387E-2</v>
      </c>
    </row>
    <row r="94" spans="1:12" ht="13.8" thickBot="1" x14ac:dyDescent="0.3">
      <c r="A94" s="12">
        <v>43948.666666666664</v>
      </c>
      <c r="B94" s="4">
        <v>23.47</v>
      </c>
      <c r="C94" s="2">
        <f ca="1">IFERROR(__xludf.DUMMYFUNCTION("""COMPUTED_VALUE"""),42.27)</f>
        <v>42.27</v>
      </c>
      <c r="D94" s="2">
        <f ca="1">IFERROR(__xludf.DUMMYFUNCTION("""COMPUTED_VALUE"""),287.05)</f>
        <v>287.05</v>
      </c>
      <c r="F94" s="16">
        <f t="shared" si="10"/>
        <v>5.6532027940711195E-2</v>
      </c>
      <c r="G94" s="16">
        <f t="shared" ca="1" si="11"/>
        <v>8.720495659984874E-2</v>
      </c>
      <c r="H94" s="16">
        <f t="shared" ca="1" si="12"/>
        <v>1.4315531656692278E-2</v>
      </c>
      <c r="J94" s="38">
        <f t="shared" si="13"/>
        <v>5.6485599369282623E-2</v>
      </c>
      <c r="K94" s="38">
        <f t="shared" ca="1" si="13"/>
        <v>8.7158528028420168E-2</v>
      </c>
      <c r="L94" s="38">
        <f t="shared" ca="1" si="13"/>
        <v>1.4269103085263706E-2</v>
      </c>
    </row>
    <row r="95" spans="1:12" ht="13.8" thickBot="1" x14ac:dyDescent="0.3">
      <c r="A95" s="12">
        <v>43949.666666666664</v>
      </c>
      <c r="B95" s="4">
        <v>23.89</v>
      </c>
      <c r="C95" s="2">
        <f ca="1">IFERROR(__xludf.DUMMYFUNCTION("""COMPUTED_VALUE"""),43.83)</f>
        <v>43.83</v>
      </c>
      <c r="D95" s="2">
        <f ca="1">IFERROR(__xludf.DUMMYFUNCTION("""COMPUTED_VALUE"""),285.73)</f>
        <v>285.73</v>
      </c>
      <c r="F95" s="16">
        <f t="shared" si="10"/>
        <v>1.7736951474786138E-2</v>
      </c>
      <c r="G95" s="16">
        <f t="shared" ca="1" si="11"/>
        <v>3.6240899852019122E-2</v>
      </c>
      <c r="H95" s="16">
        <f t="shared" ca="1" si="12"/>
        <v>-4.6091076393212343E-3</v>
      </c>
      <c r="J95" s="38">
        <f t="shared" si="13"/>
        <v>1.7690522903357566E-2</v>
      </c>
      <c r="K95" s="38">
        <f t="shared" ca="1" si="13"/>
        <v>3.619447128059055E-2</v>
      </c>
      <c r="L95" s="38">
        <f t="shared" ca="1" si="13"/>
        <v>-4.6555362107498057E-3</v>
      </c>
    </row>
    <row r="96" spans="1:12" ht="13.8" thickBot="1" x14ac:dyDescent="0.3">
      <c r="A96" s="12">
        <v>43950.666666666664</v>
      </c>
      <c r="B96" s="4">
        <v>24.78</v>
      </c>
      <c r="C96" s="2">
        <f ca="1">IFERROR(__xludf.DUMMYFUNCTION("""COMPUTED_VALUE"""),46.25)</f>
        <v>46.25</v>
      </c>
      <c r="D96" s="2">
        <f ca="1">IFERROR(__xludf.DUMMYFUNCTION("""COMPUTED_VALUE"""),293.21)</f>
        <v>293.20999999999998</v>
      </c>
      <c r="F96" s="16">
        <f t="shared" si="10"/>
        <v>3.6576914863278215E-2</v>
      </c>
      <c r="G96" s="16">
        <f t="shared" ca="1" si="11"/>
        <v>5.3742949527716528E-2</v>
      </c>
      <c r="H96" s="16">
        <f t="shared" ca="1" si="12"/>
        <v>2.5841766868566745E-2</v>
      </c>
      <c r="J96" s="38">
        <f t="shared" si="13"/>
        <v>3.6530486291849643E-2</v>
      </c>
      <c r="K96" s="38">
        <f t="shared" ca="1" si="13"/>
        <v>5.3696520956287956E-2</v>
      </c>
      <c r="L96" s="38">
        <f t="shared" ca="1" si="13"/>
        <v>2.5795338297138173E-2</v>
      </c>
    </row>
    <row r="97" spans="1:12" ht="13.8" thickBot="1" x14ac:dyDescent="0.3">
      <c r="A97" s="12">
        <v>43951.666666666664</v>
      </c>
      <c r="B97" s="4">
        <v>24.05</v>
      </c>
      <c r="C97" s="2">
        <f ca="1">IFERROR(__xludf.DUMMYFUNCTION("""COMPUTED_VALUE"""),44.49)</f>
        <v>44.49</v>
      </c>
      <c r="D97" s="2">
        <f ca="1">IFERROR(__xludf.DUMMYFUNCTION("""COMPUTED_VALUE"""),290.48)</f>
        <v>290.48</v>
      </c>
      <c r="F97" s="16">
        <f t="shared" si="10"/>
        <v>-2.9901879649226176E-2</v>
      </c>
      <c r="G97" s="16">
        <f t="shared" ca="1" si="11"/>
        <v>-3.8797019140483772E-2</v>
      </c>
      <c r="H97" s="16">
        <f t="shared" ca="1" si="12"/>
        <v>-9.354348736810944E-3</v>
      </c>
      <c r="J97" s="38">
        <f t="shared" si="13"/>
        <v>-2.9948308220654748E-2</v>
      </c>
      <c r="K97" s="38">
        <f t="shared" ca="1" si="13"/>
        <v>-3.8843447711912345E-2</v>
      </c>
      <c r="L97" s="38">
        <f t="shared" ca="1" si="13"/>
        <v>-9.4007773082395163E-3</v>
      </c>
    </row>
    <row r="98" spans="1:12" ht="13.8" thickBot="1" x14ac:dyDescent="0.3">
      <c r="A98" s="12">
        <v>43952.666666666664</v>
      </c>
      <c r="B98" s="4">
        <v>23.08</v>
      </c>
      <c r="C98" s="2">
        <f ca="1">IFERROR(__xludf.DUMMYFUNCTION("""COMPUTED_VALUE"""),40.55)</f>
        <v>40.549999999999997</v>
      </c>
      <c r="D98" s="2">
        <f ca="1">IFERROR(__xludf.DUMMYFUNCTION("""COMPUTED_VALUE"""),282.79)</f>
        <v>282.79000000000002</v>
      </c>
      <c r="F98" s="16">
        <f t="shared" si="10"/>
        <v>-4.1168554911871436E-2</v>
      </c>
      <c r="G98" s="16">
        <f t="shared" ca="1" si="11"/>
        <v>-9.2728664256528662E-2</v>
      </c>
      <c r="H98" s="16">
        <f t="shared" ca="1" si="12"/>
        <v>-2.6830154387791197E-2</v>
      </c>
      <c r="J98" s="38">
        <f t="shared" si="13"/>
        <v>-4.1214983483300008E-2</v>
      </c>
      <c r="K98" s="38">
        <f t="shared" ca="1" si="13"/>
        <v>-9.2775092827957234E-2</v>
      </c>
      <c r="L98" s="38">
        <f t="shared" ca="1" si="13"/>
        <v>-2.6876582959219769E-2</v>
      </c>
    </row>
    <row r="99" spans="1:12" ht="13.8" thickBot="1" x14ac:dyDescent="0.3">
      <c r="A99" s="12">
        <v>43955.666666666664</v>
      </c>
      <c r="B99" s="4">
        <v>22.93</v>
      </c>
      <c r="C99" s="2">
        <f ca="1">IFERROR(__xludf.DUMMYFUNCTION("""COMPUTED_VALUE"""),42.23)</f>
        <v>42.23</v>
      </c>
      <c r="D99" s="2">
        <f ca="1">IFERROR(__xludf.DUMMYFUNCTION("""COMPUTED_VALUE"""),283.57)</f>
        <v>283.57</v>
      </c>
      <c r="F99" s="16">
        <f t="shared" si="10"/>
        <v>-6.5203447700856844E-3</v>
      </c>
      <c r="G99" s="16">
        <f t="shared" ca="1" si="11"/>
        <v>4.059508838443017E-2</v>
      </c>
      <c r="H99" s="16">
        <f t="shared" ca="1" si="12"/>
        <v>2.754433551623337E-3</v>
      </c>
      <c r="J99" s="38">
        <f t="shared" si="13"/>
        <v>-6.5667733415142558E-3</v>
      </c>
      <c r="K99" s="38">
        <f t="shared" ca="1" si="13"/>
        <v>4.0548659813001597E-2</v>
      </c>
      <c r="L99" s="38">
        <f t="shared" ca="1" si="13"/>
        <v>2.7080049801947656E-3</v>
      </c>
    </row>
    <row r="100" spans="1:12" ht="13.8" thickBot="1" x14ac:dyDescent="0.3">
      <c r="A100" s="12">
        <v>43956.666666666664</v>
      </c>
      <c r="B100" s="4">
        <v>22.66</v>
      </c>
      <c r="C100" s="2">
        <f ca="1">IFERROR(__xludf.DUMMYFUNCTION("""COMPUTED_VALUE"""),39.68)</f>
        <v>39.68</v>
      </c>
      <c r="D100" s="2">
        <f ca="1">IFERROR(__xludf.DUMMYFUNCTION("""COMPUTED_VALUE"""),286.19)</f>
        <v>286.19</v>
      </c>
      <c r="F100" s="16">
        <f t="shared" si="10"/>
        <v>-1.1844841269952826E-2</v>
      </c>
      <c r="G100" s="16">
        <f t="shared" ca="1" si="11"/>
        <v>-6.2283586529180049E-2</v>
      </c>
      <c r="H100" s="16">
        <f t="shared" ca="1" si="12"/>
        <v>9.1969196410228021E-3</v>
      </c>
      <c r="J100" s="38">
        <f t="shared" si="13"/>
        <v>-1.1891269841381398E-2</v>
      </c>
      <c r="K100" s="38">
        <f t="shared" ca="1" si="13"/>
        <v>-6.2330015100608621E-2</v>
      </c>
      <c r="L100" s="38">
        <f t="shared" ca="1" si="13"/>
        <v>9.1504910695942299E-3</v>
      </c>
    </row>
    <row r="101" spans="1:12" ht="13.8" thickBot="1" x14ac:dyDescent="0.3">
      <c r="A101" s="12">
        <v>43957.666666666664</v>
      </c>
      <c r="B101" s="4">
        <v>22.35</v>
      </c>
      <c r="C101" s="2">
        <f ca="1">IFERROR(__xludf.DUMMYFUNCTION("""COMPUTED_VALUE"""),39.88)</f>
        <v>39.880000000000003</v>
      </c>
      <c r="D101" s="2">
        <f ca="1">IFERROR(__xludf.DUMMYFUNCTION("""COMPUTED_VALUE"""),284.25)</f>
        <v>284.25</v>
      </c>
      <c r="F101" s="16">
        <f t="shared" si="10"/>
        <v>-1.3774934540282309E-2</v>
      </c>
      <c r="G101" s="16">
        <f t="shared" ca="1" si="11"/>
        <v>5.027662676965616E-3</v>
      </c>
      <c r="H101" s="16">
        <f t="shared" ca="1" si="12"/>
        <v>-6.8017932802897753E-3</v>
      </c>
      <c r="J101" s="38">
        <f t="shared" si="13"/>
        <v>-1.3821363111710882E-2</v>
      </c>
      <c r="K101" s="38">
        <f t="shared" ca="1" si="13"/>
        <v>4.9812341055370446E-3</v>
      </c>
      <c r="L101" s="38">
        <f t="shared" ca="1" si="13"/>
        <v>-6.8482218517183467E-3</v>
      </c>
    </row>
    <row r="102" spans="1:12" ht="13.8" thickBot="1" x14ac:dyDescent="0.3">
      <c r="A102" s="12">
        <v>43958.666666666664</v>
      </c>
      <c r="B102" s="4">
        <v>22.84</v>
      </c>
      <c r="C102" s="2">
        <f ca="1">IFERROR(__xludf.DUMMYFUNCTION("""COMPUTED_VALUE"""),42.04)</f>
        <v>42.04</v>
      </c>
      <c r="D102" s="2">
        <f ca="1">IFERROR(__xludf.DUMMYFUNCTION("""COMPUTED_VALUE"""),287.68)</f>
        <v>287.68</v>
      </c>
      <c r="F102" s="16">
        <f t="shared" si="10"/>
        <v>2.1687063728231606E-2</v>
      </c>
      <c r="G102" s="16">
        <f t="shared" ca="1" si="11"/>
        <v>5.2746600915112803E-2</v>
      </c>
      <c r="H102" s="16">
        <f t="shared" ca="1" si="12"/>
        <v>1.199461865261002E-2</v>
      </c>
      <c r="J102" s="38">
        <f t="shared" si="13"/>
        <v>2.1640635156803034E-2</v>
      </c>
      <c r="K102" s="38">
        <f t="shared" ca="1" si="13"/>
        <v>5.270017234368423E-2</v>
      </c>
      <c r="L102" s="38">
        <f t="shared" ca="1" si="13"/>
        <v>1.1948190081181448E-2</v>
      </c>
    </row>
    <row r="103" spans="1:12" ht="13.8" thickBot="1" x14ac:dyDescent="0.3">
      <c r="A103" s="12">
        <v>43959.666666666664</v>
      </c>
      <c r="B103" s="4">
        <v>23.57</v>
      </c>
      <c r="C103" s="2">
        <f ca="1">IFERROR(__xludf.DUMMYFUNCTION("""COMPUTED_VALUE"""),41)</f>
        <v>41</v>
      </c>
      <c r="D103" s="2">
        <f ca="1">IFERROR(__xludf.DUMMYFUNCTION("""COMPUTED_VALUE"""),292.44)</f>
        <v>292.44</v>
      </c>
      <c r="F103" s="16">
        <f t="shared" si="10"/>
        <v>3.1461332160230365E-2</v>
      </c>
      <c r="G103" s="16">
        <f t="shared" ca="1" si="11"/>
        <v>-2.504947930444253E-2</v>
      </c>
      <c r="H103" s="16">
        <f t="shared" ca="1" si="12"/>
        <v>1.6410766141859788E-2</v>
      </c>
      <c r="J103" s="38">
        <f t="shared" si="13"/>
        <v>3.1414903588801793E-2</v>
      </c>
      <c r="K103" s="38">
        <f t="shared" ca="1" si="13"/>
        <v>-2.5095907875871102E-2</v>
      </c>
      <c r="L103" s="38">
        <f t="shared" ca="1" si="13"/>
        <v>1.6364337570431216E-2</v>
      </c>
    </row>
    <row r="104" spans="1:12" ht="13.8" thickBot="1" x14ac:dyDescent="0.3">
      <c r="A104" s="12">
        <v>43962.666666666664</v>
      </c>
      <c r="B104" s="4">
        <v>22.58</v>
      </c>
      <c r="C104" s="2">
        <f ca="1">IFERROR(__xludf.DUMMYFUNCTION("""COMPUTED_VALUE"""),40.05)</f>
        <v>40.049999999999997</v>
      </c>
      <c r="D104" s="2">
        <f ca="1">IFERROR(__xludf.DUMMYFUNCTION("""COMPUTED_VALUE"""),292.5)</f>
        <v>292.5</v>
      </c>
      <c r="F104" s="16">
        <f t="shared" si="10"/>
        <v>-4.2910158226523894E-2</v>
      </c>
      <c r="G104" s="16">
        <f t="shared" ca="1" si="11"/>
        <v>-2.3443393189939599E-2</v>
      </c>
      <c r="H104" s="16">
        <f t="shared" ca="1" si="12"/>
        <v>2.051492467961305E-4</v>
      </c>
      <c r="J104" s="38">
        <f t="shared" si="13"/>
        <v>-4.2956586797952466E-2</v>
      </c>
      <c r="K104" s="38">
        <f t="shared" ca="1" si="13"/>
        <v>-2.3489821761368171E-2</v>
      </c>
      <c r="L104" s="38">
        <f t="shared" ca="1" si="13"/>
        <v>1.5872067536755908E-4</v>
      </c>
    </row>
    <row r="105" spans="1:12" ht="13.8" thickBot="1" x14ac:dyDescent="0.3">
      <c r="A105" s="12">
        <v>43963.666666666664</v>
      </c>
      <c r="B105" s="4">
        <v>21.87</v>
      </c>
      <c r="C105" s="2">
        <f ca="1">IFERROR(__xludf.DUMMYFUNCTION("""COMPUTED_VALUE"""),37.59)</f>
        <v>37.590000000000003</v>
      </c>
      <c r="D105" s="2">
        <f ca="1">IFERROR(__xludf.DUMMYFUNCTION("""COMPUTED_VALUE"""),286.67)</f>
        <v>286.67</v>
      </c>
      <c r="F105" s="16">
        <f t="shared" si="10"/>
        <v>-3.194872403283934E-2</v>
      </c>
      <c r="G105" s="16">
        <f t="shared" ca="1" si="11"/>
        <v>-6.3390615938281436E-2</v>
      </c>
      <c r="H105" s="16">
        <f t="shared" ca="1" si="12"/>
        <v>-2.0132938253094212E-2</v>
      </c>
      <c r="J105" s="38">
        <f t="shared" si="13"/>
        <v>-3.1995152604267912E-2</v>
      </c>
      <c r="K105" s="38">
        <f t="shared" ca="1" si="13"/>
        <v>-6.3437044509710008E-2</v>
      </c>
      <c r="L105" s="38">
        <f t="shared" ca="1" si="13"/>
        <v>-2.0179366824522784E-2</v>
      </c>
    </row>
    <row r="106" spans="1:12" ht="13.8" thickBot="1" x14ac:dyDescent="0.3">
      <c r="A106" s="12">
        <v>43964.666666666664</v>
      </c>
      <c r="B106" s="4">
        <v>20.87</v>
      </c>
      <c r="C106" s="2">
        <f ca="1">IFERROR(__xludf.DUMMYFUNCTION("""COMPUTED_VALUE"""),37.87)</f>
        <v>37.869999999999997</v>
      </c>
      <c r="D106" s="2">
        <f ca="1">IFERROR(__xludf.DUMMYFUNCTION("""COMPUTED_VALUE"""),281.6)</f>
        <v>281.60000000000002</v>
      </c>
      <c r="F106" s="16">
        <f t="shared" si="10"/>
        <v>-4.6803113599567132E-2</v>
      </c>
      <c r="G106" s="16">
        <f t="shared" ca="1" si="11"/>
        <v>7.4211843376166056E-3</v>
      </c>
      <c r="H106" s="16">
        <f t="shared" ca="1" si="12"/>
        <v>-1.7844104134929498E-2</v>
      </c>
      <c r="J106" s="38">
        <f t="shared" si="13"/>
        <v>-4.6849542170995705E-2</v>
      </c>
      <c r="K106" s="38">
        <f t="shared" ca="1" si="13"/>
        <v>7.3747557661880342E-3</v>
      </c>
      <c r="L106" s="38">
        <f t="shared" ca="1" si="13"/>
        <v>-1.789053270635807E-2</v>
      </c>
    </row>
    <row r="107" spans="1:12" ht="13.8" thickBot="1" x14ac:dyDescent="0.3">
      <c r="A107" s="12">
        <v>43965.666666666664</v>
      </c>
      <c r="B107" s="4">
        <v>21.71</v>
      </c>
      <c r="C107" s="2">
        <f ca="1">IFERROR(__xludf.DUMMYFUNCTION("""COMPUTED_VALUE"""),38.59)</f>
        <v>38.590000000000003</v>
      </c>
      <c r="D107" s="2">
        <f ca="1">IFERROR(__xludf.DUMMYFUNCTION("""COMPUTED_VALUE"""),284.97)</f>
        <v>284.97000000000003</v>
      </c>
      <c r="F107" s="16">
        <f t="shared" si="10"/>
        <v>3.9460262801090995E-2</v>
      </c>
      <c r="G107" s="16">
        <f t="shared" ca="1" si="11"/>
        <v>1.8833933635824071E-2</v>
      </c>
      <c r="H107" s="16">
        <f t="shared" ca="1" si="12"/>
        <v>1.189628728631343E-2</v>
      </c>
      <c r="J107" s="38">
        <f t="shared" si="13"/>
        <v>3.9413834229662423E-2</v>
      </c>
      <c r="K107" s="38">
        <f t="shared" ca="1" si="13"/>
        <v>1.8787505064395499E-2</v>
      </c>
      <c r="L107" s="38">
        <f t="shared" ca="1" si="13"/>
        <v>1.1849858714884857E-2</v>
      </c>
    </row>
    <row r="108" spans="1:12" ht="13.8" thickBot="1" x14ac:dyDescent="0.3">
      <c r="A108" s="12">
        <v>43966.666666666664</v>
      </c>
      <c r="B108" s="4">
        <v>21.44</v>
      </c>
      <c r="C108" s="2">
        <f ca="1">IFERROR(__xludf.DUMMYFUNCTION("""COMPUTED_VALUE"""),40.85)</f>
        <v>40.85</v>
      </c>
      <c r="D108" s="2">
        <f ca="1">IFERROR(__xludf.DUMMYFUNCTION("""COMPUTED_VALUE"""),286.28)</f>
        <v>286.27999999999997</v>
      </c>
      <c r="F108" s="16">
        <f t="shared" si="10"/>
        <v>-1.2514647687599164E-2</v>
      </c>
      <c r="G108" s="16">
        <f t="shared" ca="1" si="11"/>
        <v>5.6913645756484513E-2</v>
      </c>
      <c r="H108" s="16">
        <f t="shared" ca="1" si="12"/>
        <v>4.5864413001958631E-3</v>
      </c>
      <c r="J108" s="38">
        <f t="shared" si="13"/>
        <v>-1.2561076259027736E-2</v>
      </c>
      <c r="K108" s="38">
        <f t="shared" ca="1" si="13"/>
        <v>5.686721718505594E-2</v>
      </c>
      <c r="L108" s="38">
        <f t="shared" ca="1" si="13"/>
        <v>4.5400127287672917E-3</v>
      </c>
    </row>
    <row r="109" spans="1:12" ht="13.8" thickBot="1" x14ac:dyDescent="0.3">
      <c r="A109" s="12">
        <v>43969.666666666664</v>
      </c>
      <c r="B109" s="4">
        <v>22.93</v>
      </c>
      <c r="C109" s="2">
        <f ca="1">IFERROR(__xludf.DUMMYFUNCTION("""COMPUTED_VALUE"""),41.79)</f>
        <v>41.79</v>
      </c>
      <c r="D109" s="2">
        <f ca="1">IFERROR(__xludf.DUMMYFUNCTION("""COMPUTED_VALUE"""),295)</f>
        <v>295</v>
      </c>
      <c r="F109" s="16">
        <f t="shared" si="10"/>
        <v>6.718776066721184E-2</v>
      </c>
      <c r="G109" s="16">
        <f t="shared" ca="1" si="11"/>
        <v>2.2750255153812033E-2</v>
      </c>
      <c r="H109" s="16">
        <f t="shared" ca="1" si="12"/>
        <v>3.0005003469423148E-2</v>
      </c>
      <c r="J109" s="38">
        <f t="shared" si="13"/>
        <v>6.7141332095783268E-2</v>
      </c>
      <c r="K109" s="38">
        <f t="shared" ca="1" si="13"/>
        <v>2.2703826582383461E-2</v>
      </c>
      <c r="L109" s="38">
        <f t="shared" ca="1" si="13"/>
        <v>2.9958574897994576E-2</v>
      </c>
    </row>
    <row r="110" spans="1:12" ht="13.8" thickBot="1" x14ac:dyDescent="0.3">
      <c r="A110" s="12">
        <v>43970.666666666664</v>
      </c>
      <c r="B110" s="4">
        <v>22.21</v>
      </c>
      <c r="C110" s="2">
        <f ca="1">IFERROR(__xludf.DUMMYFUNCTION("""COMPUTED_VALUE"""),41.4)</f>
        <v>41.4</v>
      </c>
      <c r="D110" s="2">
        <f ca="1">IFERROR(__xludf.DUMMYFUNCTION("""COMPUTED_VALUE"""),291.97)</f>
        <v>291.97000000000003</v>
      </c>
      <c r="F110" s="16">
        <f t="shared" si="10"/>
        <v>-3.1903458963476947E-2</v>
      </c>
      <c r="G110" s="16">
        <f t="shared" ca="1" si="11"/>
        <v>-9.3761956285553331E-3</v>
      </c>
      <c r="H110" s="16">
        <f t="shared" ca="1" si="12"/>
        <v>-1.0324299075652603E-2</v>
      </c>
      <c r="J110" s="38">
        <f t="shared" si="13"/>
        <v>-3.1949887534905519E-2</v>
      </c>
      <c r="K110" s="38">
        <f t="shared" ca="1" si="13"/>
        <v>-9.4226241999839054E-3</v>
      </c>
      <c r="L110" s="38">
        <f t="shared" ca="1" si="13"/>
        <v>-1.0370727647081175E-2</v>
      </c>
    </row>
    <row r="111" spans="1:12" ht="13.8" thickBot="1" x14ac:dyDescent="0.3">
      <c r="A111" s="12">
        <v>43971.666666666664</v>
      </c>
      <c r="B111" s="4">
        <v>22.91</v>
      </c>
      <c r="C111" s="2">
        <f ca="1">IFERROR(__xludf.DUMMYFUNCTION("""COMPUTED_VALUE"""),41.1)</f>
        <v>41.1</v>
      </c>
      <c r="D111" s="2">
        <f ca="1">IFERROR(__xludf.DUMMYFUNCTION("""COMPUTED_VALUE"""),296.93)</f>
        <v>296.93</v>
      </c>
      <c r="F111" s="16">
        <f t="shared" si="10"/>
        <v>3.1030858559068019E-2</v>
      </c>
      <c r="G111" s="16">
        <f t="shared" ca="1" si="11"/>
        <v>-7.2727593290796968E-3</v>
      </c>
      <c r="H111" s="16">
        <f t="shared" ca="1" si="12"/>
        <v>1.6845363523533559E-2</v>
      </c>
      <c r="J111" s="38">
        <f t="shared" si="13"/>
        <v>3.0984429987639447E-2</v>
      </c>
      <c r="K111" s="38">
        <f t="shared" ca="1" si="13"/>
        <v>-7.3191879005082682E-3</v>
      </c>
      <c r="L111" s="38">
        <f t="shared" ca="1" si="13"/>
        <v>1.6798934952104987E-2</v>
      </c>
    </row>
    <row r="112" spans="1:12" ht="13.8" thickBot="1" x14ac:dyDescent="0.3">
      <c r="A112" s="12">
        <v>43972.666666666664</v>
      </c>
      <c r="B112" s="4">
        <v>22.9</v>
      </c>
      <c r="C112" s="2">
        <f ca="1">IFERROR(__xludf.DUMMYFUNCTION("""COMPUTED_VALUE"""),40.38)</f>
        <v>40.380000000000003</v>
      </c>
      <c r="D112" s="2">
        <f ca="1">IFERROR(__xludf.DUMMYFUNCTION("""COMPUTED_VALUE"""),294.88)</f>
        <v>294.88</v>
      </c>
      <c r="F112" s="16">
        <f t="shared" si="10"/>
        <v>-4.3658590521023334E-4</v>
      </c>
      <c r="G112" s="16">
        <f t="shared" ca="1" si="11"/>
        <v>-1.767350861749744E-2</v>
      </c>
      <c r="H112" s="16">
        <f t="shared" ca="1" si="12"/>
        <v>-6.9279268661877136E-3</v>
      </c>
      <c r="J112" s="38">
        <f t="shared" si="13"/>
        <v>-4.8301447663880474E-4</v>
      </c>
      <c r="K112" s="38">
        <f t="shared" ca="1" si="13"/>
        <v>-1.7719937188926012E-2</v>
      </c>
      <c r="L112" s="38">
        <f t="shared" ca="1" si="13"/>
        <v>-6.974355437616285E-3</v>
      </c>
    </row>
    <row r="113" spans="1:12" ht="13.8" thickBot="1" x14ac:dyDescent="0.3">
      <c r="A113" s="12">
        <v>43973.666666666664</v>
      </c>
      <c r="B113" s="4">
        <v>22.66</v>
      </c>
      <c r="C113" s="2">
        <f ca="1">IFERROR(__xludf.DUMMYFUNCTION("""COMPUTED_VALUE"""),40.83)</f>
        <v>40.83</v>
      </c>
      <c r="D113" s="2">
        <f ca="1">IFERROR(__xludf.DUMMYFUNCTION("""COMPUTED_VALUE"""),295.44)</f>
        <v>295.44</v>
      </c>
      <c r="F113" s="16">
        <f t="shared" si="10"/>
        <v>-1.0535654960333643E-2</v>
      </c>
      <c r="G113" s="16">
        <f t="shared" ca="1" si="11"/>
        <v>1.1082492446792918E-2</v>
      </c>
      <c r="H113" s="16">
        <f t="shared" ca="1" si="12"/>
        <v>1.8972766227946618E-3</v>
      </c>
      <c r="J113" s="38">
        <f t="shared" si="13"/>
        <v>-1.0582083531762215E-2</v>
      </c>
      <c r="K113" s="38">
        <f t="shared" ca="1" si="13"/>
        <v>1.1036063875364346E-2</v>
      </c>
      <c r="L113" s="38">
        <f t="shared" ca="1" si="13"/>
        <v>1.8508480513660904E-3</v>
      </c>
    </row>
    <row r="114" spans="1:12" ht="13.8" thickBot="1" x14ac:dyDescent="0.3">
      <c r="A114" s="12">
        <v>43977.666666666664</v>
      </c>
      <c r="B114" s="4">
        <v>24.28</v>
      </c>
      <c r="C114" s="2">
        <f ca="1">IFERROR(__xludf.DUMMYFUNCTION("""COMPUTED_VALUE"""),43.77)</f>
        <v>43.77</v>
      </c>
      <c r="D114" s="2">
        <f ca="1">IFERROR(__xludf.DUMMYFUNCTION("""COMPUTED_VALUE"""),299.08)</f>
        <v>299.08</v>
      </c>
      <c r="F114" s="16">
        <f t="shared" si="10"/>
        <v>6.9051710591437401E-2</v>
      </c>
      <c r="G114" s="16">
        <f t="shared" ca="1" si="11"/>
        <v>6.9531545871319794E-2</v>
      </c>
      <c r="H114" s="16">
        <f t="shared" ca="1" si="12"/>
        <v>1.2245325587407025E-2</v>
      </c>
      <c r="J114" s="38">
        <f t="shared" si="13"/>
        <v>6.9005282020008829E-2</v>
      </c>
      <c r="K114" s="38">
        <f t="shared" ca="1" si="13"/>
        <v>6.9485117299891222E-2</v>
      </c>
      <c r="L114" s="38">
        <f t="shared" ca="1" si="13"/>
        <v>1.2198897015978453E-2</v>
      </c>
    </row>
    <row r="115" spans="1:12" ht="13.8" thickBot="1" x14ac:dyDescent="0.3">
      <c r="A115" s="12">
        <v>43978.666666666664</v>
      </c>
      <c r="B115" s="4">
        <v>25.98</v>
      </c>
      <c r="C115" s="2">
        <f ca="1">IFERROR(__xludf.DUMMYFUNCTION("""COMPUTED_VALUE"""),46.38)</f>
        <v>46.38</v>
      </c>
      <c r="D115" s="2">
        <f ca="1">IFERROR(__xludf.DUMMYFUNCTION("""COMPUTED_VALUE"""),303.53)</f>
        <v>303.52999999999997</v>
      </c>
      <c r="F115" s="16">
        <f t="shared" si="10"/>
        <v>6.7674045051155984E-2</v>
      </c>
      <c r="G115" s="16">
        <f t="shared" ca="1" si="11"/>
        <v>5.79196806245817E-2</v>
      </c>
      <c r="H115" s="16">
        <f t="shared" ca="1" si="12"/>
        <v>1.4769356270295764E-2</v>
      </c>
      <c r="J115" s="38">
        <f t="shared" si="13"/>
        <v>6.7627616479727412E-2</v>
      </c>
      <c r="K115" s="38">
        <f t="shared" ca="1" si="13"/>
        <v>5.7873252053153128E-2</v>
      </c>
      <c r="L115" s="38">
        <f t="shared" ca="1" si="13"/>
        <v>1.4722927698867192E-2</v>
      </c>
    </row>
    <row r="116" spans="1:12" ht="13.8" thickBot="1" x14ac:dyDescent="0.3">
      <c r="A116" s="12">
        <v>43979.666666666664</v>
      </c>
      <c r="B116" s="4">
        <v>24.86</v>
      </c>
      <c r="C116" s="2">
        <f ca="1">IFERROR(__xludf.DUMMYFUNCTION("""COMPUTED_VALUE"""),45.71)</f>
        <v>45.71</v>
      </c>
      <c r="D116" s="2">
        <f ca="1">IFERROR(__xludf.DUMMYFUNCTION("""COMPUTED_VALUE"""),302.97)</f>
        <v>302.97000000000003</v>
      </c>
      <c r="F116" s="16">
        <f t="shared" si="10"/>
        <v>-4.4066925159888408E-2</v>
      </c>
      <c r="G116" s="16">
        <f t="shared" ca="1" si="11"/>
        <v>-1.4551239483732603E-2</v>
      </c>
      <c r="H116" s="16">
        <f t="shared" ca="1" si="12"/>
        <v>-1.8466616954351228E-3</v>
      </c>
      <c r="J116" s="38">
        <f t="shared" si="13"/>
        <v>-4.411335373131698E-2</v>
      </c>
      <c r="K116" s="38">
        <f t="shared" ca="1" si="13"/>
        <v>-1.4597668055161175E-2</v>
      </c>
      <c r="L116" s="38">
        <f t="shared" ca="1" si="13"/>
        <v>-1.8930902668636942E-3</v>
      </c>
    </row>
    <row r="117" spans="1:12" ht="13.8" thickBot="1" x14ac:dyDescent="0.3">
      <c r="A117" s="12">
        <v>43980.666666666664</v>
      </c>
      <c r="B117" s="4">
        <v>24.12</v>
      </c>
      <c r="C117" s="2">
        <f ca="1">IFERROR(__xludf.DUMMYFUNCTION("""COMPUTED_VALUE"""),43.41)</f>
        <v>43.41</v>
      </c>
      <c r="D117" s="2">
        <f ca="1">IFERROR(__xludf.DUMMYFUNCTION("""COMPUTED_VALUE"""),304.32)</f>
        <v>304.32</v>
      </c>
      <c r="F117" s="16">
        <f t="shared" si="10"/>
        <v>-3.0218714223580294E-2</v>
      </c>
      <c r="G117" s="16">
        <f t="shared" ca="1" si="11"/>
        <v>-5.1627263032150962E-2</v>
      </c>
      <c r="H117" s="16">
        <f t="shared" ca="1" si="12"/>
        <v>4.4459886504501422E-3</v>
      </c>
      <c r="J117" s="38">
        <f t="shared" si="13"/>
        <v>-3.0265142795008866E-2</v>
      </c>
      <c r="K117" s="38">
        <f t="shared" ca="1" si="13"/>
        <v>-5.1673691603579534E-2</v>
      </c>
      <c r="L117" s="38">
        <f t="shared" ca="1" si="13"/>
        <v>4.3995600790215708E-3</v>
      </c>
    </row>
    <row r="118" spans="1:12" ht="13.8" thickBot="1" x14ac:dyDescent="0.3">
      <c r="A118" s="12">
        <v>43983.666666666664</v>
      </c>
      <c r="B118" s="4">
        <v>24.61</v>
      </c>
      <c r="C118" s="2">
        <f ca="1">IFERROR(__xludf.DUMMYFUNCTION("""COMPUTED_VALUE"""),45.36)</f>
        <v>45.36</v>
      </c>
      <c r="D118" s="2">
        <f ca="1">IFERROR(__xludf.DUMMYFUNCTION("""COMPUTED_VALUE"""),305.55)</f>
        <v>305.55</v>
      </c>
      <c r="F118" s="16">
        <f t="shared" si="10"/>
        <v>2.0111492543979793E-2</v>
      </c>
      <c r="G118" s="16">
        <f t="shared" ca="1" si="11"/>
        <v>4.3940830107994586E-2</v>
      </c>
      <c r="H118" s="16">
        <f t="shared" ca="1" si="12"/>
        <v>4.0336519838990899E-3</v>
      </c>
      <c r="J118" s="38">
        <f t="shared" si="13"/>
        <v>2.0065063972551221E-2</v>
      </c>
      <c r="K118" s="38">
        <f t="shared" ca="1" si="13"/>
        <v>4.3894401536566013E-2</v>
      </c>
      <c r="L118" s="38">
        <f t="shared" ca="1" si="13"/>
        <v>3.9872234124705185E-3</v>
      </c>
    </row>
    <row r="119" spans="1:12" ht="13.8" thickBot="1" x14ac:dyDescent="0.3">
      <c r="A119" s="12">
        <v>43984.666666666664</v>
      </c>
      <c r="B119" s="4">
        <v>24.84</v>
      </c>
      <c r="C119" s="2">
        <f ca="1">IFERROR(__xludf.DUMMYFUNCTION("""COMPUTED_VALUE"""),47.68)</f>
        <v>47.68</v>
      </c>
      <c r="D119" s="2">
        <f ca="1">IFERROR(__xludf.DUMMYFUNCTION("""COMPUTED_VALUE"""),308.08)</f>
        <v>308.08</v>
      </c>
      <c r="F119" s="16">
        <f t="shared" si="10"/>
        <v>9.3023926623136306E-3</v>
      </c>
      <c r="G119" s="16">
        <f t="shared" ca="1" si="11"/>
        <v>4.9881363337597635E-2</v>
      </c>
      <c r="H119" s="16">
        <f t="shared" ca="1" si="12"/>
        <v>8.2460581657289051E-3</v>
      </c>
      <c r="J119" s="38">
        <f t="shared" si="13"/>
        <v>9.2559640908850584E-3</v>
      </c>
      <c r="K119" s="38">
        <f t="shared" ca="1" si="13"/>
        <v>4.9834934766169063E-2</v>
      </c>
      <c r="L119" s="38">
        <f t="shared" ca="1" si="13"/>
        <v>8.1996295943003328E-3</v>
      </c>
    </row>
    <row r="120" spans="1:12" ht="13.8" thickBot="1" x14ac:dyDescent="0.3">
      <c r="A120" s="12">
        <v>43985.666666666664</v>
      </c>
      <c r="B120" s="4">
        <v>25.99</v>
      </c>
      <c r="C120" s="2">
        <f ca="1">IFERROR(__xludf.DUMMYFUNCTION("""COMPUTED_VALUE"""),47.99)</f>
        <v>47.99</v>
      </c>
      <c r="D120" s="2">
        <f ca="1">IFERROR(__xludf.DUMMYFUNCTION("""COMPUTED_VALUE"""),312.18)</f>
        <v>312.18</v>
      </c>
      <c r="F120" s="16">
        <f t="shared" si="10"/>
        <v>4.5256591588120863E-2</v>
      </c>
      <c r="G120" s="16">
        <f t="shared" ca="1" si="11"/>
        <v>6.4806331130598492E-3</v>
      </c>
      <c r="H120" s="16">
        <f t="shared" ca="1" si="12"/>
        <v>1.3220455023613697E-2</v>
      </c>
      <c r="J120" s="38">
        <f t="shared" si="13"/>
        <v>4.5210163016692291E-2</v>
      </c>
      <c r="K120" s="38">
        <f t="shared" ca="1" si="13"/>
        <v>6.4342045416312778E-3</v>
      </c>
      <c r="L120" s="38">
        <f t="shared" ca="1" si="13"/>
        <v>1.3174026452185125E-2</v>
      </c>
    </row>
    <row r="121" spans="1:12" ht="13.8" thickBot="1" x14ac:dyDescent="0.3">
      <c r="A121" s="12">
        <v>43986.666666666664</v>
      </c>
      <c r="B121" s="4">
        <v>26.78</v>
      </c>
      <c r="C121" s="2">
        <f ca="1">IFERROR(__xludf.DUMMYFUNCTION("""COMPUTED_VALUE"""),53.01)</f>
        <v>53.01</v>
      </c>
      <c r="D121" s="2">
        <f ca="1">IFERROR(__xludf.DUMMYFUNCTION("""COMPUTED_VALUE"""),311.36)</f>
        <v>311.36</v>
      </c>
      <c r="F121" s="16">
        <f t="shared" si="10"/>
        <v>2.9943491609627639E-2</v>
      </c>
      <c r="G121" s="16">
        <f t="shared" ca="1" si="11"/>
        <v>9.9487919129560565E-2</v>
      </c>
      <c r="H121" s="16">
        <f t="shared" ca="1" si="12"/>
        <v>-2.6301455326268857E-3</v>
      </c>
      <c r="J121" s="38">
        <f t="shared" si="13"/>
        <v>2.9897063038199067E-2</v>
      </c>
      <c r="K121" s="38">
        <f t="shared" ca="1" si="13"/>
        <v>9.9441490558131992E-2</v>
      </c>
      <c r="L121" s="38">
        <f t="shared" ca="1" si="13"/>
        <v>-2.6765741040554571E-3</v>
      </c>
    </row>
    <row r="122" spans="1:12" ht="13.8" thickBot="1" x14ac:dyDescent="0.3">
      <c r="A122" s="12">
        <v>43987.666666666664</v>
      </c>
      <c r="B122" s="4">
        <v>28.11</v>
      </c>
      <c r="C122" s="2">
        <f ca="1">IFERROR(__xludf.DUMMYFUNCTION("""COMPUTED_VALUE"""),53.8)</f>
        <v>53.8</v>
      </c>
      <c r="D122" s="2">
        <f ca="1">IFERROR(__xludf.DUMMYFUNCTION("""COMPUTED_VALUE"""),319.34)</f>
        <v>319.33999999999997</v>
      </c>
      <c r="F122" s="16">
        <f t="shared" si="10"/>
        <v>4.8470044655413963E-2</v>
      </c>
      <c r="G122" s="16">
        <f t="shared" ca="1" si="11"/>
        <v>1.4792892168024039E-2</v>
      </c>
      <c r="H122" s="16">
        <f t="shared" ca="1" si="12"/>
        <v>2.5306566913914936E-2</v>
      </c>
      <c r="J122" s="38">
        <f t="shared" si="13"/>
        <v>4.8423616083985391E-2</v>
      </c>
      <c r="K122" s="38">
        <f t="shared" ca="1" si="13"/>
        <v>1.4746463596595467E-2</v>
      </c>
      <c r="L122" s="38">
        <f t="shared" ca="1" si="13"/>
        <v>2.5260138342486364E-2</v>
      </c>
    </row>
    <row r="123" spans="1:12" ht="13.8" thickBot="1" x14ac:dyDescent="0.3">
      <c r="A123" s="12">
        <v>43990.666666666664</v>
      </c>
      <c r="B123" s="4">
        <v>28.54</v>
      </c>
      <c r="C123" s="2">
        <f ca="1">IFERROR(__xludf.DUMMYFUNCTION("""COMPUTED_VALUE"""),51.57)</f>
        <v>51.57</v>
      </c>
      <c r="D123" s="2">
        <f ca="1">IFERROR(__xludf.DUMMYFUNCTION("""COMPUTED_VALUE"""),323.2)</f>
        <v>323.2</v>
      </c>
      <c r="F123" s="16">
        <f t="shared" si="10"/>
        <v>1.5181227130249938E-2</v>
      </c>
      <c r="G123" s="16">
        <f t="shared" ca="1" si="11"/>
        <v>-4.2333359104871134E-2</v>
      </c>
      <c r="H123" s="16">
        <f t="shared" ca="1" si="12"/>
        <v>1.2014960735385185E-2</v>
      </c>
      <c r="J123" s="38">
        <f t="shared" si="13"/>
        <v>1.5134798558821366E-2</v>
      </c>
      <c r="K123" s="38">
        <f t="shared" ca="1" si="13"/>
        <v>-4.2379787676299706E-2</v>
      </c>
      <c r="L123" s="38">
        <f t="shared" ca="1" si="13"/>
        <v>1.1968532163956613E-2</v>
      </c>
    </row>
    <row r="124" spans="1:12" ht="13.8" thickBot="1" x14ac:dyDescent="0.3">
      <c r="A124" s="12">
        <v>43991.666666666664</v>
      </c>
      <c r="B124" s="4">
        <v>28.22</v>
      </c>
      <c r="C124" s="2">
        <f ca="1">IFERROR(__xludf.DUMMYFUNCTION("""COMPUTED_VALUE"""),50.35)</f>
        <v>50.35</v>
      </c>
      <c r="D124" s="2">
        <f ca="1">IFERROR(__xludf.DUMMYFUNCTION("""COMPUTED_VALUE"""),320.79)</f>
        <v>320.79000000000002</v>
      </c>
      <c r="F124" s="16">
        <f t="shared" si="10"/>
        <v>-1.1275665624022435E-2</v>
      </c>
      <c r="G124" s="16">
        <f t="shared" ca="1" si="11"/>
        <v>-2.3941488898296236E-2</v>
      </c>
      <c r="H124" s="16">
        <f t="shared" ca="1" si="12"/>
        <v>-7.4846232102652663E-3</v>
      </c>
      <c r="J124" s="38">
        <f t="shared" si="13"/>
        <v>-1.1322094195451007E-2</v>
      </c>
      <c r="K124" s="38">
        <f t="shared" ca="1" si="13"/>
        <v>-2.3987917469724809E-2</v>
      </c>
      <c r="L124" s="38">
        <f t="shared" ca="1" si="13"/>
        <v>-7.5310517816938377E-3</v>
      </c>
    </row>
    <row r="125" spans="1:12" ht="13.8" thickBot="1" x14ac:dyDescent="0.3">
      <c r="A125" s="12">
        <v>43992.666666666664</v>
      </c>
      <c r="B125" s="4">
        <v>26.6</v>
      </c>
      <c r="C125" s="2">
        <f ca="1">IFERROR(__xludf.DUMMYFUNCTION("""COMPUTED_VALUE"""),45.47)</f>
        <v>45.47</v>
      </c>
      <c r="D125" s="2">
        <f ca="1">IFERROR(__xludf.DUMMYFUNCTION("""COMPUTED_VALUE"""),319)</f>
        <v>319</v>
      </c>
      <c r="F125" s="16">
        <f t="shared" si="10"/>
        <v>-5.9119730637014492E-2</v>
      </c>
      <c r="G125" s="16">
        <f t="shared" ca="1" si="11"/>
        <v>-0.10194585132765215</v>
      </c>
      <c r="H125" s="16">
        <f t="shared" ca="1" si="12"/>
        <v>-5.5956006518304152E-3</v>
      </c>
      <c r="J125" s="38">
        <f t="shared" si="13"/>
        <v>-5.9166159208443064E-2</v>
      </c>
      <c r="K125" s="38">
        <f t="shared" ca="1" si="13"/>
        <v>-0.10199227989908072</v>
      </c>
      <c r="L125" s="38">
        <f t="shared" ca="1" si="13"/>
        <v>-5.6420292232589866E-3</v>
      </c>
    </row>
    <row r="126" spans="1:12" ht="13.8" thickBot="1" x14ac:dyDescent="0.3">
      <c r="A126" s="12">
        <v>43993.666666666664</v>
      </c>
      <c r="B126" s="4">
        <v>23.93</v>
      </c>
      <c r="C126" s="2">
        <f ca="1">IFERROR(__xludf.DUMMYFUNCTION("""COMPUTED_VALUE"""),44.86)</f>
        <v>44.86</v>
      </c>
      <c r="D126" s="2">
        <f ca="1">IFERROR(__xludf.DUMMYFUNCTION("""COMPUTED_VALUE"""),300.61)</f>
        <v>300.61</v>
      </c>
      <c r="F126" s="16">
        <f t="shared" si="10"/>
        <v>-0.10577831386737151</v>
      </c>
      <c r="G126" s="16">
        <f t="shared" ca="1" si="11"/>
        <v>-1.3506238744856951E-2</v>
      </c>
      <c r="H126" s="16">
        <f t="shared" ca="1" si="12"/>
        <v>-5.9377359219564198E-2</v>
      </c>
      <c r="J126" s="38">
        <f t="shared" si="13"/>
        <v>-0.10582474243880008</v>
      </c>
      <c r="K126" s="38">
        <f t="shared" ca="1" si="13"/>
        <v>-1.3552667316285523E-2</v>
      </c>
      <c r="L126" s="38">
        <f t="shared" ca="1" si="13"/>
        <v>-5.942378779099277E-2</v>
      </c>
    </row>
    <row r="127" spans="1:12" ht="13.8" thickBot="1" x14ac:dyDescent="0.3">
      <c r="A127" s="12">
        <v>43994.666666666664</v>
      </c>
      <c r="B127" s="4">
        <v>24.78</v>
      </c>
      <c r="C127" s="2">
        <f ca="1">IFERROR(__xludf.DUMMYFUNCTION("""COMPUTED_VALUE"""),45.1)</f>
        <v>45.1</v>
      </c>
      <c r="D127" s="2">
        <f ca="1">IFERROR(__xludf.DUMMYFUNCTION("""COMPUTED_VALUE"""),304.21)</f>
        <v>304.20999999999998</v>
      </c>
      <c r="F127" s="16">
        <f t="shared" si="10"/>
        <v>3.4903974280714491E-2</v>
      </c>
      <c r="G127" s="16">
        <f t="shared" ca="1" si="11"/>
        <v>5.3357174165704572E-3</v>
      </c>
      <c r="H127" s="16">
        <f t="shared" ca="1" si="12"/>
        <v>1.1904508829399474E-2</v>
      </c>
      <c r="J127" s="38">
        <f t="shared" si="13"/>
        <v>3.4857545709285918E-2</v>
      </c>
      <c r="K127" s="38">
        <f t="shared" ca="1" si="13"/>
        <v>5.2892888451418858E-3</v>
      </c>
      <c r="L127" s="38">
        <f t="shared" ca="1" si="13"/>
        <v>1.1858080257970902E-2</v>
      </c>
    </row>
    <row r="128" spans="1:12" ht="13.8" thickBot="1" x14ac:dyDescent="0.3">
      <c r="A128" s="12">
        <v>43997.666666666664</v>
      </c>
      <c r="B128" s="4">
        <v>25.15</v>
      </c>
      <c r="C128" s="2">
        <f ca="1">IFERROR(__xludf.DUMMYFUNCTION("""COMPUTED_VALUE"""),48.16)</f>
        <v>48.16</v>
      </c>
      <c r="D128" s="2">
        <f ca="1">IFERROR(__xludf.DUMMYFUNCTION("""COMPUTED_VALUE"""),307.05)</f>
        <v>307.05</v>
      </c>
      <c r="F128" s="16">
        <f t="shared" si="10"/>
        <v>1.482102034475165E-2</v>
      </c>
      <c r="G128" s="16">
        <f t="shared" ca="1" si="11"/>
        <v>6.564655449193274E-2</v>
      </c>
      <c r="H128" s="16">
        <f t="shared" ca="1" si="12"/>
        <v>9.292348380728439E-3</v>
      </c>
      <c r="J128" s="38">
        <f t="shared" si="13"/>
        <v>1.4774591773323078E-2</v>
      </c>
      <c r="K128" s="38">
        <f t="shared" ca="1" si="13"/>
        <v>6.5600125920504168E-2</v>
      </c>
      <c r="L128" s="38">
        <f t="shared" ca="1" si="13"/>
        <v>9.2459198092998667E-3</v>
      </c>
    </row>
    <row r="129" spans="1:12" ht="13.8" thickBot="1" x14ac:dyDescent="0.3">
      <c r="A129" s="12">
        <v>43998.666666666664</v>
      </c>
      <c r="B129" s="4">
        <v>25.8</v>
      </c>
      <c r="C129" s="2">
        <f ca="1">IFERROR(__xludf.DUMMYFUNCTION("""COMPUTED_VALUE"""),47.39)</f>
        <v>47.39</v>
      </c>
      <c r="D129" s="2">
        <f ca="1">IFERROR(__xludf.DUMMYFUNCTION("""COMPUTED_VALUE"""),312.96)</f>
        <v>312.95999999999998</v>
      </c>
      <c r="F129" s="16">
        <f t="shared" si="10"/>
        <v>2.5516595381823524E-2</v>
      </c>
      <c r="G129" s="16">
        <f t="shared" ca="1" si="11"/>
        <v>-1.6117565021068585E-2</v>
      </c>
      <c r="H129" s="16">
        <f t="shared" ca="1" si="12"/>
        <v>1.9064786071044084E-2</v>
      </c>
      <c r="J129" s="38">
        <f t="shared" si="13"/>
        <v>2.5470166810394951E-2</v>
      </c>
      <c r="K129" s="38">
        <f t="shared" ca="1" si="13"/>
        <v>-1.6163993592497157E-2</v>
      </c>
      <c r="L129" s="38">
        <f t="shared" ca="1" si="13"/>
        <v>1.9018357499615512E-2</v>
      </c>
    </row>
    <row r="130" spans="1:12" ht="13.8" thickBot="1" x14ac:dyDescent="0.3">
      <c r="A130" s="12">
        <v>43999.666666666664</v>
      </c>
      <c r="B130" s="4">
        <v>25</v>
      </c>
      <c r="C130" s="2">
        <f ca="1">IFERROR(__xludf.DUMMYFUNCTION("""COMPUTED_VALUE"""),47.35)</f>
        <v>47.35</v>
      </c>
      <c r="D130" s="2">
        <f ca="1">IFERROR(__xludf.DUMMYFUNCTION("""COMPUTED_VALUE"""),311.66)</f>
        <v>311.66000000000003</v>
      </c>
      <c r="F130" s="16">
        <f t="shared" si="10"/>
        <v>-3.1498667059371051E-2</v>
      </c>
      <c r="G130" s="16">
        <f t="shared" ca="1" si="11"/>
        <v>-8.4441634740964366E-4</v>
      </c>
      <c r="H130" s="16">
        <f t="shared" ca="1" si="12"/>
        <v>-4.162536828983974E-3</v>
      </c>
      <c r="J130" s="38">
        <f t="shared" si="13"/>
        <v>-3.1545095630799623E-2</v>
      </c>
      <c r="K130" s="38">
        <f t="shared" ca="1" si="13"/>
        <v>-8.9084491883821505E-4</v>
      </c>
      <c r="L130" s="38">
        <f t="shared" ca="1" si="13"/>
        <v>-4.2089654004125454E-3</v>
      </c>
    </row>
    <row r="131" spans="1:12" ht="13.8" thickBot="1" x14ac:dyDescent="0.3">
      <c r="A131" s="12">
        <v>44000.666666666664</v>
      </c>
      <c r="B131" s="4">
        <v>25.04</v>
      </c>
      <c r="C131" s="2">
        <f ca="1">IFERROR(__xludf.DUMMYFUNCTION("""COMPUTED_VALUE"""),47)</f>
        <v>47</v>
      </c>
      <c r="D131" s="2">
        <f ca="1">IFERROR(__xludf.DUMMYFUNCTION("""COMPUTED_VALUE"""),311.78)</f>
        <v>311.77999999999997</v>
      </c>
      <c r="F131" s="16">
        <f t="shared" si="10"/>
        <v>1.5987213636970735E-3</v>
      </c>
      <c r="G131" s="16">
        <f t="shared" ca="1" si="11"/>
        <v>-7.419217922028677E-3</v>
      </c>
      <c r="H131" s="16">
        <f t="shared" ca="1" si="12"/>
        <v>3.8496086706628449E-4</v>
      </c>
      <c r="J131" s="38">
        <f t="shared" si="13"/>
        <v>1.5522927922685021E-3</v>
      </c>
      <c r="K131" s="38">
        <f t="shared" ca="1" si="13"/>
        <v>-7.4656464934572484E-3</v>
      </c>
      <c r="L131" s="38">
        <f t="shared" ca="1" si="13"/>
        <v>3.385322956377131E-4</v>
      </c>
    </row>
    <row r="132" spans="1:12" ht="13.8" thickBot="1" x14ac:dyDescent="0.3">
      <c r="A132" s="12">
        <v>44001.666666666664</v>
      </c>
      <c r="B132" s="4">
        <v>25.25</v>
      </c>
      <c r="C132" s="2">
        <f ca="1">IFERROR(__xludf.DUMMYFUNCTION("""COMPUTED_VALUE"""),46.04)</f>
        <v>46.04</v>
      </c>
      <c r="D132" s="2">
        <f ca="1">IFERROR(__xludf.DUMMYFUNCTION("""COMPUTED_VALUE"""),308.64)</f>
        <v>308.64</v>
      </c>
      <c r="F132" s="16">
        <f t="shared" si="10"/>
        <v>8.3516094894711488E-3</v>
      </c>
      <c r="G132" s="16">
        <f t="shared" ca="1" si="11"/>
        <v>-2.0637017856376678E-2</v>
      </c>
      <c r="H132" s="16">
        <f t="shared" ca="1" si="12"/>
        <v>-1.012226172711593E-2</v>
      </c>
      <c r="J132" s="38">
        <f t="shared" si="13"/>
        <v>8.3051809180425765E-3</v>
      </c>
      <c r="K132" s="38">
        <f t="shared" ca="1" si="13"/>
        <v>-2.0683446427805251E-2</v>
      </c>
      <c r="L132" s="38">
        <f t="shared" ca="1" si="13"/>
        <v>-1.0168690298544503E-2</v>
      </c>
    </row>
    <row r="133" spans="1:12" ht="13.8" thickBot="1" x14ac:dyDescent="0.3">
      <c r="A133" s="12">
        <v>44004.666666666664</v>
      </c>
      <c r="B133" s="4">
        <v>24.62</v>
      </c>
      <c r="C133" s="2">
        <f ca="1">IFERROR(__xludf.DUMMYFUNCTION("""COMPUTED_VALUE"""),46.88)</f>
        <v>46.88</v>
      </c>
      <c r="D133" s="2">
        <f ca="1">IFERROR(__xludf.DUMMYFUNCTION("""COMPUTED_VALUE"""),310.62)</f>
        <v>310.62</v>
      </c>
      <c r="F133" s="16">
        <f t="shared" si="10"/>
        <v>-2.5267034965061289E-2</v>
      </c>
      <c r="G133" s="16">
        <f t="shared" ca="1" si="11"/>
        <v>1.8080561415075368E-2</v>
      </c>
      <c r="H133" s="16">
        <f t="shared" ca="1" si="12"/>
        <v>6.3947509844461438E-3</v>
      </c>
      <c r="J133" s="38">
        <f t="shared" si="13"/>
        <v>-2.5313463536489861E-2</v>
      </c>
      <c r="K133" s="38">
        <f t="shared" ca="1" si="13"/>
        <v>1.8034132843646796E-2</v>
      </c>
      <c r="L133" s="38">
        <f t="shared" ca="1" si="13"/>
        <v>6.3483224130175724E-3</v>
      </c>
    </row>
    <row r="134" spans="1:12" ht="13.8" thickBot="1" x14ac:dyDescent="0.3">
      <c r="A134" s="12">
        <v>44005.666666666664</v>
      </c>
      <c r="B134" s="4">
        <v>24.79</v>
      </c>
      <c r="C134" s="2">
        <f ca="1">IFERROR(__xludf.DUMMYFUNCTION("""COMPUTED_VALUE"""),44.97)</f>
        <v>44.97</v>
      </c>
      <c r="D134" s="2">
        <f ca="1">IFERROR(__xludf.DUMMYFUNCTION("""COMPUTED_VALUE"""),312.05)</f>
        <v>312.05</v>
      </c>
      <c r="F134" s="16">
        <f t="shared" si="10"/>
        <v>6.8812252907916637E-3</v>
      </c>
      <c r="G134" s="16">
        <f t="shared" ca="1" si="11"/>
        <v>-4.1595544486141188E-2</v>
      </c>
      <c r="H134" s="16">
        <f t="shared" ca="1" si="12"/>
        <v>4.5931312381870554E-3</v>
      </c>
      <c r="J134" s="38">
        <f t="shared" si="13"/>
        <v>6.8347967193630923E-3</v>
      </c>
      <c r="K134" s="38">
        <f t="shared" ca="1" si="13"/>
        <v>-4.164197305756976E-2</v>
      </c>
      <c r="L134" s="38">
        <f t="shared" ca="1" si="13"/>
        <v>4.5467026667584841E-3</v>
      </c>
    </row>
    <row r="135" spans="1:12" ht="13.8" thickBot="1" x14ac:dyDescent="0.3">
      <c r="A135" s="12">
        <v>44006.666666666664</v>
      </c>
      <c r="B135" s="4">
        <v>23.81</v>
      </c>
      <c r="C135" s="2">
        <f ca="1">IFERROR(__xludf.DUMMYFUNCTION("""COMPUTED_VALUE"""),46)</f>
        <v>46</v>
      </c>
      <c r="D135" s="2">
        <f ca="1">IFERROR(__xludf.DUMMYFUNCTION("""COMPUTED_VALUE"""),304.09)</f>
        <v>304.08999999999997</v>
      </c>
      <c r="F135" s="16">
        <f t="shared" si="10"/>
        <v>-4.0334685548327684E-2</v>
      </c>
      <c r="G135" s="16">
        <f t="shared" ca="1" si="11"/>
        <v>2.2645795706478941E-2</v>
      </c>
      <c r="H135" s="16">
        <f t="shared" ca="1" si="12"/>
        <v>-2.5839721157184279E-2</v>
      </c>
      <c r="J135" s="38">
        <f t="shared" si="13"/>
        <v>-4.0381114119756256E-2</v>
      </c>
      <c r="K135" s="38">
        <f t="shared" ca="1" si="13"/>
        <v>2.2599367135050369E-2</v>
      </c>
      <c r="L135" s="38">
        <f t="shared" ca="1" si="13"/>
        <v>-2.5886149728612851E-2</v>
      </c>
    </row>
    <row r="136" spans="1:12" ht="13.8" thickBot="1" x14ac:dyDescent="0.3">
      <c r="A136" s="12">
        <v>44007.666666666664</v>
      </c>
      <c r="B136" s="4">
        <v>24.72</v>
      </c>
      <c r="C136" s="2">
        <f ca="1">IFERROR(__xludf.DUMMYFUNCTION("""COMPUTED_VALUE"""),44.78)</f>
        <v>44.78</v>
      </c>
      <c r="D136" s="2">
        <f ca="1">IFERROR(__xludf.DUMMYFUNCTION("""COMPUTED_VALUE"""),307.35)</f>
        <v>307.35000000000002</v>
      </c>
      <c r="F136" s="16">
        <f t="shared" si="10"/>
        <v>3.750697209071864E-2</v>
      </c>
      <c r="G136" s="16">
        <f t="shared" ca="1" si="11"/>
        <v>-2.6879785318486213E-2</v>
      </c>
      <c r="H136" s="16">
        <f t="shared" ca="1" si="12"/>
        <v>1.0663453130150734E-2</v>
      </c>
      <c r="J136" s="38">
        <f t="shared" si="13"/>
        <v>3.7460543519290068E-2</v>
      </c>
      <c r="K136" s="38">
        <f t="shared" ca="1" si="13"/>
        <v>-2.6926213889914785E-2</v>
      </c>
      <c r="L136" s="38">
        <f t="shared" ca="1" si="13"/>
        <v>1.0617024558722161E-2</v>
      </c>
    </row>
    <row r="137" spans="1:12" ht="13.8" thickBot="1" x14ac:dyDescent="0.3">
      <c r="A137" s="12">
        <v>44008.666666666664</v>
      </c>
      <c r="B137" s="4">
        <v>23.15</v>
      </c>
      <c r="C137" s="2">
        <f ca="1">IFERROR(__xludf.DUMMYFUNCTION("""COMPUTED_VALUE"""),44.91)</f>
        <v>44.91</v>
      </c>
      <c r="D137" s="2">
        <f ca="1">IFERROR(__xludf.DUMMYFUNCTION("""COMPUTED_VALUE"""),300.05)</f>
        <v>300.05</v>
      </c>
      <c r="F137" s="16">
        <f t="shared" si="10"/>
        <v>-6.5617852057247017E-2</v>
      </c>
      <c r="G137" s="16">
        <f t="shared" ca="1" si="11"/>
        <v>2.8988759290377443E-3</v>
      </c>
      <c r="H137" s="16">
        <f t="shared" ca="1" si="12"/>
        <v>-2.403803591749662E-2</v>
      </c>
      <c r="J137" s="38">
        <f t="shared" si="13"/>
        <v>-6.5664280628675589E-2</v>
      </c>
      <c r="K137" s="38">
        <f t="shared" ca="1" si="13"/>
        <v>2.8524473576091729E-3</v>
      </c>
      <c r="L137" s="38">
        <f t="shared" ca="1" si="13"/>
        <v>-2.4084464488925192E-2</v>
      </c>
    </row>
    <row r="138" spans="1:12" ht="13.8" thickBot="1" x14ac:dyDescent="0.3">
      <c r="A138" s="12">
        <v>44011.666666666664</v>
      </c>
      <c r="B138" s="4">
        <v>23.39</v>
      </c>
      <c r="C138" s="2">
        <f ca="1">IFERROR(__xludf.DUMMYFUNCTION("""COMPUTED_VALUE"""),45.05)</f>
        <v>45.05</v>
      </c>
      <c r="D138" s="2">
        <f ca="1">IFERROR(__xludf.DUMMYFUNCTION("""COMPUTED_VALUE"""),304.46)</f>
        <v>304.45999999999998</v>
      </c>
      <c r="F138" s="16">
        <f t="shared" si="10"/>
        <v>1.0313800063844638E-2</v>
      </c>
      <c r="G138" s="16">
        <f t="shared" ca="1" si="11"/>
        <v>3.112496954700195E-3</v>
      </c>
      <c r="H138" s="16">
        <f t="shared" ca="1" si="12"/>
        <v>1.4590588195586026E-2</v>
      </c>
      <c r="J138" s="38">
        <f t="shared" si="13"/>
        <v>1.0267371492416065E-2</v>
      </c>
      <c r="K138" s="38">
        <f t="shared" ca="1" si="13"/>
        <v>3.0660683832716236E-3</v>
      </c>
      <c r="L138" s="38">
        <f t="shared" ca="1" si="13"/>
        <v>1.4544159624157454E-2</v>
      </c>
    </row>
    <row r="139" spans="1:12" ht="13.8" thickBot="1" x14ac:dyDescent="0.3">
      <c r="A139" s="12">
        <v>44012.666666666664</v>
      </c>
      <c r="B139" s="4">
        <v>23.75</v>
      </c>
      <c r="C139" s="2">
        <f ca="1">IFERROR(__xludf.DUMMYFUNCTION("""COMPUTED_VALUE"""),46.3)</f>
        <v>46.3</v>
      </c>
      <c r="D139" s="2">
        <f ca="1">IFERROR(__xludf.DUMMYFUNCTION("""COMPUTED_VALUE"""),308.36)</f>
        <v>308.36</v>
      </c>
      <c r="F139" s="16">
        <f t="shared" si="10"/>
        <v>1.5273949884562486E-2</v>
      </c>
      <c r="G139" s="16">
        <f t="shared" ca="1" si="11"/>
        <v>2.7368977037841566E-2</v>
      </c>
      <c r="H139" s="16">
        <f t="shared" ca="1" si="12"/>
        <v>1.2728215959953638E-2</v>
      </c>
      <c r="J139" s="38">
        <f t="shared" si="13"/>
        <v>1.5227521313133914E-2</v>
      </c>
      <c r="K139" s="38">
        <f t="shared" ca="1" si="13"/>
        <v>2.7322548466412994E-2</v>
      </c>
      <c r="L139" s="38">
        <f t="shared" ca="1" si="13"/>
        <v>1.2681787388525066E-2</v>
      </c>
    </row>
    <row r="140" spans="1:12" ht="13.8" thickBot="1" x14ac:dyDescent="0.3">
      <c r="A140" s="12">
        <v>44013.666666666664</v>
      </c>
      <c r="B140" s="4">
        <v>23.26</v>
      </c>
      <c r="C140" s="2">
        <f ca="1">IFERROR(__xludf.DUMMYFUNCTION("""COMPUTED_VALUE"""),45.07)</f>
        <v>45.07</v>
      </c>
      <c r="D140" s="2">
        <f ca="1">IFERROR(__xludf.DUMMYFUNCTION("""COMPUTED_VALUE"""),310.52)</f>
        <v>310.52</v>
      </c>
      <c r="F140" s="16">
        <f t="shared" si="10"/>
        <v>-2.0847383390131761E-2</v>
      </c>
      <c r="G140" s="16">
        <f t="shared" ca="1" si="11"/>
        <v>-2.692512438963136E-2</v>
      </c>
      <c r="H140" s="16">
        <f t="shared" ca="1" si="12"/>
        <v>6.9803799464181315E-3</v>
      </c>
      <c r="J140" s="38">
        <f t="shared" si="13"/>
        <v>-2.0893811961560333E-2</v>
      </c>
      <c r="K140" s="38">
        <f t="shared" ca="1" si="13"/>
        <v>-2.6971552961059932E-2</v>
      </c>
      <c r="L140" s="38">
        <f t="shared" ca="1" si="13"/>
        <v>6.9339513749895601E-3</v>
      </c>
    </row>
    <row r="141" spans="1:12" ht="13.8" thickBot="1" x14ac:dyDescent="0.3">
      <c r="A141" s="12">
        <v>44014.666666666664</v>
      </c>
      <c r="B141" s="4">
        <v>23.29</v>
      </c>
      <c r="C141" s="2">
        <f ca="1">IFERROR(__xludf.DUMMYFUNCTION("""COMPUTED_VALUE"""),45.61)</f>
        <v>45.61</v>
      </c>
      <c r="D141" s="2">
        <f ca="1">IFERROR(__xludf.DUMMYFUNCTION("""COMPUTED_VALUE"""),312.23)</f>
        <v>312.23</v>
      </c>
      <c r="F141" s="16">
        <f t="shared" si="10"/>
        <v>1.2889368057312528E-3</v>
      </c>
      <c r="G141" s="16">
        <f t="shared" ca="1" si="11"/>
        <v>1.1910154021052163E-2</v>
      </c>
      <c r="H141" s="16">
        <f t="shared" ca="1" si="12"/>
        <v>5.4917841758465123E-3</v>
      </c>
      <c r="J141" s="38">
        <f t="shared" si="13"/>
        <v>1.2425082343026814E-3</v>
      </c>
      <c r="K141" s="38">
        <f t="shared" ca="1" si="13"/>
        <v>1.186372544962359E-2</v>
      </c>
      <c r="L141" s="38">
        <f t="shared" ca="1" si="13"/>
        <v>5.4453556044179409E-3</v>
      </c>
    </row>
    <row r="142" spans="1:12" ht="13.8" thickBot="1" x14ac:dyDescent="0.3">
      <c r="A142" s="12">
        <v>44018.666666666664</v>
      </c>
      <c r="B142" s="4">
        <v>23.66</v>
      </c>
      <c r="C142" s="2">
        <f ca="1">IFERROR(__xludf.DUMMYFUNCTION("""COMPUTED_VALUE"""),44.74)</f>
        <v>44.74</v>
      </c>
      <c r="D142" s="2">
        <f ca="1">IFERROR(__xludf.DUMMYFUNCTION("""COMPUTED_VALUE"""),317.05)</f>
        <v>317.05</v>
      </c>
      <c r="F142" s="16">
        <f t="shared" si="10"/>
        <v>1.5761774653991104E-2</v>
      </c>
      <c r="G142" s="16">
        <f t="shared" ca="1" si="11"/>
        <v>-1.9259034661625415E-2</v>
      </c>
      <c r="H142" s="16">
        <f t="shared" ca="1" si="12"/>
        <v>1.5319394432714597E-2</v>
      </c>
      <c r="J142" s="38">
        <f t="shared" si="13"/>
        <v>1.5715346082562531E-2</v>
      </c>
      <c r="K142" s="38">
        <f t="shared" ca="1" si="13"/>
        <v>-1.9305463233053988E-2</v>
      </c>
      <c r="L142" s="38">
        <f t="shared" ca="1" si="13"/>
        <v>1.5272965861286025E-2</v>
      </c>
    </row>
    <row r="143" spans="1:12" ht="13.8" thickBot="1" x14ac:dyDescent="0.3">
      <c r="A143" s="12">
        <v>44019.666666666664</v>
      </c>
      <c r="B143" s="4">
        <v>23.01</v>
      </c>
      <c r="C143" s="2">
        <f ca="1">IFERROR(__xludf.DUMMYFUNCTION("""COMPUTED_VALUE"""),44.35)</f>
        <v>44.35</v>
      </c>
      <c r="D143" s="2">
        <f ca="1">IFERROR(__xludf.DUMMYFUNCTION("""COMPUTED_VALUE"""),313.78)</f>
        <v>313.77999999999997</v>
      </c>
      <c r="F143" s="16">
        <f t="shared" si="10"/>
        <v>-2.7856954502966109E-2</v>
      </c>
      <c r="G143" s="16">
        <f t="shared" ca="1" si="11"/>
        <v>-8.7552473063950975E-3</v>
      </c>
      <c r="H143" s="16">
        <f t="shared" ca="1" si="12"/>
        <v>-1.0367386741231301E-2</v>
      </c>
      <c r="J143" s="38">
        <f t="shared" si="13"/>
        <v>-2.7903383074394682E-2</v>
      </c>
      <c r="K143" s="38">
        <f t="shared" ca="1" si="13"/>
        <v>-8.8016758778236698E-3</v>
      </c>
      <c r="L143" s="38">
        <f t="shared" ca="1" si="13"/>
        <v>-1.0413815312659874E-2</v>
      </c>
    </row>
    <row r="144" spans="1:12" ht="13.8" thickBot="1" x14ac:dyDescent="0.3">
      <c r="A144" s="12">
        <v>44020.666666666664</v>
      </c>
      <c r="B144" s="4">
        <v>23.1</v>
      </c>
      <c r="C144" s="2">
        <f ca="1">IFERROR(__xludf.DUMMYFUNCTION("""COMPUTED_VALUE"""),43.7)</f>
        <v>43.7</v>
      </c>
      <c r="D144" s="2">
        <f ca="1">IFERROR(__xludf.DUMMYFUNCTION("""COMPUTED_VALUE"""),316.18)</f>
        <v>316.18</v>
      </c>
      <c r="F144" s="16">
        <f t="shared" ref="F144:F207" si="14">LN(B144/B143)</f>
        <v>3.9037134804733704E-3</v>
      </c>
      <c r="G144" s="16">
        <f t="shared" ca="1" si="11"/>
        <v>-1.4764606654044027E-2</v>
      </c>
      <c r="H144" s="16">
        <f t="shared" ca="1" si="12"/>
        <v>7.6195682632322322E-3</v>
      </c>
      <c r="J144" s="38">
        <f t="shared" si="13"/>
        <v>3.857284909044799E-3</v>
      </c>
      <c r="K144" s="38">
        <f t="shared" ca="1" si="13"/>
        <v>-1.4811035225472599E-2</v>
      </c>
      <c r="L144" s="38">
        <f t="shared" ca="1" si="13"/>
        <v>7.5731396918036608E-3</v>
      </c>
    </row>
    <row r="145" spans="1:12" ht="13.8" thickBot="1" x14ac:dyDescent="0.3">
      <c r="A145" s="12">
        <v>44021.666666666664</v>
      </c>
      <c r="B145" s="4">
        <v>22.77</v>
      </c>
      <c r="C145" s="2">
        <f ca="1">IFERROR(__xludf.DUMMYFUNCTION("""COMPUTED_VALUE"""),45.03)</f>
        <v>45.03</v>
      </c>
      <c r="D145" s="2">
        <f ca="1">IFERROR(__xludf.DUMMYFUNCTION("""COMPUTED_VALUE"""),314.38)</f>
        <v>314.38</v>
      </c>
      <c r="F145" s="16">
        <f t="shared" si="14"/>
        <v>-1.4388737452099669E-2</v>
      </c>
      <c r="G145" s="16">
        <f t="shared" ca="1" si="11"/>
        <v>2.9980832211935857E-2</v>
      </c>
      <c r="H145" s="16">
        <f t="shared" ca="1" si="12"/>
        <v>-5.7092263679497691E-3</v>
      </c>
      <c r="J145" s="38">
        <f t="shared" si="13"/>
        <v>-1.4435166023528241E-2</v>
      </c>
      <c r="K145" s="38">
        <f t="shared" ca="1" si="13"/>
        <v>2.9934403640507284E-2</v>
      </c>
      <c r="L145" s="38">
        <f t="shared" ca="1" si="13"/>
        <v>-5.7556549393783405E-3</v>
      </c>
    </row>
    <row r="146" spans="1:12" ht="13.8" thickBot="1" x14ac:dyDescent="0.3">
      <c r="A146" s="12">
        <v>44022.666666666664</v>
      </c>
      <c r="B146" s="4">
        <v>24.02</v>
      </c>
      <c r="C146" s="2">
        <f ca="1">IFERROR(__xludf.DUMMYFUNCTION("""COMPUTED_VALUE"""),46.08)</f>
        <v>46.08</v>
      </c>
      <c r="D146" s="2">
        <f ca="1">IFERROR(__xludf.DUMMYFUNCTION("""COMPUTED_VALUE"""),317.59)</f>
        <v>317.58999999999997</v>
      </c>
      <c r="F146" s="16">
        <f t="shared" si="14"/>
        <v>5.3442936576189329E-2</v>
      </c>
      <c r="G146" s="16">
        <f t="shared" ref="G146:G209" ca="1" si="15">LN(C146/C145)</f>
        <v>2.3050082074155542E-2</v>
      </c>
      <c r="H146" s="16">
        <f t="shared" ref="H146:H209" ca="1" si="16">LN(D146/D145)</f>
        <v>1.0158797431093925E-2</v>
      </c>
      <c r="J146" s="38">
        <f t="shared" ref="J146:L209" si="17">F146-$B$9</f>
        <v>5.3396508004760757E-2</v>
      </c>
      <c r="K146" s="38">
        <f t="shared" ca="1" si="17"/>
        <v>2.300365350272697E-2</v>
      </c>
      <c r="L146" s="38">
        <f t="shared" ca="1" si="17"/>
        <v>1.0112368859665353E-2</v>
      </c>
    </row>
    <row r="147" spans="1:12" ht="13.8" thickBot="1" x14ac:dyDescent="0.3">
      <c r="A147" s="12">
        <v>44025.666666666664</v>
      </c>
      <c r="B147" s="4">
        <v>24.19</v>
      </c>
      <c r="C147" s="2">
        <f ca="1">IFERROR(__xludf.DUMMYFUNCTION("""COMPUTED_VALUE"""),44.52)</f>
        <v>44.52</v>
      </c>
      <c r="D147" s="2">
        <f ca="1">IFERROR(__xludf.DUMMYFUNCTION("""COMPUTED_VALUE"""),314.84)</f>
        <v>314.83999999999997</v>
      </c>
      <c r="F147" s="16">
        <f t="shared" si="14"/>
        <v>7.0525079700983675E-3</v>
      </c>
      <c r="G147" s="16">
        <f t="shared" ca="1" si="15"/>
        <v>-3.4440489980291568E-2</v>
      </c>
      <c r="H147" s="16">
        <f t="shared" ca="1" si="16"/>
        <v>-8.6966694569364303E-3</v>
      </c>
      <c r="J147" s="38">
        <f t="shared" si="17"/>
        <v>7.0060793986697961E-3</v>
      </c>
      <c r="K147" s="38">
        <f t="shared" ca="1" si="17"/>
        <v>-3.448691855172014E-2</v>
      </c>
      <c r="L147" s="38">
        <f t="shared" ca="1" si="17"/>
        <v>-8.7430980283650025E-3</v>
      </c>
    </row>
    <row r="148" spans="1:12" ht="13.8" thickBot="1" x14ac:dyDescent="0.3">
      <c r="A148" s="12">
        <v>44026.666666666664</v>
      </c>
      <c r="B148" s="4">
        <v>24.14</v>
      </c>
      <c r="C148" s="2">
        <f ca="1">IFERROR(__xludf.DUMMYFUNCTION("""COMPUTED_VALUE"""),44.55)</f>
        <v>44.55</v>
      </c>
      <c r="D148" s="2">
        <f ca="1">IFERROR(__xludf.DUMMYFUNCTION("""COMPUTED_VALUE"""),318.92)</f>
        <v>318.92</v>
      </c>
      <c r="F148" s="16">
        <f t="shared" si="14"/>
        <v>-2.0691089525504869E-3</v>
      </c>
      <c r="G148" s="16">
        <f t="shared" ca="1" si="15"/>
        <v>6.7362750947405235E-4</v>
      </c>
      <c r="H148" s="16">
        <f t="shared" ca="1" si="16"/>
        <v>1.2875714360045367E-2</v>
      </c>
      <c r="J148" s="38">
        <f t="shared" si="17"/>
        <v>-2.1155375239790583E-3</v>
      </c>
      <c r="K148" s="38">
        <f t="shared" ca="1" si="17"/>
        <v>6.2719893804548095E-4</v>
      </c>
      <c r="L148" s="38">
        <f t="shared" ca="1" si="17"/>
        <v>1.2829285788616794E-2</v>
      </c>
    </row>
    <row r="149" spans="1:12" ht="13.8" thickBot="1" x14ac:dyDescent="0.3">
      <c r="A149" s="12">
        <v>44027.666666666664</v>
      </c>
      <c r="B149" s="4">
        <v>24.6</v>
      </c>
      <c r="C149" s="2">
        <f ca="1">IFERROR(__xludf.DUMMYFUNCTION("""COMPUTED_VALUE"""),45.67)</f>
        <v>45.67</v>
      </c>
      <c r="D149" s="2">
        <f ca="1">IFERROR(__xludf.DUMMYFUNCTION("""COMPUTED_VALUE"""),321.85)</f>
        <v>321.85000000000002</v>
      </c>
      <c r="F149" s="16">
        <f t="shared" si="14"/>
        <v>1.8876227268931615E-2</v>
      </c>
      <c r="G149" s="16">
        <f t="shared" ca="1" si="15"/>
        <v>2.4829473280089342E-2</v>
      </c>
      <c r="H149" s="16">
        <f t="shared" ca="1" si="16"/>
        <v>9.1453108643302292E-3</v>
      </c>
      <c r="J149" s="38">
        <f t="shared" si="17"/>
        <v>1.8829798697503043E-2</v>
      </c>
      <c r="K149" s="38">
        <f t="shared" ca="1" si="17"/>
        <v>2.478304470866077E-2</v>
      </c>
      <c r="L149" s="38">
        <f t="shared" ca="1" si="17"/>
        <v>9.0988822929016569E-3</v>
      </c>
    </row>
    <row r="150" spans="1:12" ht="13.8" thickBot="1" x14ac:dyDescent="0.3">
      <c r="A150" s="12">
        <v>44028.666666666664</v>
      </c>
      <c r="B150" s="4">
        <v>23.93</v>
      </c>
      <c r="C150" s="2">
        <f ca="1">IFERROR(__xludf.DUMMYFUNCTION("""COMPUTED_VALUE"""),44.46)</f>
        <v>44.46</v>
      </c>
      <c r="D150" s="2">
        <f ca="1">IFERROR(__xludf.DUMMYFUNCTION("""COMPUTED_VALUE"""),320.79)</f>
        <v>320.79000000000002</v>
      </c>
      <c r="F150" s="16">
        <f t="shared" si="14"/>
        <v>-2.7613541018035266E-2</v>
      </c>
      <c r="G150" s="16">
        <f t="shared" ca="1" si="15"/>
        <v>-2.6851718660857095E-2</v>
      </c>
      <c r="H150" s="16">
        <f t="shared" ca="1" si="16"/>
        <v>-3.2988950619499361E-3</v>
      </c>
      <c r="J150" s="38">
        <f t="shared" si="17"/>
        <v>-2.7659969589463838E-2</v>
      </c>
      <c r="K150" s="38">
        <f t="shared" ca="1" si="17"/>
        <v>-2.6898147232285667E-2</v>
      </c>
      <c r="L150" s="38">
        <f t="shared" ca="1" si="17"/>
        <v>-3.3453236333785075E-3</v>
      </c>
    </row>
    <row r="151" spans="1:12" ht="13.8" thickBot="1" x14ac:dyDescent="0.3">
      <c r="A151" s="12">
        <v>44029.666666666664</v>
      </c>
      <c r="B151" s="4">
        <v>23.22</v>
      </c>
      <c r="C151" s="2">
        <f ca="1">IFERROR(__xludf.DUMMYFUNCTION("""COMPUTED_VALUE"""),43.71)</f>
        <v>43.71</v>
      </c>
      <c r="D151" s="2">
        <f ca="1">IFERROR(__xludf.DUMMYFUNCTION("""COMPUTED_VALUE"""),321.72)</f>
        <v>321.72000000000003</v>
      </c>
      <c r="F151" s="16">
        <f t="shared" si="14"/>
        <v>-3.0118925650536504E-2</v>
      </c>
      <c r="G151" s="16">
        <f t="shared" ca="1" si="15"/>
        <v>-1.7012999660827356E-2</v>
      </c>
      <c r="H151" s="16">
        <f t="shared" ca="1" si="16"/>
        <v>2.8948985991932696E-3</v>
      </c>
      <c r="J151" s="38">
        <f t="shared" si="17"/>
        <v>-3.0165354221965077E-2</v>
      </c>
      <c r="K151" s="38">
        <f t="shared" ca="1" si="17"/>
        <v>-1.7059428232255928E-2</v>
      </c>
      <c r="L151" s="38">
        <f t="shared" ca="1" si="17"/>
        <v>2.8484700277646982E-3</v>
      </c>
    </row>
    <row r="152" spans="1:12" ht="13.8" thickBot="1" x14ac:dyDescent="0.3">
      <c r="A152" s="12">
        <v>44032.666666666664</v>
      </c>
      <c r="B152" s="4">
        <v>23.58</v>
      </c>
      <c r="C152" s="2">
        <f ca="1">IFERROR(__xludf.DUMMYFUNCTION("""COMPUTED_VALUE"""),44.9)</f>
        <v>44.9</v>
      </c>
      <c r="D152" s="2">
        <f ca="1">IFERROR(__xludf.DUMMYFUNCTION("""COMPUTED_VALUE"""),324.32)</f>
        <v>324.32</v>
      </c>
      <c r="F152" s="16">
        <f t="shared" si="14"/>
        <v>1.5384918839479456E-2</v>
      </c>
      <c r="G152" s="16">
        <f t="shared" ca="1" si="15"/>
        <v>2.6860885872985411E-2</v>
      </c>
      <c r="H152" s="16">
        <f t="shared" ca="1" si="16"/>
        <v>8.0490806678215256E-3</v>
      </c>
      <c r="J152" s="38">
        <f t="shared" si="17"/>
        <v>1.5338490268050883E-2</v>
      </c>
      <c r="K152" s="38">
        <f t="shared" ca="1" si="17"/>
        <v>2.6814457301556838E-2</v>
      </c>
      <c r="L152" s="38">
        <f t="shared" ca="1" si="17"/>
        <v>8.0026520963929534E-3</v>
      </c>
    </row>
    <row r="153" spans="1:12" ht="13.8" thickBot="1" x14ac:dyDescent="0.3">
      <c r="A153" s="12">
        <v>44033.666666666664</v>
      </c>
      <c r="B153" s="4">
        <v>24.42</v>
      </c>
      <c r="C153" s="2">
        <f ca="1">IFERROR(__xludf.DUMMYFUNCTION("""COMPUTED_VALUE"""),44.42)</f>
        <v>44.42</v>
      </c>
      <c r="D153" s="2">
        <f ca="1">IFERROR(__xludf.DUMMYFUNCTION("""COMPUTED_VALUE"""),325.01)</f>
        <v>325.01</v>
      </c>
      <c r="F153" s="16">
        <f t="shared" si="14"/>
        <v>3.5003573573333953E-2</v>
      </c>
      <c r="G153" s="16">
        <f t="shared" ca="1" si="15"/>
        <v>-1.0747976281927101E-2</v>
      </c>
      <c r="H153" s="16">
        <f t="shared" ca="1" si="16"/>
        <v>2.1252683834538403E-3</v>
      </c>
      <c r="J153" s="38">
        <f t="shared" si="17"/>
        <v>3.4957145001905381E-2</v>
      </c>
      <c r="K153" s="38">
        <f t="shared" ca="1" si="17"/>
        <v>-1.0794404853355673E-2</v>
      </c>
      <c r="L153" s="38">
        <f t="shared" ca="1" si="17"/>
        <v>2.0788398120252689E-3</v>
      </c>
    </row>
    <row r="154" spans="1:12" ht="13.8" thickBot="1" x14ac:dyDescent="0.3">
      <c r="A154" s="12">
        <v>44034.666666666664</v>
      </c>
      <c r="B154" s="4">
        <v>24.31</v>
      </c>
      <c r="C154" s="2">
        <f ca="1">IFERROR(__xludf.DUMMYFUNCTION("""COMPUTED_VALUE"""),44.41)</f>
        <v>44.41</v>
      </c>
      <c r="D154" s="2">
        <f ca="1">IFERROR(__xludf.DUMMYFUNCTION("""COMPUTED_VALUE"""),326.86)</f>
        <v>326.86</v>
      </c>
      <c r="F154" s="16">
        <f t="shared" si="14"/>
        <v>-4.5146803545268056E-3</v>
      </c>
      <c r="G154" s="16">
        <f t="shared" ca="1" si="15"/>
        <v>-2.2514916227055285E-4</v>
      </c>
      <c r="H154" s="16">
        <f t="shared" ca="1" si="16"/>
        <v>5.675993577768405E-3</v>
      </c>
      <c r="J154" s="38">
        <f t="shared" si="17"/>
        <v>-4.561108925955377E-3</v>
      </c>
      <c r="K154" s="38">
        <f t="shared" ca="1" si="17"/>
        <v>-2.715777336991243E-4</v>
      </c>
      <c r="L154" s="38">
        <f t="shared" ca="1" si="17"/>
        <v>5.6295650063398336E-3</v>
      </c>
    </row>
    <row r="155" spans="1:12" ht="13.8" thickBot="1" x14ac:dyDescent="0.3">
      <c r="A155" s="12">
        <v>44035.666666666664</v>
      </c>
      <c r="B155" s="4">
        <v>24.54</v>
      </c>
      <c r="C155" s="2">
        <f ca="1">IFERROR(__xludf.DUMMYFUNCTION("""COMPUTED_VALUE"""),44.38)</f>
        <v>44.38</v>
      </c>
      <c r="D155" s="2">
        <f ca="1">IFERROR(__xludf.DUMMYFUNCTION("""COMPUTED_VALUE"""),322.96)</f>
        <v>322.95999999999998</v>
      </c>
      <c r="F155" s="16">
        <f t="shared" si="14"/>
        <v>9.4166509547333726E-3</v>
      </c>
      <c r="G155" s="16">
        <f t="shared" ca="1" si="15"/>
        <v>-6.757517995629092E-4</v>
      </c>
      <c r="H155" s="16">
        <f t="shared" ca="1" si="16"/>
        <v>-1.2003468120226639E-2</v>
      </c>
      <c r="J155" s="38">
        <f t="shared" si="17"/>
        <v>9.3702223833048003E-3</v>
      </c>
      <c r="K155" s="38">
        <f t="shared" ca="1" si="17"/>
        <v>-7.2218037099148059E-4</v>
      </c>
      <c r="L155" s="38">
        <f t="shared" ca="1" si="17"/>
        <v>-1.2049896691655211E-2</v>
      </c>
    </row>
    <row r="156" spans="1:12" ht="13.8" thickBot="1" x14ac:dyDescent="0.3">
      <c r="A156" s="12">
        <v>44036.666666666664</v>
      </c>
      <c r="B156" s="4">
        <v>24.35</v>
      </c>
      <c r="C156" s="2">
        <f ca="1">IFERROR(__xludf.DUMMYFUNCTION("""COMPUTED_VALUE"""),43.41)</f>
        <v>43.41</v>
      </c>
      <c r="D156" s="2">
        <f ca="1">IFERROR(__xludf.DUMMYFUNCTION("""COMPUTED_VALUE"""),320.88)</f>
        <v>320.88</v>
      </c>
      <c r="F156" s="16">
        <f t="shared" si="14"/>
        <v>-7.7725897541665329E-3</v>
      </c>
      <c r="G156" s="16">
        <f t="shared" ca="1" si="15"/>
        <v>-2.209908819294578E-2</v>
      </c>
      <c r="H156" s="16">
        <f t="shared" ca="1" si="16"/>
        <v>-6.4612550828879508E-3</v>
      </c>
      <c r="J156" s="38">
        <f t="shared" si="17"/>
        <v>-7.8190183255951052E-3</v>
      </c>
      <c r="K156" s="38">
        <f t="shared" ca="1" si="17"/>
        <v>-2.2145516764374353E-2</v>
      </c>
      <c r="L156" s="38">
        <f t="shared" ca="1" si="17"/>
        <v>-6.5076836543165222E-3</v>
      </c>
    </row>
    <row r="157" spans="1:12" ht="13.8" thickBot="1" x14ac:dyDescent="0.3">
      <c r="A157" s="12">
        <v>44039.666666666664</v>
      </c>
      <c r="B157" s="4">
        <v>24.14</v>
      </c>
      <c r="C157" s="2">
        <f ca="1">IFERROR(__xludf.DUMMYFUNCTION("""COMPUTED_VALUE"""),43.72)</f>
        <v>43.72</v>
      </c>
      <c r="D157" s="2">
        <f ca="1">IFERROR(__xludf.DUMMYFUNCTION("""COMPUTED_VALUE"""),323.22)</f>
        <v>323.22000000000003</v>
      </c>
      <c r="F157" s="16">
        <f t="shared" si="14"/>
        <v>-8.6616338592133378E-3</v>
      </c>
      <c r="G157" s="16">
        <f t="shared" ca="1" si="15"/>
        <v>7.115833996835708E-3</v>
      </c>
      <c r="H157" s="16">
        <f t="shared" ca="1" si="16"/>
        <v>7.2659844587000385E-3</v>
      </c>
      <c r="J157" s="38">
        <f t="shared" si="17"/>
        <v>-8.7080624306419101E-3</v>
      </c>
      <c r="K157" s="38">
        <f t="shared" ca="1" si="17"/>
        <v>7.0694054254071366E-3</v>
      </c>
      <c r="L157" s="38">
        <f t="shared" ca="1" si="17"/>
        <v>7.2195558872714671E-3</v>
      </c>
    </row>
    <row r="158" spans="1:12" ht="13.8" thickBot="1" x14ac:dyDescent="0.3">
      <c r="A158" s="12">
        <v>44040.666666666664</v>
      </c>
      <c r="B158" s="4">
        <v>24.36</v>
      </c>
      <c r="C158" s="2">
        <f ca="1">IFERROR(__xludf.DUMMYFUNCTION("""COMPUTED_VALUE"""),43.65)</f>
        <v>43.65</v>
      </c>
      <c r="D158" s="2">
        <f ca="1">IFERROR(__xludf.DUMMYFUNCTION("""COMPUTED_VALUE"""),321.17)</f>
        <v>321.17</v>
      </c>
      <c r="F158" s="16">
        <f t="shared" si="14"/>
        <v>9.0722271723108587E-3</v>
      </c>
      <c r="G158" s="16">
        <f t="shared" ca="1" si="15"/>
        <v>-1.602381022726646E-3</v>
      </c>
      <c r="H158" s="16">
        <f t="shared" ca="1" si="16"/>
        <v>-6.3626279608531705E-3</v>
      </c>
      <c r="J158" s="38">
        <f t="shared" si="17"/>
        <v>9.0257986008822864E-3</v>
      </c>
      <c r="K158" s="38">
        <f t="shared" ca="1" si="17"/>
        <v>-1.6488095941552174E-3</v>
      </c>
      <c r="L158" s="38">
        <f t="shared" ca="1" si="17"/>
        <v>-6.4090565322817419E-3</v>
      </c>
    </row>
    <row r="159" spans="1:12" ht="13.8" thickBot="1" x14ac:dyDescent="0.3">
      <c r="A159" s="12">
        <v>44041.666666666664</v>
      </c>
      <c r="B159" s="4">
        <v>25.27</v>
      </c>
      <c r="C159" s="2">
        <f ca="1">IFERROR(__xludf.DUMMYFUNCTION("""COMPUTED_VALUE"""),42.55)</f>
        <v>42.55</v>
      </c>
      <c r="D159" s="2">
        <f ca="1">IFERROR(__xludf.DUMMYFUNCTION("""COMPUTED_VALUE"""),325.12)</f>
        <v>325.12</v>
      </c>
      <c r="F159" s="16">
        <f t="shared" si="14"/>
        <v>3.6675478558406568E-2</v>
      </c>
      <c r="G159" s="16">
        <f t="shared" ca="1" si="15"/>
        <v>-2.5523427266228093E-2</v>
      </c>
      <c r="H159" s="16">
        <f t="shared" ca="1" si="16"/>
        <v>1.2223766990418128E-2</v>
      </c>
      <c r="J159" s="38">
        <f t="shared" si="17"/>
        <v>3.6629049986977996E-2</v>
      </c>
      <c r="K159" s="38">
        <f t="shared" ca="1" si="17"/>
        <v>-2.5569855837656665E-2</v>
      </c>
      <c r="L159" s="38">
        <f t="shared" ca="1" si="17"/>
        <v>1.2177338418989556E-2</v>
      </c>
    </row>
    <row r="160" spans="1:12" ht="13.8" thickBot="1" x14ac:dyDescent="0.3">
      <c r="A160" s="12">
        <v>44042.666666666664</v>
      </c>
      <c r="B160" s="4">
        <v>24.84</v>
      </c>
      <c r="C160" s="2">
        <f ca="1">IFERROR(__xludf.DUMMYFUNCTION("""COMPUTED_VALUE"""),42.05)</f>
        <v>42.05</v>
      </c>
      <c r="D160" s="2">
        <f ca="1">IFERROR(__xludf.DUMMYFUNCTION("""COMPUTED_VALUE"""),323.96)</f>
        <v>323.95999999999998</v>
      </c>
      <c r="F160" s="16">
        <f t="shared" si="14"/>
        <v>-1.7162664334824839E-2</v>
      </c>
      <c r="G160" s="16">
        <f t="shared" ca="1" si="15"/>
        <v>-1.1820468600426067E-2</v>
      </c>
      <c r="H160" s="16">
        <f t="shared" ca="1" si="16"/>
        <v>-3.5742935692733274E-3</v>
      </c>
      <c r="J160" s="38">
        <f t="shared" si="17"/>
        <v>-1.7209092906253411E-2</v>
      </c>
      <c r="K160" s="38">
        <f t="shared" ca="1" si="17"/>
        <v>-1.1866897171854639E-2</v>
      </c>
      <c r="L160" s="38">
        <f t="shared" ca="1" si="17"/>
        <v>-3.6207221407018987E-3</v>
      </c>
    </row>
    <row r="161" spans="1:12" ht="13.8" thickBot="1" x14ac:dyDescent="0.3">
      <c r="A161" s="12">
        <v>44043.666666666664</v>
      </c>
      <c r="B161" s="4">
        <v>24.88</v>
      </c>
      <c r="C161" s="2">
        <f ca="1">IFERROR(__xludf.DUMMYFUNCTION("""COMPUTED_VALUE"""),43.05)</f>
        <v>43.05</v>
      </c>
      <c r="D161" s="2">
        <f ca="1">IFERROR(__xludf.DUMMYFUNCTION("""COMPUTED_VALUE"""),326.52)</f>
        <v>326.52</v>
      </c>
      <c r="F161" s="16">
        <f t="shared" si="14"/>
        <v>1.6090108057006858E-3</v>
      </c>
      <c r="G161" s="16">
        <f t="shared" ca="1" si="15"/>
        <v>2.3502844454782672E-2</v>
      </c>
      <c r="H161" s="16">
        <f t="shared" ca="1" si="16"/>
        <v>7.8711512023660144E-3</v>
      </c>
      <c r="J161" s="38">
        <f t="shared" si="17"/>
        <v>1.5625822342721144E-3</v>
      </c>
      <c r="K161" s="38">
        <f t="shared" ca="1" si="17"/>
        <v>2.3456415883354099E-2</v>
      </c>
      <c r="L161" s="38">
        <f t="shared" ca="1" si="17"/>
        <v>7.8247226309374421E-3</v>
      </c>
    </row>
    <row r="162" spans="1:12" ht="13.8" thickBot="1" x14ac:dyDescent="0.3">
      <c r="A162" s="12">
        <v>44046.666666666664</v>
      </c>
      <c r="B162" s="4">
        <v>24.99</v>
      </c>
      <c r="C162" s="2">
        <f ca="1">IFERROR(__xludf.DUMMYFUNCTION("""COMPUTED_VALUE"""),42.43)</f>
        <v>42.43</v>
      </c>
      <c r="D162" s="2">
        <f ca="1">IFERROR(__xludf.DUMMYFUNCTION("""COMPUTED_VALUE"""),328.79)</f>
        <v>328.79</v>
      </c>
      <c r="F162" s="16">
        <f t="shared" si="14"/>
        <v>4.411476975882303E-3</v>
      </c>
      <c r="G162" s="16">
        <f t="shared" ca="1" si="15"/>
        <v>-1.4506571659506291E-2</v>
      </c>
      <c r="H162" s="16">
        <f t="shared" ca="1" si="16"/>
        <v>6.9280465110618337E-3</v>
      </c>
      <c r="J162" s="38">
        <f t="shared" si="17"/>
        <v>4.3650484044537316E-3</v>
      </c>
      <c r="K162" s="38">
        <f t="shared" ca="1" si="17"/>
        <v>-1.4553000230934863E-2</v>
      </c>
      <c r="L162" s="38">
        <f t="shared" ca="1" si="17"/>
        <v>6.8816179396332623E-3</v>
      </c>
    </row>
    <row r="163" spans="1:12" ht="13.8" thickBot="1" x14ac:dyDescent="0.3">
      <c r="A163" s="12">
        <v>44047.666666666664</v>
      </c>
      <c r="B163" s="4">
        <v>25.01</v>
      </c>
      <c r="C163" s="2">
        <f ca="1">IFERROR(__xludf.DUMMYFUNCTION("""COMPUTED_VALUE"""),42.96)</f>
        <v>42.96</v>
      </c>
      <c r="D163" s="2">
        <f ca="1">IFERROR(__xludf.DUMMYFUNCTION("""COMPUTED_VALUE"""),330.06)</f>
        <v>330.06</v>
      </c>
      <c r="F163" s="16">
        <f t="shared" si="14"/>
        <v>8.0000004266676296E-4</v>
      </c>
      <c r="G163" s="16">
        <f t="shared" ca="1" si="15"/>
        <v>1.2413790986375708E-2</v>
      </c>
      <c r="H163" s="16">
        <f t="shared" ca="1" si="16"/>
        <v>3.8552070212046034E-3</v>
      </c>
      <c r="J163" s="38">
        <f t="shared" si="17"/>
        <v>7.5357147123819156E-4</v>
      </c>
      <c r="K163" s="38">
        <f t="shared" ca="1" si="17"/>
        <v>1.2367362414947135E-2</v>
      </c>
      <c r="L163" s="38">
        <f t="shared" ca="1" si="17"/>
        <v>3.808778449776032E-3</v>
      </c>
    </row>
    <row r="164" spans="1:12" ht="13.8" thickBot="1" x14ac:dyDescent="0.3">
      <c r="A164" s="12">
        <v>44048.666666666664</v>
      </c>
      <c r="B164" s="4">
        <v>25.39</v>
      </c>
      <c r="C164" s="2">
        <f ca="1">IFERROR(__xludf.DUMMYFUNCTION("""COMPUTED_VALUE"""),42.91)</f>
        <v>42.91</v>
      </c>
      <c r="D164" s="2">
        <f ca="1">IFERROR(__xludf.DUMMYFUNCTION("""COMPUTED_VALUE"""),332.11)</f>
        <v>332.11</v>
      </c>
      <c r="F164" s="16">
        <f t="shared" si="14"/>
        <v>1.5079650827059367E-2</v>
      </c>
      <c r="G164" s="16">
        <f t="shared" ca="1" si="15"/>
        <v>-1.1645511971759587E-3</v>
      </c>
      <c r="H164" s="16">
        <f t="shared" ca="1" si="16"/>
        <v>6.1917832261649723E-3</v>
      </c>
      <c r="J164" s="38">
        <f t="shared" si="17"/>
        <v>1.5033222255630795E-2</v>
      </c>
      <c r="K164" s="38">
        <f t="shared" ca="1" si="17"/>
        <v>-1.2109797686045301E-3</v>
      </c>
      <c r="L164" s="38">
        <f t="shared" ca="1" si="17"/>
        <v>6.145354654736401E-3</v>
      </c>
    </row>
    <row r="165" spans="1:12" ht="13.8" thickBot="1" x14ac:dyDescent="0.3">
      <c r="A165" s="12">
        <v>44049.666666666664</v>
      </c>
      <c r="B165" s="4">
        <v>25.47</v>
      </c>
      <c r="C165" s="2">
        <f ca="1">IFERROR(__xludf.DUMMYFUNCTION("""COMPUTED_VALUE"""),42.9)</f>
        <v>42.9</v>
      </c>
      <c r="D165" s="2">
        <f ca="1">IFERROR(__xludf.DUMMYFUNCTION("""COMPUTED_VALUE"""),334.33)</f>
        <v>334.33</v>
      </c>
      <c r="F165" s="16">
        <f t="shared" si="14"/>
        <v>3.1458932747784529E-3</v>
      </c>
      <c r="G165" s="16">
        <f t="shared" ca="1" si="15"/>
        <v>-2.3307306946201975E-4</v>
      </c>
      <c r="H165" s="16">
        <f t="shared" ca="1" si="16"/>
        <v>6.6622898128065296E-3</v>
      </c>
      <c r="J165" s="38">
        <f t="shared" si="17"/>
        <v>3.0994647033498815E-3</v>
      </c>
      <c r="K165" s="38">
        <f t="shared" ca="1" si="17"/>
        <v>-2.7950164089059117E-4</v>
      </c>
      <c r="L165" s="38">
        <f t="shared" ca="1" si="17"/>
        <v>6.6158612413779582E-3</v>
      </c>
    </row>
    <row r="166" spans="1:12" ht="13.8" thickBot="1" x14ac:dyDescent="0.3">
      <c r="A166" s="12">
        <v>44050.666666666664</v>
      </c>
      <c r="B166" s="4">
        <v>26.11</v>
      </c>
      <c r="C166" s="2">
        <f ca="1">IFERROR(__xludf.DUMMYFUNCTION("""COMPUTED_VALUE"""),44.87)</f>
        <v>44.87</v>
      </c>
      <c r="D166" s="2">
        <f ca="1">IFERROR(__xludf.DUMMYFUNCTION("""COMPUTED_VALUE"""),334.57)</f>
        <v>334.57</v>
      </c>
      <c r="F166" s="16">
        <f t="shared" si="14"/>
        <v>2.4817093719671942E-2</v>
      </c>
      <c r="G166" s="16">
        <f t="shared" ca="1" si="15"/>
        <v>4.4897594053920575E-2</v>
      </c>
      <c r="H166" s="16">
        <f t="shared" ca="1" si="16"/>
        <v>7.1759608401513169E-4</v>
      </c>
      <c r="J166" s="38">
        <f t="shared" si="17"/>
        <v>2.477066514824337E-2</v>
      </c>
      <c r="K166" s="38">
        <f t="shared" ca="1" si="17"/>
        <v>4.4851165482492003E-2</v>
      </c>
      <c r="L166" s="38">
        <f t="shared" ca="1" si="17"/>
        <v>6.7116751258656029E-4</v>
      </c>
    </row>
    <row r="167" spans="1:12" ht="13.8" thickBot="1" x14ac:dyDescent="0.3">
      <c r="A167" s="12">
        <v>44053.666666666664</v>
      </c>
      <c r="B167" s="4">
        <v>26.56</v>
      </c>
      <c r="C167" s="2">
        <f ca="1">IFERROR(__xludf.DUMMYFUNCTION("""COMPUTED_VALUE"""),46.03)</f>
        <v>46.03</v>
      </c>
      <c r="D167" s="2">
        <f ca="1">IFERROR(__xludf.DUMMYFUNCTION("""COMPUTED_VALUE"""),335.57)</f>
        <v>335.57</v>
      </c>
      <c r="F167" s="16">
        <f t="shared" si="14"/>
        <v>1.7087941897195511E-2</v>
      </c>
      <c r="G167" s="16">
        <f t="shared" ca="1" si="15"/>
        <v>2.5523937841258181E-2</v>
      </c>
      <c r="H167" s="16">
        <f t="shared" ca="1" si="16"/>
        <v>2.9844532254355203E-3</v>
      </c>
      <c r="J167" s="38">
        <f t="shared" si="17"/>
        <v>1.7041513325766939E-2</v>
      </c>
      <c r="K167" s="38">
        <f t="shared" ca="1" si="17"/>
        <v>2.5477509269829609E-2</v>
      </c>
      <c r="L167" s="38">
        <f t="shared" ca="1" si="17"/>
        <v>2.9380246540069489E-3</v>
      </c>
    </row>
    <row r="168" spans="1:12" ht="13.8" thickBot="1" x14ac:dyDescent="0.3">
      <c r="A168" s="12">
        <v>44054.666666666664</v>
      </c>
      <c r="B168" s="4">
        <v>26.92</v>
      </c>
      <c r="C168" s="2">
        <f ca="1">IFERROR(__xludf.DUMMYFUNCTION("""COMPUTED_VALUE"""),45.37)</f>
        <v>45.37</v>
      </c>
      <c r="D168" s="2">
        <f ca="1">IFERROR(__xludf.DUMMYFUNCTION("""COMPUTED_VALUE"""),332.8)</f>
        <v>332.8</v>
      </c>
      <c r="F168" s="16">
        <f t="shared" si="14"/>
        <v>1.346318016829412E-2</v>
      </c>
      <c r="G168" s="16">
        <f t="shared" ca="1" si="15"/>
        <v>-1.4442264153277668E-2</v>
      </c>
      <c r="H168" s="16">
        <f t="shared" ca="1" si="16"/>
        <v>-8.2888695167903873E-3</v>
      </c>
      <c r="J168" s="38">
        <f t="shared" si="17"/>
        <v>1.3416751596865548E-2</v>
      </c>
      <c r="K168" s="38">
        <f t="shared" ca="1" si="17"/>
        <v>-1.448869272470624E-2</v>
      </c>
      <c r="L168" s="38">
        <f t="shared" ca="1" si="17"/>
        <v>-8.3352980882189596E-3</v>
      </c>
    </row>
    <row r="169" spans="1:12" ht="13.8" thickBot="1" x14ac:dyDescent="0.3">
      <c r="A169" s="12">
        <v>44055.666666666664</v>
      </c>
      <c r="B169" s="4">
        <v>26.73</v>
      </c>
      <c r="C169" s="2">
        <f ca="1">IFERROR(__xludf.DUMMYFUNCTION("""COMPUTED_VALUE"""),44.6)</f>
        <v>44.6</v>
      </c>
      <c r="D169" s="2">
        <f ca="1">IFERROR(__xludf.DUMMYFUNCTION("""COMPUTED_VALUE"""),337.44)</f>
        <v>337.44</v>
      </c>
      <c r="F169" s="16">
        <f t="shared" si="14"/>
        <v>-7.0829746256995093E-3</v>
      </c>
      <c r="G169" s="16">
        <f t="shared" ca="1" si="15"/>
        <v>-1.7117234649854051E-2</v>
      </c>
      <c r="H169" s="16">
        <f t="shared" ca="1" si="16"/>
        <v>1.3846007783410998E-2</v>
      </c>
      <c r="J169" s="38">
        <f t="shared" si="17"/>
        <v>-7.1294031971280807E-3</v>
      </c>
      <c r="K169" s="38">
        <f t="shared" ca="1" si="17"/>
        <v>-1.7163663221282623E-2</v>
      </c>
      <c r="L169" s="38">
        <f t="shared" ca="1" si="17"/>
        <v>1.3799579211982426E-2</v>
      </c>
    </row>
    <row r="170" spans="1:12" ht="13.8" thickBot="1" x14ac:dyDescent="0.3">
      <c r="A170" s="12">
        <v>44056.666666666664</v>
      </c>
      <c r="B170" s="4">
        <v>26.35</v>
      </c>
      <c r="C170" s="2">
        <f ca="1">IFERROR(__xludf.DUMMYFUNCTION("""COMPUTED_VALUE"""),44.89)</f>
        <v>44.89</v>
      </c>
      <c r="D170" s="2">
        <f ca="1">IFERROR(__xludf.DUMMYFUNCTION("""COMPUTED_VALUE"""),336.83)</f>
        <v>336.83</v>
      </c>
      <c r="F170" s="16">
        <f t="shared" si="14"/>
        <v>-1.4318255163456235E-2</v>
      </c>
      <c r="G170" s="16">
        <f t="shared" ca="1" si="15"/>
        <v>6.4811937678223089E-3</v>
      </c>
      <c r="H170" s="16">
        <f t="shared" ca="1" si="16"/>
        <v>-1.8093646949091319E-3</v>
      </c>
      <c r="J170" s="38">
        <f t="shared" si="17"/>
        <v>-1.4364683734884807E-2</v>
      </c>
      <c r="K170" s="38">
        <f t="shared" ca="1" si="17"/>
        <v>6.4347651963937375E-3</v>
      </c>
      <c r="L170" s="38">
        <f t="shared" ca="1" si="17"/>
        <v>-1.8557932663377033E-3</v>
      </c>
    </row>
    <row r="171" spans="1:12" ht="13.8" thickBot="1" x14ac:dyDescent="0.3">
      <c r="A171" s="12">
        <v>44057.666666666664</v>
      </c>
      <c r="B171" s="4">
        <v>26.47</v>
      </c>
      <c r="C171" s="2">
        <f ca="1">IFERROR(__xludf.DUMMYFUNCTION("""COMPUTED_VALUE"""),43.66)</f>
        <v>43.66</v>
      </c>
      <c r="D171" s="2">
        <f ca="1">IFERROR(__xludf.DUMMYFUNCTION("""COMPUTED_VALUE"""),336.84)</f>
        <v>336.84</v>
      </c>
      <c r="F171" s="16">
        <f t="shared" si="14"/>
        <v>4.5437412516384232E-3</v>
      </c>
      <c r="G171" s="16">
        <f t="shared" ca="1" si="15"/>
        <v>-2.7782701672043025E-2</v>
      </c>
      <c r="H171" s="16">
        <f t="shared" ca="1" si="16"/>
        <v>2.9688126236080855E-5</v>
      </c>
      <c r="J171" s="38">
        <f t="shared" si="17"/>
        <v>4.4973126802098518E-3</v>
      </c>
      <c r="K171" s="38">
        <f t="shared" ca="1" si="17"/>
        <v>-2.7829130243471598E-2</v>
      </c>
      <c r="L171" s="38">
        <f t="shared" ca="1" si="17"/>
        <v>-1.6740445192490568E-5</v>
      </c>
    </row>
    <row r="172" spans="1:12" ht="13.8" thickBot="1" x14ac:dyDescent="0.3">
      <c r="A172" s="12">
        <v>44060.666666666664</v>
      </c>
      <c r="B172" s="4">
        <v>25.9</v>
      </c>
      <c r="C172" s="2">
        <f ca="1">IFERROR(__xludf.DUMMYFUNCTION("""COMPUTED_VALUE"""),42.67)</f>
        <v>42.67</v>
      </c>
      <c r="D172" s="2">
        <f ca="1">IFERROR(__xludf.DUMMYFUNCTION("""COMPUTED_VALUE"""),337.91)</f>
        <v>337.91</v>
      </c>
      <c r="F172" s="16">
        <f t="shared" si="14"/>
        <v>-2.176904753351782E-2</v>
      </c>
      <c r="G172" s="16">
        <f t="shared" ca="1" si="15"/>
        <v>-2.2936253921889162E-2</v>
      </c>
      <c r="H172" s="16">
        <f t="shared" ca="1" si="16"/>
        <v>3.1715476751447034E-3</v>
      </c>
      <c r="J172" s="38">
        <f t="shared" si="17"/>
        <v>-2.1815476104946392E-2</v>
      </c>
      <c r="K172" s="38">
        <f t="shared" ca="1" si="17"/>
        <v>-2.2982682493317735E-2</v>
      </c>
      <c r="L172" s="38">
        <f t="shared" ca="1" si="17"/>
        <v>3.125119103716132E-3</v>
      </c>
    </row>
    <row r="173" spans="1:12" ht="13.8" thickBot="1" x14ac:dyDescent="0.3">
      <c r="A173" s="12">
        <v>44061.666666666664</v>
      </c>
      <c r="B173" s="4">
        <v>25.53</v>
      </c>
      <c r="C173" s="2">
        <f ca="1">IFERROR(__xludf.DUMMYFUNCTION("""COMPUTED_VALUE"""),42.63)</f>
        <v>42.63</v>
      </c>
      <c r="D173" s="2">
        <f ca="1">IFERROR(__xludf.DUMMYFUNCTION("""COMPUTED_VALUE"""),338.64)</f>
        <v>338.64</v>
      </c>
      <c r="F173" s="16">
        <f t="shared" si="14"/>
        <v>-1.4388737452099556E-2</v>
      </c>
      <c r="G173" s="16">
        <f t="shared" ca="1" si="15"/>
        <v>-9.3786642278957146E-4</v>
      </c>
      <c r="H173" s="16">
        <f t="shared" ca="1" si="16"/>
        <v>2.1580083757321636E-3</v>
      </c>
      <c r="J173" s="38">
        <f t="shared" si="17"/>
        <v>-1.4435166023528128E-2</v>
      </c>
      <c r="K173" s="38">
        <f t="shared" ca="1" si="17"/>
        <v>-9.8429499421814285E-4</v>
      </c>
      <c r="L173" s="38">
        <f t="shared" ca="1" si="17"/>
        <v>2.1115798043035922E-3</v>
      </c>
    </row>
    <row r="174" spans="1:12" ht="13.8" thickBot="1" x14ac:dyDescent="0.3">
      <c r="A174" s="12">
        <v>44062.666666666664</v>
      </c>
      <c r="B174" s="4">
        <v>25.5</v>
      </c>
      <c r="C174" s="2">
        <f ca="1">IFERROR(__xludf.DUMMYFUNCTION("""COMPUTED_VALUE"""),41.8)</f>
        <v>41.8</v>
      </c>
      <c r="D174" s="2">
        <f ca="1">IFERROR(__xludf.DUMMYFUNCTION("""COMPUTED_VALUE"""),337.23)</f>
        <v>337.23</v>
      </c>
      <c r="F174" s="16">
        <f t="shared" si="14"/>
        <v>-1.1757790890120617E-3</v>
      </c>
      <c r="G174" s="16">
        <f t="shared" ca="1" si="15"/>
        <v>-1.9661891246408405E-2</v>
      </c>
      <c r="H174" s="16">
        <f t="shared" ca="1" si="16"/>
        <v>-4.1724060708528011E-3</v>
      </c>
      <c r="J174" s="38">
        <f t="shared" si="17"/>
        <v>-1.2222076604406331E-3</v>
      </c>
      <c r="K174" s="38">
        <f t="shared" ca="1" si="17"/>
        <v>-1.9708319817836977E-2</v>
      </c>
      <c r="L174" s="38">
        <f t="shared" ca="1" si="17"/>
        <v>-4.2188346422813725E-3</v>
      </c>
    </row>
    <row r="175" spans="1:12" ht="13.8" thickBot="1" x14ac:dyDescent="0.3">
      <c r="A175" s="12">
        <v>44063.666666666664</v>
      </c>
      <c r="B175" s="4">
        <v>25.1</v>
      </c>
      <c r="C175" s="2">
        <f ca="1">IFERROR(__xludf.DUMMYFUNCTION("""COMPUTED_VALUE"""),41.89)</f>
        <v>41.89</v>
      </c>
      <c r="D175" s="2">
        <f ca="1">IFERROR(__xludf.DUMMYFUNCTION("""COMPUTED_VALUE"""),338.28)</f>
        <v>338.28</v>
      </c>
      <c r="F175" s="16">
        <f t="shared" si="14"/>
        <v>-1.5810606026642204E-2</v>
      </c>
      <c r="G175" s="16">
        <f t="shared" ca="1" si="15"/>
        <v>2.150795428232891E-3</v>
      </c>
      <c r="H175" s="16">
        <f t="shared" ca="1" si="16"/>
        <v>3.1087647722059962E-3</v>
      </c>
      <c r="J175" s="38">
        <f t="shared" si="17"/>
        <v>-1.5857034598070776E-2</v>
      </c>
      <c r="K175" s="38">
        <f t="shared" ca="1" si="17"/>
        <v>2.1043668568043196E-3</v>
      </c>
      <c r="L175" s="38">
        <f t="shared" ca="1" si="17"/>
        <v>3.0623362007774248E-3</v>
      </c>
    </row>
    <row r="176" spans="1:12" ht="13.8" thickBot="1" x14ac:dyDescent="0.3">
      <c r="A176" s="12">
        <v>44064.666666666664</v>
      </c>
      <c r="B176" s="4">
        <v>24.98</v>
      </c>
      <c r="C176" s="2">
        <f ca="1">IFERROR(__xludf.DUMMYFUNCTION("""COMPUTED_VALUE"""),42.77)</f>
        <v>42.77</v>
      </c>
      <c r="D176" s="2">
        <f ca="1">IFERROR(__xludf.DUMMYFUNCTION("""COMPUTED_VALUE"""),339.48)</f>
        <v>339.48</v>
      </c>
      <c r="F176" s="16">
        <f t="shared" si="14"/>
        <v>-4.7923414403066031E-3</v>
      </c>
      <c r="G176" s="16">
        <f t="shared" ca="1" si="15"/>
        <v>2.0789787279873784E-2</v>
      </c>
      <c r="H176" s="16">
        <f t="shared" ca="1" si="16"/>
        <v>3.5410801874547009E-3</v>
      </c>
      <c r="J176" s="38">
        <f t="shared" si="17"/>
        <v>-4.8387700117351745E-3</v>
      </c>
      <c r="K176" s="38">
        <f t="shared" ca="1" si="17"/>
        <v>2.0743358708445212E-2</v>
      </c>
      <c r="L176" s="38">
        <f t="shared" ca="1" si="17"/>
        <v>3.4946516160261295E-3</v>
      </c>
    </row>
    <row r="177" spans="1:12" ht="13.8" thickBot="1" x14ac:dyDescent="0.3">
      <c r="A177" s="12">
        <v>44067.666666666664</v>
      </c>
      <c r="B177" s="4">
        <v>25.69</v>
      </c>
      <c r="C177" s="2">
        <f ca="1">IFERROR(__xludf.DUMMYFUNCTION("""COMPUTED_VALUE"""),43.41)</f>
        <v>43.41</v>
      </c>
      <c r="D177" s="2">
        <f ca="1">IFERROR(__xludf.DUMMYFUNCTION("""COMPUTED_VALUE"""),342.92)</f>
        <v>342.92</v>
      </c>
      <c r="F177" s="16">
        <f t="shared" si="14"/>
        <v>2.8026306424360561E-2</v>
      </c>
      <c r="G177" s="16">
        <f t="shared" ca="1" si="15"/>
        <v>1.4852907072684825E-2</v>
      </c>
      <c r="H177" s="16">
        <f t="shared" ca="1" si="16"/>
        <v>1.0082148709079156E-2</v>
      </c>
      <c r="J177" s="38">
        <f t="shared" si="17"/>
        <v>2.7979877852931989E-2</v>
      </c>
      <c r="K177" s="38">
        <f t="shared" ca="1" si="17"/>
        <v>1.4806478501256253E-2</v>
      </c>
      <c r="L177" s="38">
        <f t="shared" ca="1" si="17"/>
        <v>1.0035720137650583E-2</v>
      </c>
    </row>
    <row r="178" spans="1:12" ht="13.8" thickBot="1" x14ac:dyDescent="0.3">
      <c r="A178" s="12">
        <v>44068.666666666664</v>
      </c>
      <c r="B178" s="4">
        <v>26</v>
      </c>
      <c r="C178" s="2">
        <f ca="1">IFERROR(__xludf.DUMMYFUNCTION("""COMPUTED_VALUE"""),43.3)</f>
        <v>43.3</v>
      </c>
      <c r="D178" s="2">
        <f ca="1">IFERROR(__xludf.DUMMYFUNCTION("""COMPUTED_VALUE"""),344.12)</f>
        <v>344.12</v>
      </c>
      <c r="F178" s="16">
        <f t="shared" si="14"/>
        <v>1.1994726899689841E-2</v>
      </c>
      <c r="G178" s="16">
        <f t="shared" ca="1" si="15"/>
        <v>-2.5371943030580153E-3</v>
      </c>
      <c r="H178" s="16">
        <f t="shared" ca="1" si="16"/>
        <v>3.4932499425921457E-3</v>
      </c>
      <c r="J178" s="38">
        <f t="shared" si="17"/>
        <v>1.1948298328261268E-2</v>
      </c>
      <c r="K178" s="38">
        <f t="shared" ca="1" si="17"/>
        <v>-2.5836228744865867E-3</v>
      </c>
      <c r="L178" s="38">
        <f t="shared" ca="1" si="17"/>
        <v>3.4468213711635744E-3</v>
      </c>
    </row>
    <row r="179" spans="1:12" ht="13.8" thickBot="1" x14ac:dyDescent="0.3">
      <c r="A179" s="12">
        <v>44069.666666666664</v>
      </c>
      <c r="B179" s="4">
        <v>25.56</v>
      </c>
      <c r="C179" s="2">
        <f ca="1">IFERROR(__xludf.DUMMYFUNCTION("""COMPUTED_VALUE"""),43.75)</f>
        <v>43.75</v>
      </c>
      <c r="D179" s="2">
        <f ca="1">IFERROR(__xludf.DUMMYFUNCTION("""COMPUTED_VALUE"""),347.57)</f>
        <v>347.57</v>
      </c>
      <c r="F179" s="16">
        <f t="shared" si="14"/>
        <v>-1.7067908512147997E-2</v>
      </c>
      <c r="G179" s="16">
        <f t="shared" ca="1" si="15"/>
        <v>1.0338977795179293E-2</v>
      </c>
      <c r="H179" s="16">
        <f t="shared" ca="1" si="16"/>
        <v>9.9756498145395101E-3</v>
      </c>
      <c r="J179" s="38">
        <f t="shared" si="17"/>
        <v>-1.711433708357657E-2</v>
      </c>
      <c r="K179" s="38">
        <f t="shared" ca="1" si="17"/>
        <v>1.0292549223750721E-2</v>
      </c>
      <c r="L179" s="38">
        <f t="shared" ca="1" si="17"/>
        <v>9.9292212431109379E-3</v>
      </c>
    </row>
    <row r="180" spans="1:12" ht="13.8" thickBot="1" x14ac:dyDescent="0.3">
      <c r="A180" s="12">
        <v>44070.666666666664</v>
      </c>
      <c r="B180" s="4">
        <v>26.05</v>
      </c>
      <c r="C180" s="2">
        <f ca="1">IFERROR(__xludf.DUMMYFUNCTION("""COMPUTED_VALUE"""),43.46)</f>
        <v>43.46</v>
      </c>
      <c r="D180" s="2">
        <f ca="1">IFERROR(__xludf.DUMMYFUNCTION("""COMPUTED_VALUE"""),348.33)</f>
        <v>348.33</v>
      </c>
      <c r="F180" s="16">
        <f t="shared" si="14"/>
        <v>1.8989138690041978E-2</v>
      </c>
      <c r="G180" s="16">
        <f t="shared" ca="1" si="15"/>
        <v>-6.6506379753398558E-3</v>
      </c>
      <c r="H180" s="16">
        <f t="shared" ca="1" si="16"/>
        <v>2.1842227393374749E-3</v>
      </c>
      <c r="J180" s="38">
        <f t="shared" si="17"/>
        <v>1.8942710118613405E-2</v>
      </c>
      <c r="K180" s="38">
        <f t="shared" ca="1" si="17"/>
        <v>-6.6970665467684272E-3</v>
      </c>
      <c r="L180" s="38">
        <f t="shared" ca="1" si="17"/>
        <v>2.1377941679089035E-3</v>
      </c>
    </row>
    <row r="181" spans="1:12" ht="13.8" thickBot="1" x14ac:dyDescent="0.3">
      <c r="A181" s="12">
        <v>44071.666666666664</v>
      </c>
      <c r="B181" s="4">
        <v>26.3</v>
      </c>
      <c r="C181" s="2">
        <f ca="1">IFERROR(__xludf.DUMMYFUNCTION("""COMPUTED_VALUE"""),43.02)</f>
        <v>43.02</v>
      </c>
      <c r="D181" s="2">
        <f ca="1">IFERROR(__xludf.DUMMYFUNCTION("""COMPUTED_VALUE"""),350.58)</f>
        <v>350.58</v>
      </c>
      <c r="F181" s="16">
        <f t="shared" si="14"/>
        <v>9.5511709843429868E-3</v>
      </c>
      <c r="G181" s="16">
        <f t="shared" ca="1" si="15"/>
        <v>-1.0175850988699562E-2</v>
      </c>
      <c r="H181" s="16">
        <f t="shared" ca="1" si="16"/>
        <v>6.4386194873762605E-3</v>
      </c>
      <c r="J181" s="38">
        <f t="shared" si="17"/>
        <v>9.5047424129144145E-3</v>
      </c>
      <c r="K181" s="38">
        <f t="shared" ca="1" si="17"/>
        <v>-1.0222279560128134E-2</v>
      </c>
      <c r="L181" s="38">
        <f t="shared" ca="1" si="17"/>
        <v>6.3921909159476891E-3</v>
      </c>
    </row>
    <row r="182" spans="1:12" ht="13.8" thickBot="1" x14ac:dyDescent="0.3">
      <c r="A182" s="12">
        <v>44074.666666666664</v>
      </c>
      <c r="B182" s="4">
        <v>25.74</v>
      </c>
      <c r="C182" s="2">
        <f ca="1">IFERROR(__xludf.DUMMYFUNCTION("""COMPUTED_VALUE"""),42.97)</f>
        <v>42.97</v>
      </c>
      <c r="D182" s="2">
        <f ca="1">IFERROR(__xludf.DUMMYFUNCTION("""COMPUTED_VALUE"""),349.31)</f>
        <v>349.31</v>
      </c>
      <c r="F182" s="16">
        <f t="shared" si="14"/>
        <v>-2.1522737015738359E-2</v>
      </c>
      <c r="G182" s="16">
        <f t="shared" ca="1" si="15"/>
        <v>-1.1629260526803003E-3</v>
      </c>
      <c r="H182" s="16">
        <f t="shared" ca="1" si="16"/>
        <v>-3.6291457054639636E-3</v>
      </c>
      <c r="J182" s="38">
        <f t="shared" si="17"/>
        <v>-2.1569165587166931E-2</v>
      </c>
      <c r="K182" s="38">
        <f t="shared" ca="1" si="17"/>
        <v>-1.2093546241088717E-3</v>
      </c>
      <c r="L182" s="38">
        <f t="shared" ca="1" si="17"/>
        <v>-3.675574276892535E-3</v>
      </c>
    </row>
    <row r="183" spans="1:12" ht="13.8" thickBot="1" x14ac:dyDescent="0.3">
      <c r="A183" s="12">
        <v>44075.666666666664</v>
      </c>
      <c r="B183" s="4">
        <v>25.71</v>
      </c>
      <c r="C183" s="2">
        <f ca="1">IFERROR(__xludf.DUMMYFUNCTION("""COMPUTED_VALUE"""),43.65)</f>
        <v>43.65</v>
      </c>
      <c r="D183" s="2">
        <f ca="1">IFERROR(__xludf.DUMMYFUNCTION("""COMPUTED_VALUE"""),352.6)</f>
        <v>352.6</v>
      </c>
      <c r="F183" s="16">
        <f t="shared" si="14"/>
        <v>-1.1661808901823965E-3</v>
      </c>
      <c r="G183" s="16">
        <f t="shared" ca="1" si="15"/>
        <v>1.5701084498707499E-2</v>
      </c>
      <c r="H183" s="16">
        <f t="shared" ca="1" si="16"/>
        <v>9.3744898748333947E-3</v>
      </c>
      <c r="J183" s="38">
        <f t="shared" si="17"/>
        <v>-1.2126094616109679E-3</v>
      </c>
      <c r="K183" s="38">
        <f t="shared" ca="1" si="17"/>
        <v>1.5654655927278927E-2</v>
      </c>
      <c r="L183" s="38">
        <f t="shared" ca="1" si="17"/>
        <v>9.3280613034048224E-3</v>
      </c>
    </row>
    <row r="184" spans="1:12" ht="13.8" thickBot="1" x14ac:dyDescent="0.3">
      <c r="A184" s="12">
        <v>44076.666666666664</v>
      </c>
      <c r="B184" s="4">
        <v>26.02</v>
      </c>
      <c r="C184" s="2">
        <f ca="1">IFERROR(__xludf.DUMMYFUNCTION("""COMPUTED_VALUE"""),43.74)</f>
        <v>43.74</v>
      </c>
      <c r="D184" s="2">
        <f ca="1">IFERROR(__xludf.DUMMYFUNCTION("""COMPUTED_VALUE"""),357.7)</f>
        <v>357.7</v>
      </c>
      <c r="F184" s="16">
        <f t="shared" si="14"/>
        <v>1.198545180656113E-2</v>
      </c>
      <c r="G184" s="16">
        <f t="shared" ca="1" si="15"/>
        <v>2.0597329630105622E-3</v>
      </c>
      <c r="H184" s="16">
        <f t="shared" ca="1" si="16"/>
        <v>1.4360376301202174E-2</v>
      </c>
      <c r="J184" s="38">
        <f t="shared" si="17"/>
        <v>1.1939023235132558E-2</v>
      </c>
      <c r="K184" s="38">
        <f t="shared" ca="1" si="17"/>
        <v>2.0133043915819908E-3</v>
      </c>
      <c r="L184" s="38">
        <f t="shared" ca="1" si="17"/>
        <v>1.4313947729773601E-2</v>
      </c>
    </row>
    <row r="185" spans="1:12" ht="13.8" thickBot="1" x14ac:dyDescent="0.3">
      <c r="A185" s="12">
        <v>44077.666666666664</v>
      </c>
      <c r="B185" s="4">
        <v>25.66</v>
      </c>
      <c r="C185" s="2">
        <f ca="1">IFERROR(__xludf.DUMMYFUNCTION("""COMPUTED_VALUE"""),43.9)</f>
        <v>43.9</v>
      </c>
      <c r="D185" s="2">
        <f ca="1">IFERROR(__xludf.DUMMYFUNCTION("""COMPUTED_VALUE"""),345.39)</f>
        <v>345.39</v>
      </c>
      <c r="F185" s="16">
        <f t="shared" si="14"/>
        <v>-1.3932113896868796E-2</v>
      </c>
      <c r="G185" s="16">
        <f t="shared" ca="1" si="15"/>
        <v>3.6513048325038438E-3</v>
      </c>
      <c r="H185" s="16">
        <f t="shared" ca="1" si="16"/>
        <v>-3.5020432911289257E-2</v>
      </c>
      <c r="J185" s="38">
        <f t="shared" si="17"/>
        <v>-1.3978542468297368E-2</v>
      </c>
      <c r="K185" s="38">
        <f t="shared" ca="1" si="17"/>
        <v>3.6048762610752724E-3</v>
      </c>
      <c r="L185" s="38">
        <f t="shared" ca="1" si="17"/>
        <v>-3.5066861482717829E-2</v>
      </c>
    </row>
    <row r="186" spans="1:12" ht="13.8" thickBot="1" x14ac:dyDescent="0.3">
      <c r="A186" s="12">
        <v>44078.666666666664</v>
      </c>
      <c r="B186" s="4">
        <v>26.54</v>
      </c>
      <c r="C186" s="2">
        <f ca="1">IFERROR(__xludf.DUMMYFUNCTION("""COMPUTED_VALUE"""),44.47)</f>
        <v>44.47</v>
      </c>
      <c r="D186" s="2">
        <f ca="1">IFERROR(__xludf.DUMMYFUNCTION("""COMPUTED_VALUE"""),342.57)</f>
        <v>342.57</v>
      </c>
      <c r="F186" s="16">
        <f t="shared" si="14"/>
        <v>3.3719669716570963E-2</v>
      </c>
      <c r="G186" s="16">
        <f t="shared" ca="1" si="15"/>
        <v>1.2900484441479522E-2</v>
      </c>
      <c r="H186" s="16">
        <f t="shared" ca="1" si="16"/>
        <v>-8.1981969720163698E-3</v>
      </c>
      <c r="J186" s="38">
        <f t="shared" si="17"/>
        <v>3.3673241145142391E-2</v>
      </c>
      <c r="K186" s="38">
        <f t="shared" ca="1" si="17"/>
        <v>1.2854055870050949E-2</v>
      </c>
      <c r="L186" s="38">
        <f t="shared" ca="1" si="17"/>
        <v>-8.244625543444942E-3</v>
      </c>
    </row>
    <row r="187" spans="1:12" ht="13.8" thickBot="1" x14ac:dyDescent="0.3">
      <c r="A187" s="12">
        <v>44082.666666666664</v>
      </c>
      <c r="B187" s="4">
        <v>25.48</v>
      </c>
      <c r="C187" s="2">
        <f ca="1">IFERROR(__xludf.DUMMYFUNCTION("""COMPUTED_VALUE"""),43.17)</f>
        <v>43.17</v>
      </c>
      <c r="D187" s="2">
        <f ca="1">IFERROR(__xludf.DUMMYFUNCTION("""COMPUTED_VALUE"""),333.21)</f>
        <v>333.21</v>
      </c>
      <c r="F187" s="16">
        <f t="shared" si="14"/>
        <v>-4.0759198200098844E-2</v>
      </c>
      <c r="G187" s="16">
        <f t="shared" ca="1" si="15"/>
        <v>-2.9668994955218887E-2</v>
      </c>
      <c r="H187" s="16">
        <f t="shared" ca="1" si="16"/>
        <v>-2.7703094534528027E-2</v>
      </c>
      <c r="J187" s="38">
        <f t="shared" si="17"/>
        <v>-4.0805626771527416E-2</v>
      </c>
      <c r="K187" s="38">
        <f t="shared" ca="1" si="17"/>
        <v>-2.971542352664746E-2</v>
      </c>
      <c r="L187" s="38">
        <f t="shared" ca="1" si="17"/>
        <v>-2.7749523105956599E-2</v>
      </c>
    </row>
    <row r="188" spans="1:12" ht="13.8" thickBot="1" x14ac:dyDescent="0.3">
      <c r="A188" s="12">
        <v>44083.666666666664</v>
      </c>
      <c r="B188" s="4">
        <v>25.51</v>
      </c>
      <c r="C188" s="2">
        <f ca="1">IFERROR(__xludf.DUMMYFUNCTION("""COMPUTED_VALUE"""),43.22)</f>
        <v>43.22</v>
      </c>
      <c r="D188" s="2">
        <f ca="1">IFERROR(__xludf.DUMMYFUNCTION("""COMPUTED_VALUE"""),339.79)</f>
        <v>339.79</v>
      </c>
      <c r="F188" s="16">
        <f t="shared" si="14"/>
        <v>1.1767014497575208E-3</v>
      </c>
      <c r="G188" s="16">
        <f t="shared" ca="1" si="15"/>
        <v>1.1575415113538002E-3</v>
      </c>
      <c r="H188" s="16">
        <f t="shared" ca="1" si="16"/>
        <v>1.9554857881722672E-2</v>
      </c>
      <c r="J188" s="38">
        <f t="shared" si="17"/>
        <v>1.1302728783289494E-3</v>
      </c>
      <c r="K188" s="38">
        <f t="shared" ca="1" si="17"/>
        <v>1.1111129399252288E-3</v>
      </c>
      <c r="L188" s="38">
        <f t="shared" ca="1" si="17"/>
        <v>1.95084293102941E-2</v>
      </c>
    </row>
    <row r="189" spans="1:12" ht="13.8" thickBot="1" x14ac:dyDescent="0.3">
      <c r="A189" s="12">
        <v>44084.666666666664</v>
      </c>
      <c r="B189" s="4">
        <v>25.14</v>
      </c>
      <c r="C189" s="2">
        <f ca="1">IFERROR(__xludf.DUMMYFUNCTION("""COMPUTED_VALUE"""),43.29)</f>
        <v>43.29</v>
      </c>
      <c r="D189" s="2">
        <f ca="1">IFERROR(__xludf.DUMMYFUNCTION("""COMPUTED_VALUE"""),333.89)</f>
        <v>333.89</v>
      </c>
      <c r="F189" s="16">
        <f t="shared" si="14"/>
        <v>-1.4610328991618739E-2</v>
      </c>
      <c r="G189" s="16">
        <f t="shared" ca="1" si="15"/>
        <v>1.6183103751492576E-3</v>
      </c>
      <c r="H189" s="16">
        <f t="shared" ca="1" si="16"/>
        <v>-1.7516182314287875E-2</v>
      </c>
      <c r="J189" s="38">
        <f t="shared" si="17"/>
        <v>-1.4656757563047311E-2</v>
      </c>
      <c r="K189" s="38">
        <f t="shared" ca="1" si="17"/>
        <v>1.5718818037206862E-3</v>
      </c>
      <c r="L189" s="38">
        <f t="shared" ca="1" si="17"/>
        <v>-1.7562610885716447E-2</v>
      </c>
    </row>
    <row r="190" spans="1:12" ht="13.8" thickBot="1" x14ac:dyDescent="0.3">
      <c r="A190" s="12">
        <v>44085.666666666664</v>
      </c>
      <c r="B190" s="4">
        <v>25.5</v>
      </c>
      <c r="C190" s="2">
        <f ca="1">IFERROR(__xludf.DUMMYFUNCTION("""COMPUTED_VALUE"""),43.3)</f>
        <v>43.3</v>
      </c>
      <c r="D190" s="2">
        <f ca="1">IFERROR(__xludf.DUMMYFUNCTION("""COMPUTED_VALUE"""),334.06)</f>
        <v>334.06</v>
      </c>
      <c r="F190" s="16">
        <f t="shared" si="14"/>
        <v>1.4218249002279172E-2</v>
      </c>
      <c r="G190" s="16">
        <f t="shared" ca="1" si="15"/>
        <v>2.3097355455493671E-4</v>
      </c>
      <c r="H190" s="16">
        <f t="shared" ca="1" si="16"/>
        <v>5.0902014722837305E-4</v>
      </c>
      <c r="J190" s="38">
        <f t="shared" si="17"/>
        <v>1.41718204308506E-2</v>
      </c>
      <c r="K190" s="38">
        <f t="shared" ca="1" si="17"/>
        <v>1.8454498312636528E-4</v>
      </c>
      <c r="L190" s="38">
        <f t="shared" ca="1" si="17"/>
        <v>4.6259157579980165E-4</v>
      </c>
    </row>
    <row r="191" spans="1:12" ht="13.8" thickBot="1" x14ac:dyDescent="0.3">
      <c r="A191" s="12">
        <v>44088.666666666664</v>
      </c>
      <c r="B191" s="4">
        <v>25.75</v>
      </c>
      <c r="C191" s="2">
        <f ca="1">IFERROR(__xludf.DUMMYFUNCTION("""COMPUTED_VALUE"""),43.69)</f>
        <v>43.69</v>
      </c>
      <c r="D191" s="2">
        <f ca="1">IFERROR(__xludf.DUMMYFUNCTION("""COMPUTED_VALUE"""),338.46)</f>
        <v>338.46</v>
      </c>
      <c r="F191" s="16">
        <f t="shared" si="14"/>
        <v>9.7561749453646558E-3</v>
      </c>
      <c r="G191" s="16">
        <f t="shared" ca="1" si="15"/>
        <v>8.9666079549002766E-3</v>
      </c>
      <c r="H191" s="16">
        <f t="shared" ca="1" si="16"/>
        <v>1.3085299418138052E-2</v>
      </c>
      <c r="J191" s="38">
        <f t="shared" si="17"/>
        <v>9.7097463739360835E-3</v>
      </c>
      <c r="K191" s="38">
        <f t="shared" ca="1" si="17"/>
        <v>8.9201793834717043E-3</v>
      </c>
      <c r="L191" s="38">
        <f t="shared" ca="1" si="17"/>
        <v>1.303887084670948E-2</v>
      </c>
    </row>
    <row r="192" spans="1:12" ht="13.8" thickBot="1" x14ac:dyDescent="0.3">
      <c r="A192" s="12">
        <v>44089.666666666664</v>
      </c>
      <c r="B192" s="4">
        <v>25.28</v>
      </c>
      <c r="C192" s="2">
        <f ca="1">IFERROR(__xludf.DUMMYFUNCTION("""COMPUTED_VALUE"""),39.08)</f>
        <v>39.08</v>
      </c>
      <c r="D192" s="2">
        <f ca="1">IFERROR(__xludf.DUMMYFUNCTION("""COMPUTED_VALUE"""),340.17)</f>
        <v>340.17</v>
      </c>
      <c r="F192" s="16">
        <f t="shared" si="14"/>
        <v>-1.8421057831088414E-2</v>
      </c>
      <c r="G192" s="16">
        <f t="shared" ca="1" si="15"/>
        <v>-0.11150841578876247</v>
      </c>
      <c r="H192" s="16">
        <f t="shared" ca="1" si="16"/>
        <v>5.0395756719184281E-3</v>
      </c>
      <c r="J192" s="38">
        <f t="shared" si="17"/>
        <v>-1.8467486402516987E-2</v>
      </c>
      <c r="K192" s="38">
        <f t="shared" ca="1" si="17"/>
        <v>-0.11155484436019104</v>
      </c>
      <c r="L192" s="38">
        <f t="shared" ca="1" si="17"/>
        <v>4.9931471004898568E-3</v>
      </c>
    </row>
    <row r="193" spans="1:12" ht="13.8" thickBot="1" x14ac:dyDescent="0.3">
      <c r="A193" s="12">
        <v>44090.666666666664</v>
      </c>
      <c r="B193" s="4">
        <v>25.6</v>
      </c>
      <c r="C193" s="2">
        <f ca="1">IFERROR(__xludf.DUMMYFUNCTION("""COMPUTED_VALUE"""),39.14)</f>
        <v>39.14</v>
      </c>
      <c r="D193" s="2">
        <f ca="1">IFERROR(__xludf.DUMMYFUNCTION("""COMPUTED_VALUE"""),338.82)</f>
        <v>338.82</v>
      </c>
      <c r="F193" s="16">
        <f t="shared" si="14"/>
        <v>1.2578782206860185E-2</v>
      </c>
      <c r="G193" s="16">
        <f t="shared" ca="1" si="15"/>
        <v>1.5341347933482408E-3</v>
      </c>
      <c r="H193" s="16">
        <f t="shared" ca="1" si="16"/>
        <v>-3.9764997390578823E-3</v>
      </c>
      <c r="J193" s="38">
        <f t="shared" si="17"/>
        <v>1.2532353635431613E-2</v>
      </c>
      <c r="K193" s="38">
        <f t="shared" ca="1" si="17"/>
        <v>1.4877062219196694E-3</v>
      </c>
      <c r="L193" s="38">
        <f t="shared" ca="1" si="17"/>
        <v>-4.0229283104864537E-3</v>
      </c>
    </row>
    <row r="194" spans="1:12" ht="13.8" thickBot="1" x14ac:dyDescent="0.3">
      <c r="A194" s="12">
        <v>44091.666666666664</v>
      </c>
      <c r="B194" s="4">
        <v>25.35</v>
      </c>
      <c r="C194" s="2">
        <f ca="1">IFERROR(__xludf.DUMMYFUNCTION("""COMPUTED_VALUE"""),38.59)</f>
        <v>38.590000000000003</v>
      </c>
      <c r="D194" s="2">
        <f ca="1">IFERROR(__xludf.DUMMYFUNCTION("""COMPUTED_VALUE"""),335.84)</f>
        <v>335.84</v>
      </c>
      <c r="F194" s="16">
        <f t="shared" si="14"/>
        <v>-9.813621448324622E-3</v>
      </c>
      <c r="G194" s="16">
        <f t="shared" ca="1" si="15"/>
        <v>-1.4151786418402755E-2</v>
      </c>
      <c r="H194" s="16">
        <f t="shared" ca="1" si="16"/>
        <v>-8.8341368404775307E-3</v>
      </c>
      <c r="J194" s="38">
        <f t="shared" si="17"/>
        <v>-9.8600500197531943E-3</v>
      </c>
      <c r="K194" s="38">
        <f t="shared" ca="1" si="17"/>
        <v>-1.4198214989831327E-2</v>
      </c>
      <c r="L194" s="38">
        <f t="shared" ca="1" si="17"/>
        <v>-8.880565411906103E-3</v>
      </c>
    </row>
    <row r="195" spans="1:12" ht="13.8" thickBot="1" x14ac:dyDescent="0.3">
      <c r="A195" s="12">
        <v>44092.666666666664</v>
      </c>
      <c r="B195" s="4">
        <v>25.21</v>
      </c>
      <c r="C195" s="2">
        <f ca="1">IFERROR(__xludf.DUMMYFUNCTION("""COMPUTED_VALUE"""),38)</f>
        <v>38</v>
      </c>
      <c r="D195" s="2">
        <f ca="1">IFERROR(__xludf.DUMMYFUNCTION("""COMPUTED_VALUE"""),330.65)</f>
        <v>330.65</v>
      </c>
      <c r="F195" s="16">
        <f t="shared" si="14"/>
        <v>-5.5379888373637189E-3</v>
      </c>
      <c r="G195" s="16">
        <f t="shared" ca="1" si="15"/>
        <v>-1.5407015823141738E-2</v>
      </c>
      <c r="H195" s="16">
        <f t="shared" ca="1" si="16"/>
        <v>-1.5574441951651464E-2</v>
      </c>
      <c r="J195" s="38">
        <f t="shared" si="17"/>
        <v>-5.5844174087922903E-3</v>
      </c>
      <c r="K195" s="38">
        <f t="shared" ca="1" si="17"/>
        <v>-1.5453444394570311E-2</v>
      </c>
      <c r="L195" s="38">
        <f t="shared" ca="1" si="17"/>
        <v>-1.5620870523080036E-2</v>
      </c>
    </row>
    <row r="196" spans="1:12" ht="13.8" thickBot="1" x14ac:dyDescent="0.3">
      <c r="A196" s="12">
        <v>44095.666666666664</v>
      </c>
      <c r="B196" s="4">
        <v>24.47</v>
      </c>
      <c r="C196" s="2">
        <f ca="1">IFERROR(__xludf.DUMMYFUNCTION("""COMPUTED_VALUE"""),37.1)</f>
        <v>37.1</v>
      </c>
      <c r="D196" s="2">
        <f ca="1">IFERROR(__xludf.DUMMYFUNCTION("""COMPUTED_VALUE"""),326.97)</f>
        <v>326.97000000000003</v>
      </c>
      <c r="F196" s="16">
        <f t="shared" si="14"/>
        <v>-2.9792863745248199E-2</v>
      </c>
      <c r="G196" s="16">
        <f t="shared" ca="1" si="15"/>
        <v>-2.3969190112996277E-2</v>
      </c>
      <c r="H196" s="16">
        <f t="shared" ca="1" si="16"/>
        <v>-1.1191990551341234E-2</v>
      </c>
      <c r="J196" s="38">
        <f t="shared" si="17"/>
        <v>-2.9839292316676772E-2</v>
      </c>
      <c r="K196" s="38">
        <f t="shared" ca="1" si="17"/>
        <v>-2.4015618684424849E-2</v>
      </c>
      <c r="L196" s="38">
        <f t="shared" ca="1" si="17"/>
        <v>-1.1238419122769806E-2</v>
      </c>
    </row>
    <row r="197" spans="1:12" ht="13.8" thickBot="1" x14ac:dyDescent="0.3">
      <c r="A197" s="12">
        <v>44096.666666666664</v>
      </c>
      <c r="B197" s="4">
        <v>23.94</v>
      </c>
      <c r="C197" s="2">
        <f ca="1">IFERROR(__xludf.DUMMYFUNCTION("""COMPUTED_VALUE"""),37.13)</f>
        <v>37.130000000000003</v>
      </c>
      <c r="D197" s="2">
        <f ca="1">IFERROR(__xludf.DUMMYFUNCTION("""COMPUTED_VALUE"""),330.3)</f>
        <v>330.3</v>
      </c>
      <c r="F197" s="16">
        <f t="shared" si="14"/>
        <v>-2.1897177324753124E-2</v>
      </c>
      <c r="G197" s="16">
        <f t="shared" ca="1" si="15"/>
        <v>8.0829857559930514E-4</v>
      </c>
      <c r="H197" s="16">
        <f t="shared" ca="1" si="16"/>
        <v>1.0132908827414041E-2</v>
      </c>
      <c r="J197" s="38">
        <f t="shared" si="17"/>
        <v>-2.1943605896181696E-2</v>
      </c>
      <c r="K197" s="38">
        <f t="shared" ca="1" si="17"/>
        <v>7.6187000417073374E-4</v>
      </c>
      <c r="L197" s="38">
        <f t="shared" ca="1" si="17"/>
        <v>1.0086480255985469E-2</v>
      </c>
    </row>
    <row r="198" spans="1:12" ht="13.8" thickBot="1" x14ac:dyDescent="0.3">
      <c r="A198" s="12">
        <v>44097.666666666664</v>
      </c>
      <c r="B198" s="4">
        <v>23.26</v>
      </c>
      <c r="C198" s="2">
        <f ca="1">IFERROR(__xludf.DUMMYFUNCTION("""COMPUTED_VALUE"""),36.82)</f>
        <v>36.82</v>
      </c>
      <c r="D198" s="2">
        <f ca="1">IFERROR(__xludf.DUMMYFUNCTION("""COMPUTED_VALUE"""),322.64)</f>
        <v>322.64</v>
      </c>
      <c r="F198" s="16">
        <f t="shared" si="14"/>
        <v>-2.881555303930872E-2</v>
      </c>
      <c r="G198" s="16">
        <f t="shared" ca="1" si="15"/>
        <v>-8.3840923840569452E-3</v>
      </c>
      <c r="H198" s="16">
        <f t="shared" ca="1" si="16"/>
        <v>-2.3464181831631351E-2</v>
      </c>
      <c r="J198" s="38">
        <f t="shared" si="17"/>
        <v>-2.8861981610737292E-2</v>
      </c>
      <c r="K198" s="38">
        <f t="shared" ca="1" si="17"/>
        <v>-8.4305209554855175E-3</v>
      </c>
      <c r="L198" s="38">
        <f t="shared" ca="1" si="17"/>
        <v>-2.3510610403059923E-2</v>
      </c>
    </row>
    <row r="199" spans="1:12" ht="13.8" thickBot="1" x14ac:dyDescent="0.3">
      <c r="A199" s="12">
        <v>44098.666666666664</v>
      </c>
      <c r="B199" s="4">
        <v>23.34</v>
      </c>
      <c r="C199" s="2">
        <f ca="1">IFERROR(__xludf.DUMMYFUNCTION("""COMPUTED_VALUE"""),35.82)</f>
        <v>35.82</v>
      </c>
      <c r="D199" s="2">
        <f ca="1">IFERROR(__xludf.DUMMYFUNCTION("""COMPUTED_VALUE"""),323.5)</f>
        <v>323.5</v>
      </c>
      <c r="F199" s="16">
        <f t="shared" si="14"/>
        <v>3.4334797678915365E-3</v>
      </c>
      <c r="G199" s="16">
        <f t="shared" ca="1" si="15"/>
        <v>-2.7534779172366072E-2</v>
      </c>
      <c r="H199" s="16">
        <f t="shared" ca="1" si="16"/>
        <v>2.6619633758426194E-3</v>
      </c>
      <c r="J199" s="38">
        <f t="shared" si="17"/>
        <v>3.3870511964629651E-3</v>
      </c>
      <c r="K199" s="38">
        <f t="shared" ca="1" si="17"/>
        <v>-2.7581207743794644E-2</v>
      </c>
      <c r="L199" s="38">
        <f t="shared" ca="1" si="17"/>
        <v>2.615534804414048E-3</v>
      </c>
    </row>
    <row r="200" spans="1:12" ht="13.8" thickBot="1" x14ac:dyDescent="0.3">
      <c r="A200" s="12">
        <v>44099.666666666664</v>
      </c>
      <c r="B200" s="4">
        <v>23.49</v>
      </c>
      <c r="C200" s="2">
        <f ca="1">IFERROR(__xludf.DUMMYFUNCTION("""COMPUTED_VALUE"""),35.85)</f>
        <v>35.85</v>
      </c>
      <c r="D200" s="2">
        <f ca="1">IFERROR(__xludf.DUMMYFUNCTION("""COMPUTED_VALUE"""),328.73)</f>
        <v>328.73</v>
      </c>
      <c r="F200" s="16">
        <f t="shared" si="14"/>
        <v>6.4061718124115074E-3</v>
      </c>
      <c r="G200" s="16">
        <f t="shared" ca="1" si="15"/>
        <v>8.3717041306377842E-4</v>
      </c>
      <c r="H200" s="16">
        <f t="shared" ca="1" si="16"/>
        <v>1.6037631198502954E-2</v>
      </c>
      <c r="J200" s="38">
        <f t="shared" si="17"/>
        <v>6.359743240982936E-3</v>
      </c>
      <c r="K200" s="38">
        <f t="shared" ca="1" si="17"/>
        <v>7.9074184163520703E-4</v>
      </c>
      <c r="L200" s="38">
        <f t="shared" ca="1" si="17"/>
        <v>1.5991202627074382E-2</v>
      </c>
    </row>
    <row r="201" spans="1:12" ht="13.8" thickBot="1" x14ac:dyDescent="0.3">
      <c r="A201" s="12">
        <v>44102.666666666664</v>
      </c>
      <c r="B201" s="4">
        <v>24.09</v>
      </c>
      <c r="C201" s="2">
        <f ca="1">IFERROR(__xludf.DUMMYFUNCTION("""COMPUTED_VALUE"""),37.35)</f>
        <v>37.35</v>
      </c>
      <c r="D201" s="2">
        <f ca="1">IFERROR(__xludf.DUMMYFUNCTION("""COMPUTED_VALUE"""),334.19)</f>
        <v>334.19</v>
      </c>
      <c r="F201" s="16">
        <f t="shared" si="14"/>
        <v>2.5222017955958638E-2</v>
      </c>
      <c r="G201" s="16">
        <f t="shared" ca="1" si="15"/>
        <v>4.0989344533196949E-2</v>
      </c>
      <c r="H201" s="16">
        <f t="shared" ca="1" si="16"/>
        <v>1.647294837188306E-2</v>
      </c>
      <c r="J201" s="38">
        <f t="shared" si="17"/>
        <v>2.5175589384530066E-2</v>
      </c>
      <c r="K201" s="38">
        <f t="shared" ca="1" si="17"/>
        <v>4.0942915961768377E-2</v>
      </c>
      <c r="L201" s="38">
        <f t="shared" ca="1" si="17"/>
        <v>1.6426519800454488E-2</v>
      </c>
    </row>
    <row r="202" spans="1:12" ht="13.8" thickBot="1" x14ac:dyDescent="0.3">
      <c r="A202" s="12">
        <v>44103.666666666664</v>
      </c>
      <c r="B202" s="4">
        <v>23.77</v>
      </c>
      <c r="C202" s="2">
        <f ca="1">IFERROR(__xludf.DUMMYFUNCTION("""COMPUTED_VALUE"""),35.91)</f>
        <v>35.909999999999997</v>
      </c>
      <c r="D202" s="2">
        <f ca="1">IFERROR(__xludf.DUMMYFUNCTION("""COMPUTED_VALUE"""),332.37)</f>
        <v>332.37</v>
      </c>
      <c r="F202" s="16">
        <f t="shared" si="14"/>
        <v>-1.3372535254677419E-2</v>
      </c>
      <c r="G202" s="16">
        <f t="shared" ca="1" si="15"/>
        <v>-3.9317103340834922E-2</v>
      </c>
      <c r="H202" s="16">
        <f t="shared" ca="1" si="16"/>
        <v>-5.4608873106499443E-3</v>
      </c>
      <c r="J202" s="38">
        <f t="shared" si="17"/>
        <v>-1.3418963826105992E-2</v>
      </c>
      <c r="K202" s="38">
        <f t="shared" ca="1" si="17"/>
        <v>-3.9363531912263494E-2</v>
      </c>
      <c r="L202" s="38">
        <f t="shared" ca="1" si="17"/>
        <v>-5.5073158820785157E-3</v>
      </c>
    </row>
    <row r="203" spans="1:12" ht="13.8" thickBot="1" x14ac:dyDescent="0.3">
      <c r="A203" s="12">
        <v>44104.666666666664</v>
      </c>
      <c r="B203" s="4">
        <v>24.09</v>
      </c>
      <c r="C203" s="2">
        <f ca="1">IFERROR(__xludf.DUMMYFUNCTION("""COMPUTED_VALUE"""),36.7)</f>
        <v>36.700000000000003</v>
      </c>
      <c r="D203" s="2">
        <f ca="1">IFERROR(__xludf.DUMMYFUNCTION("""COMPUTED_VALUE"""),334.89)</f>
        <v>334.89</v>
      </c>
      <c r="F203" s="16">
        <f t="shared" si="14"/>
        <v>1.3372535254677397E-2</v>
      </c>
      <c r="G203" s="16">
        <f t="shared" ca="1" si="15"/>
        <v>2.1760946822533388E-2</v>
      </c>
      <c r="H203" s="16">
        <f t="shared" ca="1" si="16"/>
        <v>7.5533134940591398E-3</v>
      </c>
      <c r="J203" s="38">
        <f t="shared" si="17"/>
        <v>1.3326106683248825E-2</v>
      </c>
      <c r="K203" s="38">
        <f t="shared" ca="1" si="17"/>
        <v>2.1714518251104816E-2</v>
      </c>
      <c r="L203" s="38">
        <f t="shared" ca="1" si="17"/>
        <v>7.5068849226305684E-3</v>
      </c>
    </row>
    <row r="204" spans="1:12" ht="13.8" thickBot="1" x14ac:dyDescent="0.3">
      <c r="A204" s="12">
        <v>44105.666666666664</v>
      </c>
      <c r="B204" s="4">
        <v>24.1</v>
      </c>
      <c r="C204" s="2">
        <f ca="1">IFERROR(__xludf.DUMMYFUNCTION("""COMPUTED_VALUE"""),36.59)</f>
        <v>36.590000000000003</v>
      </c>
      <c r="D204" s="2">
        <f ca="1">IFERROR(__xludf.DUMMYFUNCTION("""COMPUTED_VALUE"""),337.04)</f>
        <v>337.04</v>
      </c>
      <c r="F204" s="16">
        <f t="shared" si="14"/>
        <v>4.1502386982939058E-4</v>
      </c>
      <c r="G204" s="16">
        <f t="shared" ca="1" si="15"/>
        <v>-3.0017760294091338E-3</v>
      </c>
      <c r="H204" s="16">
        <f t="shared" ca="1" si="16"/>
        <v>6.3994979760107241E-3</v>
      </c>
      <c r="J204" s="38">
        <f t="shared" si="17"/>
        <v>3.6859529840081913E-4</v>
      </c>
      <c r="K204" s="38">
        <f t="shared" ca="1" si="17"/>
        <v>-3.0482046008377052E-3</v>
      </c>
      <c r="L204" s="38">
        <f t="shared" ca="1" si="17"/>
        <v>6.3530694045821528E-3</v>
      </c>
    </row>
    <row r="205" spans="1:12" ht="13.8" thickBot="1" x14ac:dyDescent="0.3">
      <c r="A205" s="12">
        <v>44106.666666666664</v>
      </c>
      <c r="B205" s="4">
        <v>24.21</v>
      </c>
      <c r="C205" s="2">
        <f ca="1">IFERROR(__xludf.DUMMYFUNCTION("""COMPUTED_VALUE"""),36.73)</f>
        <v>36.729999999999997</v>
      </c>
      <c r="D205" s="2">
        <f ca="1">IFERROR(__xludf.DUMMYFUNCTION("""COMPUTED_VALUE"""),333.84)</f>
        <v>333.84</v>
      </c>
      <c r="F205" s="16">
        <f t="shared" si="14"/>
        <v>4.5539304533577935E-3</v>
      </c>
      <c r="G205" s="16">
        <f t="shared" ca="1" si="15"/>
        <v>3.8188808004602712E-3</v>
      </c>
      <c r="H205" s="16">
        <f t="shared" ca="1" si="16"/>
        <v>-9.5397813874640216E-3</v>
      </c>
      <c r="J205" s="38">
        <f t="shared" si="17"/>
        <v>4.5075018819292221E-3</v>
      </c>
      <c r="K205" s="38">
        <f t="shared" ca="1" si="17"/>
        <v>3.7724522290316998E-3</v>
      </c>
      <c r="L205" s="38">
        <f t="shared" ca="1" si="17"/>
        <v>-9.5862099588925938E-3</v>
      </c>
    </row>
    <row r="206" spans="1:12" ht="13.8" thickBot="1" x14ac:dyDescent="0.3">
      <c r="A206" s="12">
        <v>44109.666666666664</v>
      </c>
      <c r="B206" s="4">
        <v>24.62</v>
      </c>
      <c r="C206" s="2">
        <f ca="1">IFERROR(__xludf.DUMMYFUNCTION("""COMPUTED_VALUE"""),38.12)</f>
        <v>38.119999999999997</v>
      </c>
      <c r="D206" s="2">
        <f ca="1">IFERROR(__xludf.DUMMYFUNCTION("""COMPUTED_VALUE"""),339.76)</f>
        <v>339.76</v>
      </c>
      <c r="F206" s="16">
        <f t="shared" si="14"/>
        <v>1.6793349806340372E-2</v>
      </c>
      <c r="G206" s="16">
        <f t="shared" ca="1" si="15"/>
        <v>3.7145218954425498E-2</v>
      </c>
      <c r="H206" s="16">
        <f t="shared" ca="1" si="16"/>
        <v>1.7577649721718613E-2</v>
      </c>
      <c r="J206" s="38">
        <f t="shared" si="17"/>
        <v>1.67469212349118E-2</v>
      </c>
      <c r="K206" s="38">
        <f t="shared" ca="1" si="17"/>
        <v>3.7098790382996925E-2</v>
      </c>
      <c r="L206" s="38">
        <f t="shared" ca="1" si="17"/>
        <v>1.753122115029004E-2</v>
      </c>
    </row>
    <row r="207" spans="1:12" ht="13.8" thickBot="1" x14ac:dyDescent="0.3">
      <c r="A207" s="12">
        <v>44110.666666666664</v>
      </c>
      <c r="B207" s="4">
        <v>24.37</v>
      </c>
      <c r="C207" s="2">
        <f ca="1">IFERROR(__xludf.DUMMYFUNCTION("""COMPUTED_VALUE"""),38.87)</f>
        <v>38.869999999999997</v>
      </c>
      <c r="D207" s="2">
        <f ca="1">IFERROR(__xludf.DUMMYFUNCTION("""COMPUTED_VALUE"""),334.93)</f>
        <v>334.93</v>
      </c>
      <c r="F207" s="16">
        <f t="shared" si="14"/>
        <v>-1.0206253119192651E-2</v>
      </c>
      <c r="G207" s="16">
        <f t="shared" ca="1" si="15"/>
        <v>1.9483666078130346E-2</v>
      </c>
      <c r="H207" s="16">
        <f t="shared" ca="1" si="16"/>
        <v>-1.4317931238014234E-2</v>
      </c>
      <c r="J207" s="38">
        <f t="shared" si="17"/>
        <v>-1.0252681690621223E-2</v>
      </c>
      <c r="K207" s="38">
        <f t="shared" ca="1" si="17"/>
        <v>1.9437237506701774E-2</v>
      </c>
      <c r="L207" s="38">
        <f t="shared" ca="1" si="17"/>
        <v>-1.4364359809442806E-2</v>
      </c>
    </row>
    <row r="208" spans="1:12" ht="13.8" thickBot="1" x14ac:dyDescent="0.3">
      <c r="A208" s="12">
        <v>44111.666666666664</v>
      </c>
      <c r="B208" s="4">
        <v>24.88</v>
      </c>
      <c r="C208" s="2">
        <f ca="1">IFERROR(__xludf.DUMMYFUNCTION("""COMPUTED_VALUE"""),38.16)</f>
        <v>38.159999999999997</v>
      </c>
      <c r="D208" s="2">
        <f ca="1">IFERROR(__xludf.DUMMYFUNCTION("""COMPUTED_VALUE"""),340.76)</f>
        <v>340.76</v>
      </c>
      <c r="F208" s="16">
        <f t="shared" ref="F208:F267" si="18">LN(B208/B207)</f>
        <v>2.0711400233863662E-2</v>
      </c>
      <c r="G208" s="16">
        <f t="shared" ca="1" si="15"/>
        <v>-1.8434898284046049E-2</v>
      </c>
      <c r="H208" s="16">
        <f t="shared" ca="1" si="16"/>
        <v>1.7256862407638216E-2</v>
      </c>
      <c r="J208" s="38">
        <f t="shared" si="17"/>
        <v>2.066497166243509E-2</v>
      </c>
      <c r="K208" s="38">
        <f t="shared" ca="1" si="17"/>
        <v>-1.8481326855474621E-2</v>
      </c>
      <c r="L208" s="38">
        <f t="shared" ca="1" si="17"/>
        <v>1.7210433836209644E-2</v>
      </c>
    </row>
    <row r="209" spans="1:12" ht="13.8" thickBot="1" x14ac:dyDescent="0.3">
      <c r="A209" s="12">
        <v>44112.666666666664</v>
      </c>
      <c r="B209" s="4">
        <v>25.24</v>
      </c>
      <c r="C209" s="2">
        <f ca="1">IFERROR(__xludf.DUMMYFUNCTION("""COMPUTED_VALUE"""),37.79)</f>
        <v>37.79</v>
      </c>
      <c r="D209" s="2">
        <f ca="1">IFERROR(__xludf.DUMMYFUNCTION("""COMPUTED_VALUE"""),343.78)</f>
        <v>343.78</v>
      </c>
      <c r="F209" s="16">
        <f t="shared" si="18"/>
        <v>1.4365769802033681E-2</v>
      </c>
      <c r="G209" s="16">
        <f t="shared" ca="1" si="15"/>
        <v>-9.7433292186881668E-3</v>
      </c>
      <c r="H209" s="16">
        <f t="shared" ca="1" si="16"/>
        <v>8.8235007253710581E-3</v>
      </c>
      <c r="J209" s="38">
        <f t="shared" si="17"/>
        <v>1.4319341230605109E-2</v>
      </c>
      <c r="K209" s="38">
        <f t="shared" ca="1" si="17"/>
        <v>-9.789757790116739E-3</v>
      </c>
      <c r="L209" s="38">
        <f t="shared" ca="1" si="17"/>
        <v>8.7770721539424858E-3</v>
      </c>
    </row>
    <row r="210" spans="1:12" ht="13.8" thickBot="1" x14ac:dyDescent="0.3">
      <c r="A210" s="12">
        <v>44113.666666666664</v>
      </c>
      <c r="B210" s="4">
        <v>25.36</v>
      </c>
      <c r="C210" s="2">
        <f ca="1">IFERROR(__xludf.DUMMYFUNCTION("""COMPUTED_VALUE"""),38.19)</f>
        <v>38.19</v>
      </c>
      <c r="D210" s="2">
        <f ca="1">IFERROR(__xludf.DUMMYFUNCTION("""COMPUTED_VALUE"""),346.85)</f>
        <v>346.85</v>
      </c>
      <c r="F210" s="16">
        <f t="shared" si="18"/>
        <v>4.7430918960128529E-3</v>
      </c>
      <c r="G210" s="16">
        <f t="shared" ref="G210:G267" ca="1" si="19">LN(C210/C209)</f>
        <v>1.0529183876027203E-2</v>
      </c>
      <c r="H210" s="16">
        <f t="shared" ref="H210:H267" ca="1" si="20">LN(D210/D209)</f>
        <v>8.8904919312995656E-3</v>
      </c>
      <c r="J210" s="38">
        <f t="shared" ref="J210:L267" si="21">F210-$B$9</f>
        <v>4.6966633245842816E-3</v>
      </c>
      <c r="K210" s="38">
        <f t="shared" ca="1" si="21"/>
        <v>1.0482755304598631E-2</v>
      </c>
      <c r="L210" s="38">
        <f t="shared" ca="1" si="21"/>
        <v>8.8440633598709933E-3</v>
      </c>
    </row>
    <row r="211" spans="1:12" ht="13.8" thickBot="1" x14ac:dyDescent="0.3">
      <c r="A211" s="12">
        <v>44116.666666666664</v>
      </c>
      <c r="B211" s="4">
        <v>25.68</v>
      </c>
      <c r="C211" s="2">
        <f ca="1">IFERROR(__xludf.DUMMYFUNCTION("""COMPUTED_VALUE"""),38.55)</f>
        <v>38.549999999999997</v>
      </c>
      <c r="D211" s="2">
        <f ca="1">IFERROR(__xludf.DUMMYFUNCTION("""COMPUTED_VALUE"""),352.43)</f>
        <v>352.43</v>
      </c>
      <c r="F211" s="16">
        <f t="shared" si="18"/>
        <v>1.2539349252735173E-2</v>
      </c>
      <c r="G211" s="16">
        <f t="shared" ca="1" si="19"/>
        <v>9.3823987719137379E-3</v>
      </c>
      <c r="H211" s="16">
        <f t="shared" ca="1" si="20"/>
        <v>1.5959611140800651E-2</v>
      </c>
      <c r="J211" s="38">
        <f t="shared" si="21"/>
        <v>1.2492920681306601E-2</v>
      </c>
      <c r="K211" s="38">
        <f t="shared" ca="1" si="21"/>
        <v>9.3359702004851657E-3</v>
      </c>
      <c r="L211" s="38">
        <f t="shared" ca="1" si="21"/>
        <v>1.5913182569372079E-2</v>
      </c>
    </row>
    <row r="212" spans="1:12" ht="13.8" thickBot="1" x14ac:dyDescent="0.3">
      <c r="A212" s="12">
        <v>44117.666666666664</v>
      </c>
      <c r="B212" s="4">
        <v>24.95</v>
      </c>
      <c r="C212" s="2">
        <f ca="1">IFERROR(__xludf.DUMMYFUNCTION("""COMPUTED_VALUE"""),37.53)</f>
        <v>37.53</v>
      </c>
      <c r="D212" s="2">
        <f ca="1">IFERROR(__xludf.DUMMYFUNCTION("""COMPUTED_VALUE"""),350.13)</f>
        <v>350.13</v>
      </c>
      <c r="F212" s="16">
        <f t="shared" si="18"/>
        <v>-2.8838656624232743E-2</v>
      </c>
      <c r="G212" s="16">
        <f t="shared" ca="1" si="19"/>
        <v>-2.6815486862408935E-2</v>
      </c>
      <c r="H212" s="16">
        <f t="shared" ca="1" si="20"/>
        <v>-6.5475068797388849E-3</v>
      </c>
      <c r="J212" s="38">
        <f t="shared" si="21"/>
        <v>-2.8885085195661315E-2</v>
      </c>
      <c r="K212" s="38">
        <f t="shared" ca="1" si="21"/>
        <v>-2.6861915433837508E-2</v>
      </c>
      <c r="L212" s="38">
        <f t="shared" ca="1" si="21"/>
        <v>-6.5939354511674562E-3</v>
      </c>
    </row>
    <row r="213" spans="1:12" ht="13.8" thickBot="1" x14ac:dyDescent="0.3">
      <c r="A213" s="12">
        <v>44118.666666666664</v>
      </c>
      <c r="B213" s="4">
        <v>23.62</v>
      </c>
      <c r="C213" s="2">
        <f ca="1">IFERROR(__xludf.DUMMYFUNCTION("""COMPUTED_VALUE"""),37.09)</f>
        <v>37.090000000000003</v>
      </c>
      <c r="D213" s="2">
        <f ca="1">IFERROR(__xludf.DUMMYFUNCTION("""COMPUTED_VALUE"""),347.93)</f>
        <v>347.93</v>
      </c>
      <c r="F213" s="16">
        <f t="shared" si="18"/>
        <v>-5.478001142831132E-2</v>
      </c>
      <c r="G213" s="16">
        <f t="shared" ca="1" si="19"/>
        <v>-1.1793221645429968E-2</v>
      </c>
      <c r="H213" s="16">
        <f t="shared" ca="1" si="20"/>
        <v>-6.3032039764439165E-3</v>
      </c>
      <c r="J213" s="38">
        <f t="shared" si="21"/>
        <v>-5.4826439999739893E-2</v>
      </c>
      <c r="K213" s="38">
        <f t="shared" ca="1" si="21"/>
        <v>-1.183965021685854E-2</v>
      </c>
      <c r="L213" s="38">
        <f t="shared" ca="1" si="21"/>
        <v>-6.3496325478724878E-3</v>
      </c>
    </row>
    <row r="214" spans="1:12" ht="13.8" thickBot="1" x14ac:dyDescent="0.3">
      <c r="A214" s="12">
        <v>44119.666666666664</v>
      </c>
      <c r="B214" s="4">
        <v>24.15</v>
      </c>
      <c r="C214" s="2">
        <f ca="1">IFERROR(__xludf.DUMMYFUNCTION("""COMPUTED_VALUE"""),36.76)</f>
        <v>36.76</v>
      </c>
      <c r="D214" s="2">
        <f ca="1">IFERROR(__xludf.DUMMYFUNCTION("""COMPUTED_VALUE"""),347.5)</f>
        <v>347.5</v>
      </c>
      <c r="F214" s="16">
        <f t="shared" si="18"/>
        <v>2.2190569329365407E-2</v>
      </c>
      <c r="G214" s="16">
        <f t="shared" ca="1" si="19"/>
        <v>-8.9370940140132433E-3</v>
      </c>
      <c r="H214" s="16">
        <f t="shared" ca="1" si="20"/>
        <v>-1.236645111081164E-3</v>
      </c>
      <c r="J214" s="38">
        <f t="shared" si="21"/>
        <v>2.2144140757936834E-2</v>
      </c>
      <c r="K214" s="38">
        <f t="shared" ca="1" si="21"/>
        <v>-8.9835225854418155E-3</v>
      </c>
      <c r="L214" s="38">
        <f t="shared" ca="1" si="21"/>
        <v>-1.2830736825097354E-3</v>
      </c>
    </row>
    <row r="215" spans="1:12" ht="13.8" thickBot="1" x14ac:dyDescent="0.3">
      <c r="A215" s="12">
        <v>44120.666666666664</v>
      </c>
      <c r="B215" s="4">
        <v>24.24</v>
      </c>
      <c r="C215" s="2">
        <f ca="1">IFERROR(__xludf.DUMMYFUNCTION("""COMPUTED_VALUE"""),37.17)</f>
        <v>37.17</v>
      </c>
      <c r="D215" s="2">
        <f ca="1">IFERROR(__xludf.DUMMYFUNCTION("""COMPUTED_VALUE"""),347.29)</f>
        <v>347.29</v>
      </c>
      <c r="F215" s="16">
        <f t="shared" si="18"/>
        <v>3.7197811025320819E-3</v>
      </c>
      <c r="G215" s="16">
        <f t="shared" ca="1" si="19"/>
        <v>1.1091686821674655E-2</v>
      </c>
      <c r="H215" s="16">
        <f t="shared" ca="1" si="20"/>
        <v>-6.0449921960538508E-4</v>
      </c>
      <c r="J215" s="38">
        <f t="shared" si="21"/>
        <v>3.6733525311035105E-3</v>
      </c>
      <c r="K215" s="38">
        <f t="shared" ca="1" si="21"/>
        <v>1.1045258250246083E-2</v>
      </c>
      <c r="L215" s="38">
        <f t="shared" ca="1" si="21"/>
        <v>-6.5092779103395647E-4</v>
      </c>
    </row>
    <row r="216" spans="1:12" ht="13.8" thickBot="1" x14ac:dyDescent="0.3">
      <c r="A216" s="12">
        <v>44123.666666666664</v>
      </c>
      <c r="B216" s="4">
        <v>23.72</v>
      </c>
      <c r="C216" s="2">
        <f ca="1">IFERROR(__xludf.DUMMYFUNCTION("""COMPUTED_VALUE"""),36.6)</f>
        <v>36.6</v>
      </c>
      <c r="D216" s="2">
        <f ca="1">IFERROR(__xludf.DUMMYFUNCTION("""COMPUTED_VALUE"""),342.01)</f>
        <v>342.01</v>
      </c>
      <c r="F216" s="16">
        <f t="shared" si="18"/>
        <v>-2.168558707158898E-2</v>
      </c>
      <c r="G216" s="16">
        <f t="shared" ca="1" si="19"/>
        <v>-1.5453743901840254E-2</v>
      </c>
      <c r="H216" s="16">
        <f t="shared" ca="1" si="20"/>
        <v>-1.5320189384028064E-2</v>
      </c>
      <c r="J216" s="38">
        <f t="shared" si="21"/>
        <v>-2.1732015643017553E-2</v>
      </c>
      <c r="K216" s="38">
        <f t="shared" ca="1" si="21"/>
        <v>-1.5500172473268826E-2</v>
      </c>
      <c r="L216" s="38">
        <f t="shared" ca="1" si="21"/>
        <v>-1.5366617955456637E-2</v>
      </c>
    </row>
    <row r="217" spans="1:12" ht="13.8" thickBot="1" x14ac:dyDescent="0.3">
      <c r="A217" s="12">
        <v>44124.666666666664</v>
      </c>
      <c r="B217" s="4">
        <v>24.14</v>
      </c>
      <c r="C217" s="2">
        <f ca="1">IFERROR(__xludf.DUMMYFUNCTION("""COMPUTED_VALUE"""),36.99)</f>
        <v>36.99</v>
      </c>
      <c r="D217" s="2">
        <f ca="1">IFERROR(__xludf.DUMMYFUNCTION("""COMPUTED_VALUE"""),343.38)</f>
        <v>343.38</v>
      </c>
      <c r="F217" s="16">
        <f t="shared" si="18"/>
        <v>1.755164153986076E-2</v>
      </c>
      <c r="G217" s="16">
        <f t="shared" ca="1" si="19"/>
        <v>1.0599365437042145E-2</v>
      </c>
      <c r="H217" s="16">
        <f t="shared" ca="1" si="20"/>
        <v>3.9977292478524445E-3</v>
      </c>
      <c r="J217" s="38">
        <f t="shared" si="21"/>
        <v>1.7505212968432188E-2</v>
      </c>
      <c r="K217" s="38">
        <f t="shared" ca="1" si="21"/>
        <v>1.0552936865613573E-2</v>
      </c>
      <c r="L217" s="38">
        <f t="shared" ca="1" si="21"/>
        <v>3.9513006764238731E-3</v>
      </c>
    </row>
    <row r="218" spans="1:12" ht="13.8" thickBot="1" x14ac:dyDescent="0.3">
      <c r="A218" s="12">
        <v>44125.666666666664</v>
      </c>
      <c r="B218" s="4">
        <v>24.05</v>
      </c>
      <c r="C218" s="2">
        <f ca="1">IFERROR(__xludf.DUMMYFUNCTION("""COMPUTED_VALUE"""),36.59)</f>
        <v>36.590000000000003</v>
      </c>
      <c r="D218" s="2">
        <f ca="1">IFERROR(__xludf.DUMMYFUNCTION("""COMPUTED_VALUE"""),342.73)</f>
        <v>342.73</v>
      </c>
      <c r="F218" s="16">
        <f t="shared" si="18"/>
        <v>-3.735219117615277E-3</v>
      </c>
      <c r="G218" s="16">
        <f t="shared" ca="1" si="19"/>
        <v>-1.0872626813247141E-2</v>
      </c>
      <c r="H218" s="16">
        <f t="shared" ca="1" si="20"/>
        <v>-1.8947404773594968E-3</v>
      </c>
      <c r="J218" s="38">
        <f t="shared" si="21"/>
        <v>-3.7816476890438484E-3</v>
      </c>
      <c r="K218" s="38">
        <f t="shared" ca="1" si="21"/>
        <v>-1.0919055384675714E-2</v>
      </c>
      <c r="L218" s="38">
        <f t="shared" ca="1" si="21"/>
        <v>-1.9411690487880682E-3</v>
      </c>
    </row>
    <row r="219" spans="1:12" ht="13.8" thickBot="1" x14ac:dyDescent="0.3">
      <c r="A219" s="12">
        <v>44126.666666666664</v>
      </c>
      <c r="B219" s="4">
        <v>24.87</v>
      </c>
      <c r="C219" s="2">
        <f ca="1">IFERROR(__xludf.DUMMYFUNCTION("""COMPUTED_VALUE"""),36.9)</f>
        <v>36.9</v>
      </c>
      <c r="D219" s="2">
        <f ca="1">IFERROR(__xludf.DUMMYFUNCTION("""COMPUTED_VALUE"""),344.61)</f>
        <v>344.61</v>
      </c>
      <c r="F219" s="16">
        <f t="shared" si="18"/>
        <v>3.3527261263543218E-2</v>
      </c>
      <c r="G219" s="16">
        <f t="shared" ca="1" si="19"/>
        <v>8.4365720153659653E-3</v>
      </c>
      <c r="H219" s="16">
        <f t="shared" ca="1" si="20"/>
        <v>5.4703776537160216E-3</v>
      </c>
      <c r="J219" s="38">
        <f t="shared" si="21"/>
        <v>3.3480832692114645E-2</v>
      </c>
      <c r="K219" s="38">
        <f t="shared" ca="1" si="21"/>
        <v>8.390143443937393E-3</v>
      </c>
      <c r="L219" s="38">
        <f t="shared" ca="1" si="21"/>
        <v>5.4239490822874502E-3</v>
      </c>
    </row>
    <row r="220" spans="1:12" ht="13.8" thickBot="1" x14ac:dyDescent="0.3">
      <c r="A220" s="12">
        <v>44127.666666666664</v>
      </c>
      <c r="B220" s="4">
        <v>24.9</v>
      </c>
      <c r="C220" s="2">
        <f ca="1">IFERROR(__xludf.DUMMYFUNCTION("""COMPUTED_VALUE"""),37.36)</f>
        <v>37.36</v>
      </c>
      <c r="D220" s="2">
        <f ca="1">IFERROR(__xludf.DUMMYFUNCTION("""COMPUTED_VALUE"""),345.78)</f>
        <v>345.78</v>
      </c>
      <c r="F220" s="16">
        <f t="shared" si="18"/>
        <v>1.2055456553484675E-3</v>
      </c>
      <c r="G220" s="16">
        <f t="shared" ca="1" si="19"/>
        <v>1.2389062314160502E-2</v>
      </c>
      <c r="H220" s="16">
        <f t="shared" ca="1" si="20"/>
        <v>3.3893918512072647E-3</v>
      </c>
      <c r="J220" s="38">
        <f t="shared" si="21"/>
        <v>1.1591170839198961E-3</v>
      </c>
      <c r="K220" s="38">
        <f t="shared" ca="1" si="21"/>
        <v>1.234263374273193E-2</v>
      </c>
      <c r="L220" s="38">
        <f t="shared" ca="1" si="21"/>
        <v>3.3429632797786933E-3</v>
      </c>
    </row>
    <row r="221" spans="1:12" ht="13.8" thickBot="1" x14ac:dyDescent="0.3">
      <c r="A221" s="12">
        <v>44130.666666666664</v>
      </c>
      <c r="B221" s="4">
        <v>24.54</v>
      </c>
      <c r="C221" s="2">
        <f ca="1">IFERROR(__xludf.DUMMYFUNCTION("""COMPUTED_VALUE"""),35.85)</f>
        <v>35.85</v>
      </c>
      <c r="D221" s="2">
        <f ca="1">IFERROR(__xludf.DUMMYFUNCTION("""COMPUTED_VALUE"""),339.39)</f>
        <v>339.39</v>
      </c>
      <c r="F221" s="16">
        <f t="shared" si="18"/>
        <v>-1.4563364187896555E-2</v>
      </c>
      <c r="G221" s="16">
        <f t="shared" ca="1" si="19"/>
        <v>-4.1257046315012418E-2</v>
      </c>
      <c r="H221" s="16">
        <f t="shared" ca="1" si="20"/>
        <v>-1.865284607014478E-2</v>
      </c>
      <c r="J221" s="38">
        <f t="shared" si="21"/>
        <v>-1.4609792759325127E-2</v>
      </c>
      <c r="K221" s="38">
        <f t="shared" ca="1" si="21"/>
        <v>-4.130347488644099E-2</v>
      </c>
      <c r="L221" s="38">
        <f t="shared" ca="1" si="21"/>
        <v>-1.8699274641573352E-2</v>
      </c>
    </row>
    <row r="222" spans="1:12" ht="13.8" thickBot="1" x14ac:dyDescent="0.3">
      <c r="A222" s="12">
        <v>44131.666666666664</v>
      </c>
      <c r="B222" s="4">
        <v>23.85</v>
      </c>
      <c r="C222" s="2">
        <f ca="1">IFERROR(__xludf.DUMMYFUNCTION("""COMPUTED_VALUE"""),35.24)</f>
        <v>35.24</v>
      </c>
      <c r="D222" s="2">
        <f ca="1">IFERROR(__xludf.DUMMYFUNCTION("""COMPUTED_VALUE"""),338.22)</f>
        <v>338.22</v>
      </c>
      <c r="F222" s="16">
        <f t="shared" si="18"/>
        <v>-2.8520221948415032E-2</v>
      </c>
      <c r="G222" s="16">
        <f t="shared" ca="1" si="19"/>
        <v>-1.7161765977650616E-2</v>
      </c>
      <c r="H222" s="16">
        <f t="shared" ca="1" si="20"/>
        <v>-3.4533172849463755E-3</v>
      </c>
      <c r="J222" s="38">
        <f t="shared" si="21"/>
        <v>-2.8566650519843605E-2</v>
      </c>
      <c r="K222" s="38">
        <f t="shared" ca="1" si="21"/>
        <v>-1.7208194549079188E-2</v>
      </c>
      <c r="L222" s="38">
        <f t="shared" ca="1" si="21"/>
        <v>-3.4997458563749469E-3</v>
      </c>
    </row>
    <row r="223" spans="1:12" ht="13.8" thickBot="1" x14ac:dyDescent="0.3">
      <c r="A223" s="12">
        <v>44132.666666666664</v>
      </c>
      <c r="B223" s="4">
        <v>23.47</v>
      </c>
      <c r="C223" s="2">
        <f ca="1">IFERROR(__xludf.DUMMYFUNCTION("""COMPUTED_VALUE"""),35.49)</f>
        <v>35.49</v>
      </c>
      <c r="D223" s="2">
        <f ca="1">IFERROR(__xludf.DUMMYFUNCTION("""COMPUTED_VALUE"""),326.66)</f>
        <v>326.66000000000003</v>
      </c>
      <c r="F223" s="16">
        <f t="shared" si="18"/>
        <v>-1.6061207471418225E-2</v>
      </c>
      <c r="G223" s="16">
        <f t="shared" ca="1" si="19"/>
        <v>7.0691655904264036E-3</v>
      </c>
      <c r="H223" s="16">
        <f t="shared" ca="1" si="20"/>
        <v>-3.477669669654547E-2</v>
      </c>
      <c r="J223" s="38">
        <f t="shared" si="21"/>
        <v>-1.6107636042846797E-2</v>
      </c>
      <c r="K223" s="38">
        <f t="shared" ca="1" si="21"/>
        <v>7.0227370189978322E-3</v>
      </c>
      <c r="L223" s="38">
        <f t="shared" ca="1" si="21"/>
        <v>-3.4823125267974042E-2</v>
      </c>
    </row>
    <row r="224" spans="1:12" ht="13.8" thickBot="1" x14ac:dyDescent="0.3">
      <c r="A224" s="12">
        <v>44133.666666666664</v>
      </c>
      <c r="B224" s="4">
        <v>23.54</v>
      </c>
      <c r="C224" s="2">
        <f ca="1">IFERROR(__xludf.DUMMYFUNCTION("""COMPUTED_VALUE"""),35.21)</f>
        <v>35.21</v>
      </c>
      <c r="D224" s="2">
        <f ca="1">IFERROR(__xludf.DUMMYFUNCTION("""COMPUTED_VALUE"""),329.98)</f>
        <v>329.98</v>
      </c>
      <c r="F224" s="16">
        <f t="shared" si="18"/>
        <v>2.9780919691984962E-3</v>
      </c>
      <c r="G224" s="16">
        <f t="shared" ca="1" si="19"/>
        <v>-7.920833491443997E-3</v>
      </c>
      <c r="H224" s="16">
        <f t="shared" ca="1" si="20"/>
        <v>1.0112171938305043E-2</v>
      </c>
      <c r="J224" s="38">
        <f t="shared" si="21"/>
        <v>2.9316633977699248E-3</v>
      </c>
      <c r="K224" s="38">
        <f t="shared" ca="1" si="21"/>
        <v>-7.9672620628725693E-3</v>
      </c>
      <c r="L224" s="38">
        <f t="shared" ca="1" si="21"/>
        <v>1.006574336687647E-2</v>
      </c>
    </row>
    <row r="225" spans="1:12" ht="13.8" thickBot="1" x14ac:dyDescent="0.3">
      <c r="A225" s="12">
        <v>44134.666666666664</v>
      </c>
      <c r="B225" s="4">
        <v>23.7</v>
      </c>
      <c r="C225" s="2">
        <f ca="1">IFERROR(__xludf.DUMMYFUNCTION("""COMPUTED_VALUE"""),36.46)</f>
        <v>36.46</v>
      </c>
      <c r="D225" s="2">
        <f ca="1">IFERROR(__xludf.DUMMYFUNCTION("""COMPUTED_VALUE"""),326.54)</f>
        <v>326.54000000000002</v>
      </c>
      <c r="F225" s="16">
        <f t="shared" si="18"/>
        <v>6.7739463089548637E-3</v>
      </c>
      <c r="G225" s="16">
        <f t="shared" ca="1" si="19"/>
        <v>3.4885636083555736E-2</v>
      </c>
      <c r="H225" s="16">
        <f t="shared" ca="1" si="20"/>
        <v>-1.0479593865279996E-2</v>
      </c>
      <c r="J225" s="38">
        <f t="shared" si="21"/>
        <v>6.7275177375262923E-3</v>
      </c>
      <c r="K225" s="38">
        <f t="shared" ca="1" si="21"/>
        <v>3.4839207512127164E-2</v>
      </c>
      <c r="L225" s="38">
        <f t="shared" ca="1" si="21"/>
        <v>-1.0526022436708568E-2</v>
      </c>
    </row>
    <row r="226" spans="1:12" ht="13.8" thickBot="1" x14ac:dyDescent="0.3">
      <c r="A226" s="12">
        <v>44137.666666666664</v>
      </c>
      <c r="B226" s="4">
        <v>24.08</v>
      </c>
      <c r="C226" s="2">
        <f ca="1">IFERROR(__xludf.DUMMYFUNCTION("""COMPUTED_VALUE"""),37.27)</f>
        <v>37.270000000000003</v>
      </c>
      <c r="D226" s="2">
        <f ca="1">IFERROR(__xludf.DUMMYFUNCTION("""COMPUTED_VALUE"""),330.2)</f>
        <v>330.2</v>
      </c>
      <c r="F226" s="16">
        <f t="shared" si="18"/>
        <v>1.5906572299534724E-2</v>
      </c>
      <c r="G226" s="16">
        <f t="shared" ca="1" si="19"/>
        <v>2.1972944240650046E-2</v>
      </c>
      <c r="H226" s="16">
        <f t="shared" ca="1" si="20"/>
        <v>1.114607878800913E-2</v>
      </c>
      <c r="J226" s="38">
        <f t="shared" si="21"/>
        <v>1.5860143728106152E-2</v>
      </c>
      <c r="K226" s="38">
        <f t="shared" ca="1" si="21"/>
        <v>2.1926515669221474E-2</v>
      </c>
      <c r="L226" s="38">
        <f t="shared" ca="1" si="21"/>
        <v>1.1099650216580558E-2</v>
      </c>
    </row>
    <row r="227" spans="1:12" ht="13.8" thickBot="1" x14ac:dyDescent="0.3">
      <c r="A227" s="12">
        <v>44138.666666666664</v>
      </c>
      <c r="B227" s="4">
        <v>24.69</v>
      </c>
      <c r="C227" s="2">
        <f ca="1">IFERROR(__xludf.DUMMYFUNCTION("""COMPUTED_VALUE"""),36.63)</f>
        <v>36.630000000000003</v>
      </c>
      <c r="D227" s="2">
        <f ca="1">IFERROR(__xludf.DUMMYFUNCTION("""COMPUTED_VALUE"""),336.03)</f>
        <v>336.03</v>
      </c>
      <c r="F227" s="16">
        <f t="shared" si="18"/>
        <v>2.5016682916468077E-2</v>
      </c>
      <c r="G227" s="16">
        <f t="shared" ca="1" si="19"/>
        <v>-1.7321136700444065E-2</v>
      </c>
      <c r="H227" s="16">
        <f t="shared" ca="1" si="20"/>
        <v>1.7501910205730064E-2</v>
      </c>
      <c r="J227" s="38">
        <f t="shared" si="21"/>
        <v>2.4970254345039505E-2</v>
      </c>
      <c r="K227" s="38">
        <f t="shared" ca="1" si="21"/>
        <v>-1.7367565271872637E-2</v>
      </c>
      <c r="L227" s="38">
        <f t="shared" ca="1" si="21"/>
        <v>1.7455481634301492E-2</v>
      </c>
    </row>
    <row r="228" spans="1:12" ht="13.8" thickBot="1" x14ac:dyDescent="0.3">
      <c r="A228" s="12">
        <v>44139.666666666664</v>
      </c>
      <c r="B228" s="4">
        <v>23.68</v>
      </c>
      <c r="C228" s="2">
        <f ca="1">IFERROR(__xludf.DUMMYFUNCTION("""COMPUTED_VALUE"""),36.72)</f>
        <v>36.72</v>
      </c>
      <c r="D228" s="2">
        <f ca="1">IFERROR(__xludf.DUMMYFUNCTION("""COMPUTED_VALUE"""),343.54)</f>
        <v>343.54</v>
      </c>
      <c r="F228" s="16">
        <f t="shared" si="18"/>
        <v>-4.1767493341283275E-2</v>
      </c>
      <c r="G228" s="16">
        <f t="shared" ca="1" si="19"/>
        <v>2.4539889615665658E-3</v>
      </c>
      <c r="H228" s="16">
        <f t="shared" ca="1" si="20"/>
        <v>2.2103111517121656E-2</v>
      </c>
      <c r="J228" s="38">
        <f t="shared" si="21"/>
        <v>-4.1813921912711847E-2</v>
      </c>
      <c r="K228" s="38">
        <f t="shared" ca="1" si="21"/>
        <v>2.4075603901379944E-3</v>
      </c>
      <c r="L228" s="38">
        <f t="shared" ca="1" si="21"/>
        <v>2.2056682945693084E-2</v>
      </c>
    </row>
    <row r="229" spans="1:12" ht="13.8" thickBot="1" x14ac:dyDescent="0.3">
      <c r="A229" s="12">
        <v>44140.666666666664</v>
      </c>
      <c r="B229" s="4">
        <v>24.61</v>
      </c>
      <c r="C229" s="2">
        <f ca="1">IFERROR(__xludf.DUMMYFUNCTION("""COMPUTED_VALUE"""),36.15)</f>
        <v>36.15</v>
      </c>
      <c r="D229" s="2">
        <f ca="1">IFERROR(__xludf.DUMMYFUNCTION("""COMPUTED_VALUE"""),350.24)</f>
        <v>350.24</v>
      </c>
      <c r="F229" s="16">
        <f t="shared" si="18"/>
        <v>3.8522054387159596E-2</v>
      </c>
      <c r="G229" s="16">
        <f t="shared" ca="1" si="19"/>
        <v>-1.5644617147516079E-2</v>
      </c>
      <c r="H229" s="16">
        <f t="shared" ca="1" si="20"/>
        <v>1.9315080565673343E-2</v>
      </c>
      <c r="J229" s="38">
        <f t="shared" si="21"/>
        <v>3.8475625815731024E-2</v>
      </c>
      <c r="K229" s="38">
        <f t="shared" ca="1" si="21"/>
        <v>-1.5691045718944651E-2</v>
      </c>
      <c r="L229" s="38">
        <f t="shared" ca="1" si="21"/>
        <v>1.9268651994244771E-2</v>
      </c>
    </row>
    <row r="230" spans="1:12" ht="13.8" thickBot="1" x14ac:dyDescent="0.3">
      <c r="A230" s="12">
        <v>44141.666666666664</v>
      </c>
      <c r="B230" s="4">
        <v>24.31</v>
      </c>
      <c r="C230" s="2">
        <f ca="1">IFERROR(__xludf.DUMMYFUNCTION("""COMPUTED_VALUE"""),39.74)</f>
        <v>39.74</v>
      </c>
      <c r="D230" s="2">
        <f ca="1">IFERROR(__xludf.DUMMYFUNCTION("""COMPUTED_VALUE"""),350.16)</f>
        <v>350.16</v>
      </c>
      <c r="F230" s="16">
        <f t="shared" si="18"/>
        <v>-1.226507607493255E-2</v>
      </c>
      <c r="G230" s="16">
        <f t="shared" ca="1" si="19"/>
        <v>9.4681288518897178E-2</v>
      </c>
      <c r="H230" s="16">
        <f t="shared" ca="1" si="20"/>
        <v>-2.2844089191289735E-4</v>
      </c>
      <c r="J230" s="38">
        <f t="shared" si="21"/>
        <v>-1.2311504646361122E-2</v>
      </c>
      <c r="K230" s="38">
        <f t="shared" ca="1" si="21"/>
        <v>9.4634859947468605E-2</v>
      </c>
      <c r="L230" s="38">
        <f t="shared" ca="1" si="21"/>
        <v>-2.7486946334146878E-4</v>
      </c>
    </row>
    <row r="231" spans="1:12" ht="13.8" thickBot="1" x14ac:dyDescent="0.3">
      <c r="A231" s="12">
        <v>44144.666666666664</v>
      </c>
      <c r="B231" s="4">
        <v>27.76</v>
      </c>
      <c r="C231" s="2">
        <f ca="1">IFERROR(__xludf.DUMMYFUNCTION("""COMPUTED_VALUE"""),40.87)</f>
        <v>40.869999999999997</v>
      </c>
      <c r="D231" s="2">
        <f ca="1">IFERROR(__xludf.DUMMYFUNCTION("""COMPUTED_VALUE"""),354.56)</f>
        <v>354.56</v>
      </c>
      <c r="F231" s="16">
        <f t="shared" si="18"/>
        <v>0.13270834731057177</v>
      </c>
      <c r="G231" s="16">
        <f t="shared" ca="1" si="19"/>
        <v>2.8038060452514998E-2</v>
      </c>
      <c r="H231" s="16">
        <f t="shared" ca="1" si="20"/>
        <v>1.248739123622436E-2</v>
      </c>
      <c r="J231" s="38">
        <f t="shared" si="21"/>
        <v>0.13266191873914321</v>
      </c>
      <c r="K231" s="38">
        <f t="shared" ca="1" si="21"/>
        <v>2.7991631881086425E-2</v>
      </c>
      <c r="L231" s="38">
        <f t="shared" ca="1" si="21"/>
        <v>1.2440962664795788E-2</v>
      </c>
    </row>
    <row r="232" spans="1:12" ht="13.8" thickBot="1" x14ac:dyDescent="0.3">
      <c r="A232" s="12">
        <v>44145.666666666664</v>
      </c>
      <c r="B232" s="4">
        <v>27.66</v>
      </c>
      <c r="C232" s="2">
        <f ca="1">IFERROR(__xludf.DUMMYFUNCTION("""COMPUTED_VALUE"""),41.07)</f>
        <v>41.07</v>
      </c>
      <c r="D232" s="2">
        <f ca="1">IFERROR(__xludf.DUMMYFUNCTION("""COMPUTED_VALUE"""),354.04)</f>
        <v>354.04</v>
      </c>
      <c r="F232" s="16">
        <f t="shared" si="18"/>
        <v>-3.608809401991609E-3</v>
      </c>
      <c r="G232" s="16">
        <f t="shared" ca="1" si="19"/>
        <v>4.8816303922813364E-3</v>
      </c>
      <c r="H232" s="16">
        <f t="shared" ca="1" si="20"/>
        <v>-1.4676830181880153E-3</v>
      </c>
      <c r="J232" s="38">
        <f t="shared" si="21"/>
        <v>-3.6552379734201804E-3</v>
      </c>
      <c r="K232" s="38">
        <f t="shared" ca="1" si="21"/>
        <v>4.835201820852765E-3</v>
      </c>
      <c r="L232" s="38">
        <f t="shared" ca="1" si="21"/>
        <v>-1.5141115896165867E-3</v>
      </c>
    </row>
    <row r="233" spans="1:12" ht="13.8" thickBot="1" x14ac:dyDescent="0.3">
      <c r="A233" s="12">
        <v>44146.666666666664</v>
      </c>
      <c r="B233" s="4">
        <v>27.34</v>
      </c>
      <c r="C233" s="2">
        <f ca="1">IFERROR(__xludf.DUMMYFUNCTION("""COMPUTED_VALUE"""),40.49)</f>
        <v>40.49</v>
      </c>
      <c r="D233" s="2">
        <f ca="1">IFERROR(__xludf.DUMMYFUNCTION("""COMPUTED_VALUE"""),356.67)</f>
        <v>356.67</v>
      </c>
      <c r="F233" s="16">
        <f t="shared" si="18"/>
        <v>-1.1636494940808704E-2</v>
      </c>
      <c r="G233" s="16">
        <f t="shared" ca="1" si="19"/>
        <v>-1.4222897924397409E-2</v>
      </c>
      <c r="H233" s="16">
        <f t="shared" ca="1" si="20"/>
        <v>7.4010834378867834E-3</v>
      </c>
      <c r="J233" s="38">
        <f t="shared" si="21"/>
        <v>-1.1682923512237276E-2</v>
      </c>
      <c r="K233" s="38">
        <f t="shared" ca="1" si="21"/>
        <v>-1.4269326495825982E-2</v>
      </c>
      <c r="L233" s="38">
        <f t="shared" ca="1" si="21"/>
        <v>7.354654866458212E-3</v>
      </c>
    </row>
    <row r="234" spans="1:12" ht="13.8" thickBot="1" x14ac:dyDescent="0.3">
      <c r="A234" s="12">
        <v>44147.666666666664</v>
      </c>
      <c r="B234" s="4">
        <v>26.69</v>
      </c>
      <c r="C234" s="2">
        <f ca="1">IFERROR(__xludf.DUMMYFUNCTION("""COMPUTED_VALUE"""),41.15)</f>
        <v>41.15</v>
      </c>
      <c r="D234" s="2">
        <f ca="1">IFERROR(__xludf.DUMMYFUNCTION("""COMPUTED_VALUE"""),353.21)</f>
        <v>353.21</v>
      </c>
      <c r="F234" s="16">
        <f t="shared" si="18"/>
        <v>-2.4061867879370678E-2</v>
      </c>
      <c r="G234" s="16">
        <f t="shared" ca="1" si="19"/>
        <v>1.6168897079008874E-2</v>
      </c>
      <c r="H234" s="16">
        <f t="shared" ca="1" si="20"/>
        <v>-9.748203638770065E-3</v>
      </c>
      <c r="J234" s="38">
        <f t="shared" si="21"/>
        <v>-2.410829645079925E-2</v>
      </c>
      <c r="K234" s="38">
        <f t="shared" ca="1" si="21"/>
        <v>1.6122468507580302E-2</v>
      </c>
      <c r="L234" s="38">
        <f t="shared" ca="1" si="21"/>
        <v>-9.7946322101986373E-3</v>
      </c>
    </row>
    <row r="235" spans="1:12" ht="13.8" thickBot="1" x14ac:dyDescent="0.3">
      <c r="A235" s="12">
        <v>44148.666666666664</v>
      </c>
      <c r="B235" s="4">
        <v>27</v>
      </c>
      <c r="C235" s="2">
        <f ca="1">IFERROR(__xludf.DUMMYFUNCTION("""COMPUTED_VALUE"""),42.79)</f>
        <v>42.79</v>
      </c>
      <c r="D235" s="2">
        <f ca="1">IFERROR(__xludf.DUMMYFUNCTION("""COMPUTED_VALUE"""),358.1)</f>
        <v>358.1</v>
      </c>
      <c r="F235" s="16">
        <f t="shared" si="18"/>
        <v>1.1547902587896173E-2</v>
      </c>
      <c r="G235" s="16">
        <f t="shared" ca="1" si="19"/>
        <v>3.9080503305646566E-2</v>
      </c>
      <c r="H235" s="16">
        <f t="shared" ca="1" si="20"/>
        <v>1.3749496104594085E-2</v>
      </c>
      <c r="J235" s="38">
        <f t="shared" si="21"/>
        <v>1.1501474016467601E-2</v>
      </c>
      <c r="K235" s="38">
        <f t="shared" ca="1" si="21"/>
        <v>3.9034074734217994E-2</v>
      </c>
      <c r="L235" s="38">
        <f t="shared" ca="1" si="21"/>
        <v>1.3703067533165513E-2</v>
      </c>
    </row>
    <row r="236" spans="1:12" ht="13.8" thickBot="1" x14ac:dyDescent="0.3">
      <c r="A236" s="12">
        <v>44151.666666666664</v>
      </c>
      <c r="B236" s="4">
        <v>27.58</v>
      </c>
      <c r="C236" s="2">
        <f ca="1">IFERROR(__xludf.DUMMYFUNCTION("""COMPUTED_VALUE"""),42.71)</f>
        <v>42.71</v>
      </c>
      <c r="D236" s="2">
        <f ca="1">IFERROR(__xludf.DUMMYFUNCTION("""COMPUTED_VALUE"""),362.57)</f>
        <v>362.57</v>
      </c>
      <c r="F236" s="16">
        <f t="shared" si="18"/>
        <v>2.1254006360826635E-2</v>
      </c>
      <c r="G236" s="16">
        <f t="shared" ca="1" si="19"/>
        <v>-1.8713455753502882E-3</v>
      </c>
      <c r="H236" s="16">
        <f t="shared" ca="1" si="20"/>
        <v>1.2405282096547239E-2</v>
      </c>
      <c r="J236" s="38">
        <f t="shared" si="21"/>
        <v>2.1207577789398063E-2</v>
      </c>
      <c r="K236" s="38">
        <f t="shared" ca="1" si="21"/>
        <v>-1.9177741467788596E-3</v>
      </c>
      <c r="L236" s="38">
        <f t="shared" ca="1" si="21"/>
        <v>1.2358853525118667E-2</v>
      </c>
    </row>
    <row r="237" spans="1:12" ht="13.8" thickBot="1" x14ac:dyDescent="0.3">
      <c r="A237" s="12">
        <v>44152.666666666664</v>
      </c>
      <c r="B237" s="4">
        <v>27.55</v>
      </c>
      <c r="C237" s="2">
        <f ca="1">IFERROR(__xludf.DUMMYFUNCTION("""COMPUTED_VALUE"""),44.1)</f>
        <v>44.1</v>
      </c>
      <c r="D237" s="2">
        <f ca="1">IFERROR(__xludf.DUMMYFUNCTION("""COMPUTED_VALUE"""),360.62)</f>
        <v>360.62</v>
      </c>
      <c r="F237" s="16">
        <f t="shared" si="18"/>
        <v>-1.0883367662321913E-3</v>
      </c>
      <c r="G237" s="16">
        <f t="shared" ca="1" si="19"/>
        <v>3.2026697599425211E-2</v>
      </c>
      <c r="H237" s="16">
        <f t="shared" ca="1" si="20"/>
        <v>-5.3927867527120135E-3</v>
      </c>
      <c r="J237" s="38">
        <f t="shared" si="21"/>
        <v>-1.1347653376607627E-3</v>
      </c>
      <c r="K237" s="38">
        <f t="shared" ca="1" si="21"/>
        <v>3.1980269027996638E-2</v>
      </c>
      <c r="L237" s="38">
        <f t="shared" ca="1" si="21"/>
        <v>-5.4392153241405849E-3</v>
      </c>
    </row>
    <row r="238" spans="1:12" ht="13.8" thickBot="1" x14ac:dyDescent="0.3">
      <c r="A238" s="12">
        <v>44153.666666666664</v>
      </c>
      <c r="B238" s="4">
        <v>26.98</v>
      </c>
      <c r="C238" s="2">
        <f ca="1">IFERROR(__xludf.DUMMYFUNCTION("""COMPUTED_VALUE"""),43.64)</f>
        <v>43.64</v>
      </c>
      <c r="D238" s="2">
        <f ca="1">IFERROR(__xludf.DUMMYFUNCTION("""COMPUTED_VALUE"""),356.28)</f>
        <v>356.28</v>
      </c>
      <c r="F238" s="16">
        <f t="shared" si="18"/>
        <v>-2.0906684819313712E-2</v>
      </c>
      <c r="G238" s="16">
        <f t="shared" ca="1" si="19"/>
        <v>-1.0485621487930266E-2</v>
      </c>
      <c r="H238" s="16">
        <f t="shared" ca="1" si="20"/>
        <v>-1.2107833784553585E-2</v>
      </c>
      <c r="J238" s="38">
        <f t="shared" si="21"/>
        <v>-2.0953113390742285E-2</v>
      </c>
      <c r="K238" s="38">
        <f t="shared" ca="1" si="21"/>
        <v>-1.0532050059358838E-2</v>
      </c>
      <c r="L238" s="38">
        <f t="shared" ca="1" si="21"/>
        <v>-1.2154262355982158E-2</v>
      </c>
    </row>
    <row r="239" spans="1:12" ht="13.8" thickBot="1" x14ac:dyDescent="0.3">
      <c r="A239" s="12">
        <v>44154.666666666664</v>
      </c>
      <c r="B239" s="4">
        <v>26.98</v>
      </c>
      <c r="C239" s="2">
        <f ca="1">IFERROR(__xludf.DUMMYFUNCTION("""COMPUTED_VALUE"""),43.48)</f>
        <v>43.48</v>
      </c>
      <c r="D239" s="2">
        <f ca="1">IFERROR(__xludf.DUMMYFUNCTION("""COMPUTED_VALUE"""),357.78)</f>
        <v>357.78</v>
      </c>
      <c r="F239" s="16">
        <f t="shared" si="18"/>
        <v>0</v>
      </c>
      <c r="G239" s="16">
        <f t="shared" ca="1" si="19"/>
        <v>-3.6730987118614618E-3</v>
      </c>
      <c r="H239" s="16">
        <f t="shared" ca="1" si="20"/>
        <v>4.2013337994008517E-3</v>
      </c>
      <c r="J239" s="38">
        <f t="shared" si="21"/>
        <v>-4.6428571428571423E-5</v>
      </c>
      <c r="K239" s="38">
        <f t="shared" ca="1" si="21"/>
        <v>-3.7195272832900332E-3</v>
      </c>
      <c r="L239" s="38">
        <f t="shared" ca="1" si="21"/>
        <v>4.1549052279722803E-3</v>
      </c>
    </row>
    <row r="240" spans="1:12" ht="13.8" thickBot="1" x14ac:dyDescent="0.3">
      <c r="A240" s="12">
        <v>44155.666666666664</v>
      </c>
      <c r="B240" s="4">
        <v>26.81</v>
      </c>
      <c r="C240" s="2">
        <f ca="1">IFERROR(__xludf.DUMMYFUNCTION("""COMPUTED_VALUE"""),45.17)</f>
        <v>45.17</v>
      </c>
      <c r="D240" s="2">
        <f ca="1">IFERROR(__xludf.DUMMYFUNCTION("""COMPUTED_VALUE"""),355.33)</f>
        <v>355.33</v>
      </c>
      <c r="F240" s="16">
        <f t="shared" si="18"/>
        <v>-6.3208985317419345E-3</v>
      </c>
      <c r="G240" s="16">
        <f t="shared" ca="1" si="19"/>
        <v>3.8132087413504268E-2</v>
      </c>
      <c r="H240" s="16">
        <f t="shared" ca="1" si="20"/>
        <v>-6.8713372124293249E-3</v>
      </c>
      <c r="J240" s="38">
        <f t="shared" si="21"/>
        <v>-6.3673271031705059E-3</v>
      </c>
      <c r="K240" s="38">
        <f t="shared" ca="1" si="21"/>
        <v>3.8085658842075695E-2</v>
      </c>
      <c r="L240" s="38">
        <f t="shared" ca="1" si="21"/>
        <v>-6.9177657838578963E-3</v>
      </c>
    </row>
    <row r="241" spans="1:12" ht="13.8" thickBot="1" x14ac:dyDescent="0.3">
      <c r="A241" s="12">
        <v>44158.666666666664</v>
      </c>
      <c r="B241" s="4">
        <v>27.39</v>
      </c>
      <c r="C241" s="2">
        <f ca="1">IFERROR(__xludf.DUMMYFUNCTION("""COMPUTED_VALUE"""),46.87)</f>
        <v>46.87</v>
      </c>
      <c r="D241" s="2">
        <f ca="1">IFERROR(__xludf.DUMMYFUNCTION("""COMPUTED_VALUE"""),357.46)</f>
        <v>357.46</v>
      </c>
      <c r="F241" s="16">
        <f t="shared" si="18"/>
        <v>2.140303102711897E-2</v>
      </c>
      <c r="G241" s="16">
        <f t="shared" ca="1" si="19"/>
        <v>3.6944662268101829E-2</v>
      </c>
      <c r="H241" s="16">
        <f t="shared" ca="1" si="20"/>
        <v>5.9765326115924049E-3</v>
      </c>
      <c r="J241" s="38">
        <f t="shared" si="21"/>
        <v>2.1356602455690397E-2</v>
      </c>
      <c r="K241" s="38">
        <f t="shared" ca="1" si="21"/>
        <v>3.6898233696673256E-2</v>
      </c>
      <c r="L241" s="38">
        <f t="shared" ca="1" si="21"/>
        <v>5.9301040401638335E-3</v>
      </c>
    </row>
    <row r="242" spans="1:12" ht="13.8" thickBot="1" x14ac:dyDescent="0.3">
      <c r="A242" s="12">
        <v>44159.666666666664</v>
      </c>
      <c r="B242" s="4">
        <v>28.98</v>
      </c>
      <c r="C242" s="2">
        <f ca="1">IFERROR(__xludf.DUMMYFUNCTION("""COMPUTED_VALUE"""),47.77)</f>
        <v>47.77</v>
      </c>
      <c r="D242" s="2">
        <f ca="1">IFERROR(__xludf.DUMMYFUNCTION("""COMPUTED_VALUE"""),363.22)</f>
        <v>363.22</v>
      </c>
      <c r="F242" s="16">
        <f t="shared" si="18"/>
        <v>5.6427953617549542E-2</v>
      </c>
      <c r="G242" s="16">
        <f t="shared" ca="1" si="19"/>
        <v>1.9020015467255791E-2</v>
      </c>
      <c r="H242" s="16">
        <f t="shared" ca="1" si="20"/>
        <v>1.5985243528120103E-2</v>
      </c>
      <c r="J242" s="38">
        <f t="shared" si="21"/>
        <v>5.638152504612097E-2</v>
      </c>
      <c r="K242" s="38">
        <f t="shared" ca="1" si="21"/>
        <v>1.8973586895827219E-2</v>
      </c>
      <c r="L242" s="38">
        <f t="shared" ca="1" si="21"/>
        <v>1.5938814956691531E-2</v>
      </c>
    </row>
    <row r="243" spans="1:12" ht="13.8" thickBot="1" x14ac:dyDescent="0.3">
      <c r="A243" s="12">
        <v>44160.666666666664</v>
      </c>
      <c r="B243" s="4">
        <v>29.03</v>
      </c>
      <c r="C243" s="2">
        <f ca="1">IFERROR(__xludf.DUMMYFUNCTION("""COMPUTED_VALUE"""),47.91)</f>
        <v>47.91</v>
      </c>
      <c r="D243" s="2">
        <f ca="1">IFERROR(__xludf.DUMMYFUNCTION("""COMPUTED_VALUE"""),362.66)</f>
        <v>362.66</v>
      </c>
      <c r="F243" s="16">
        <f t="shared" si="18"/>
        <v>1.723841144002275E-3</v>
      </c>
      <c r="G243" s="16">
        <f t="shared" ca="1" si="19"/>
        <v>2.9264234931601664E-3</v>
      </c>
      <c r="H243" s="16">
        <f t="shared" ca="1" si="20"/>
        <v>-1.5429550644729753E-3</v>
      </c>
      <c r="J243" s="38">
        <f t="shared" si="21"/>
        <v>1.6774125725737036E-3</v>
      </c>
      <c r="K243" s="38">
        <f t="shared" ca="1" si="21"/>
        <v>2.879994921731595E-3</v>
      </c>
      <c r="L243" s="38">
        <f t="shared" ca="1" si="21"/>
        <v>-1.5893836359015467E-3</v>
      </c>
    </row>
    <row r="244" spans="1:12" ht="13.8" thickBot="1" x14ac:dyDescent="0.3">
      <c r="A244" s="12">
        <v>44162.541666666664</v>
      </c>
      <c r="B244" s="4">
        <v>28.99</v>
      </c>
      <c r="C244" s="2">
        <f ca="1">IFERROR(__xludf.DUMMYFUNCTION("""COMPUTED_VALUE"""),47.16)</f>
        <v>47.16</v>
      </c>
      <c r="D244" s="2">
        <f ca="1">IFERROR(__xludf.DUMMYFUNCTION("""COMPUTED_VALUE"""),363.67)</f>
        <v>363.67</v>
      </c>
      <c r="F244" s="16">
        <f t="shared" si="18"/>
        <v>-1.3788351029745056E-3</v>
      </c>
      <c r="G244" s="16">
        <f t="shared" ca="1" si="19"/>
        <v>-1.5778175225860534E-2</v>
      </c>
      <c r="H244" s="16">
        <f t="shared" ca="1" si="20"/>
        <v>2.7811067999163786E-3</v>
      </c>
      <c r="J244" s="38">
        <f t="shared" si="21"/>
        <v>-1.425263674403077E-3</v>
      </c>
      <c r="K244" s="38">
        <f t="shared" ca="1" si="21"/>
        <v>-1.5824603797289106E-2</v>
      </c>
      <c r="L244" s="38">
        <f t="shared" ca="1" si="21"/>
        <v>2.7346782284878072E-3</v>
      </c>
    </row>
    <row r="245" spans="1:12" ht="13.8" thickBot="1" x14ac:dyDescent="0.3">
      <c r="A245" s="12">
        <v>44165.666666666664</v>
      </c>
      <c r="B245" s="4">
        <v>28.16</v>
      </c>
      <c r="C245" s="2">
        <f ca="1">IFERROR(__xludf.DUMMYFUNCTION("""COMPUTED_VALUE"""),46.63)</f>
        <v>46.63</v>
      </c>
      <c r="D245" s="2">
        <f ca="1">IFERROR(__xludf.DUMMYFUNCTION("""COMPUTED_VALUE"""),362.06)</f>
        <v>362.06</v>
      </c>
      <c r="F245" s="16">
        <f t="shared" si="18"/>
        <v>-2.9048411643722429E-2</v>
      </c>
      <c r="G245" s="16">
        <f t="shared" ca="1" si="19"/>
        <v>-1.1301964848940577E-2</v>
      </c>
      <c r="H245" s="16">
        <f t="shared" ca="1" si="20"/>
        <v>-4.4369190779982217E-3</v>
      </c>
      <c r="J245" s="38">
        <f t="shared" si="21"/>
        <v>-2.9094840215151001E-2</v>
      </c>
      <c r="K245" s="38">
        <f t="shared" ca="1" si="21"/>
        <v>-1.1348393420369149E-2</v>
      </c>
      <c r="L245" s="38">
        <f t="shared" ca="1" si="21"/>
        <v>-4.4833476494267931E-3</v>
      </c>
    </row>
    <row r="246" spans="1:12" ht="13.8" thickBot="1" x14ac:dyDescent="0.3">
      <c r="A246" s="12">
        <v>44166.666666666664</v>
      </c>
      <c r="B246" s="4">
        <v>28.69</v>
      </c>
      <c r="C246" s="2">
        <f ca="1">IFERROR(__xludf.DUMMYFUNCTION("""COMPUTED_VALUE"""),46.84)</f>
        <v>46.84</v>
      </c>
      <c r="D246" s="2">
        <f ca="1">IFERROR(__xludf.DUMMYFUNCTION("""COMPUTED_VALUE"""),366.02)</f>
        <v>366.02</v>
      </c>
      <c r="F246" s="16">
        <f t="shared" si="18"/>
        <v>1.864609870343175E-2</v>
      </c>
      <c r="G246" s="16">
        <f t="shared" ca="1" si="19"/>
        <v>4.4934279092870176E-3</v>
      </c>
      <c r="H246" s="16">
        <f t="shared" ca="1" si="20"/>
        <v>1.0878032769338408E-2</v>
      </c>
      <c r="J246" s="38">
        <f t="shared" si="21"/>
        <v>1.8599670132003178E-2</v>
      </c>
      <c r="K246" s="38">
        <f t="shared" ca="1" si="21"/>
        <v>4.4469993378584462E-3</v>
      </c>
      <c r="L246" s="38">
        <f t="shared" ca="1" si="21"/>
        <v>1.0831604197909836E-2</v>
      </c>
    </row>
    <row r="247" spans="1:12" ht="13.8" thickBot="1" x14ac:dyDescent="0.3">
      <c r="A247" s="12">
        <v>44167.666666666664</v>
      </c>
      <c r="B247" s="4">
        <v>29.06</v>
      </c>
      <c r="C247" s="2">
        <f ca="1">IFERROR(__xludf.DUMMYFUNCTION("""COMPUTED_VALUE"""),47.22)</f>
        <v>47.22</v>
      </c>
      <c r="D247" s="2">
        <f ca="1">IFERROR(__xludf.DUMMYFUNCTION("""COMPUTED_VALUE"""),366.79)</f>
        <v>366.79</v>
      </c>
      <c r="F247" s="16">
        <f t="shared" si="18"/>
        <v>1.2814028148863385E-2</v>
      </c>
      <c r="G247" s="16">
        <f t="shared" ca="1" si="19"/>
        <v>8.0799929278501416E-3</v>
      </c>
      <c r="H247" s="16">
        <f t="shared" ca="1" si="20"/>
        <v>2.1015004800139527E-3</v>
      </c>
      <c r="J247" s="38">
        <f t="shared" si="21"/>
        <v>1.2767599577434813E-2</v>
      </c>
      <c r="K247" s="38">
        <f t="shared" ca="1" si="21"/>
        <v>8.0335643564215693E-3</v>
      </c>
      <c r="L247" s="38">
        <f t="shared" ca="1" si="21"/>
        <v>2.0550719085853813E-3</v>
      </c>
    </row>
    <row r="248" spans="1:12" ht="13.8" thickBot="1" x14ac:dyDescent="0.3">
      <c r="A248" s="12">
        <v>44168.666666666664</v>
      </c>
      <c r="B248" s="4">
        <v>28.91</v>
      </c>
      <c r="C248" s="2">
        <f ca="1">IFERROR(__xludf.DUMMYFUNCTION("""COMPUTED_VALUE"""),46.95)</f>
        <v>46.95</v>
      </c>
      <c r="D248" s="2">
        <f ca="1">IFERROR(__xludf.DUMMYFUNCTION("""COMPUTED_VALUE"""),366.69)</f>
        <v>366.69</v>
      </c>
      <c r="F248" s="16">
        <f t="shared" si="18"/>
        <v>-5.1751021138821355E-3</v>
      </c>
      <c r="G248" s="16">
        <f t="shared" ca="1" si="19"/>
        <v>-5.7343260030948973E-3</v>
      </c>
      <c r="H248" s="16">
        <f t="shared" ca="1" si="20"/>
        <v>-2.726727398691255E-4</v>
      </c>
      <c r="J248" s="38">
        <f t="shared" si="21"/>
        <v>-5.2215306853107069E-3</v>
      </c>
      <c r="K248" s="38">
        <f t="shared" ca="1" si="21"/>
        <v>-5.7807545745234687E-3</v>
      </c>
      <c r="L248" s="38">
        <f t="shared" ca="1" si="21"/>
        <v>-3.1910131129769695E-4</v>
      </c>
    </row>
    <row r="249" spans="1:12" ht="13.8" thickBot="1" x14ac:dyDescent="0.3">
      <c r="A249" s="12">
        <v>44169.666666666664</v>
      </c>
      <c r="B249" s="4">
        <v>29.29</v>
      </c>
      <c r="C249" s="2">
        <f ca="1">IFERROR(__xludf.DUMMYFUNCTION("""COMPUTED_VALUE"""),47.98)</f>
        <v>47.98</v>
      </c>
      <c r="D249" s="2">
        <f ca="1">IFERROR(__xludf.DUMMYFUNCTION("""COMPUTED_VALUE"""),369.85)</f>
        <v>369.85</v>
      </c>
      <c r="F249" s="16">
        <f t="shared" si="18"/>
        <v>1.3058604811387365E-2</v>
      </c>
      <c r="G249" s="16">
        <f t="shared" ca="1" si="19"/>
        <v>2.1701051757276452E-2</v>
      </c>
      <c r="H249" s="16">
        <f t="shared" ca="1" si="20"/>
        <v>8.5807135765956291E-3</v>
      </c>
      <c r="J249" s="38">
        <f t="shared" si="21"/>
        <v>1.3012176239958793E-2</v>
      </c>
      <c r="K249" s="38">
        <f t="shared" ca="1" si="21"/>
        <v>2.165462318584788E-2</v>
      </c>
      <c r="L249" s="38">
        <f t="shared" ca="1" si="21"/>
        <v>8.5342850051670568E-3</v>
      </c>
    </row>
    <row r="250" spans="1:12" ht="13.8" thickBot="1" x14ac:dyDescent="0.3">
      <c r="A250" s="12">
        <v>44172.666666666664</v>
      </c>
      <c r="B250" s="4">
        <v>29.09</v>
      </c>
      <c r="C250" s="2">
        <f ca="1">IFERROR(__xludf.DUMMYFUNCTION("""COMPUTED_VALUE"""),48.02)</f>
        <v>48.02</v>
      </c>
      <c r="D250" s="2">
        <f ca="1">IFERROR(__xludf.DUMMYFUNCTION("""COMPUTED_VALUE"""),369.09)</f>
        <v>369.09</v>
      </c>
      <c r="F250" s="16">
        <f t="shared" si="18"/>
        <v>-6.8516883325318752E-3</v>
      </c>
      <c r="G250" s="16">
        <f t="shared" ca="1" si="19"/>
        <v>8.3333338155885299E-4</v>
      </c>
      <c r="H250" s="16">
        <f t="shared" ca="1" si="20"/>
        <v>-2.0570012936895312E-3</v>
      </c>
      <c r="J250" s="38">
        <f t="shared" si="21"/>
        <v>-6.8981169039604466E-3</v>
      </c>
      <c r="K250" s="38">
        <f t="shared" ca="1" si="21"/>
        <v>7.869048101302816E-4</v>
      </c>
      <c r="L250" s="38">
        <f t="shared" ca="1" si="21"/>
        <v>-2.1034298651181026E-3</v>
      </c>
    </row>
    <row r="251" spans="1:12" ht="13.8" thickBot="1" x14ac:dyDescent="0.3">
      <c r="A251" s="12">
        <v>44173.666666666664</v>
      </c>
      <c r="B251" s="4">
        <v>28.93</v>
      </c>
      <c r="C251" s="2">
        <f ca="1">IFERROR(__xludf.DUMMYFUNCTION("""COMPUTED_VALUE"""),48.05)</f>
        <v>48.05</v>
      </c>
      <c r="D251" s="2">
        <f ca="1">IFERROR(__xludf.DUMMYFUNCTION("""COMPUTED_VALUE"""),370.17)</f>
        <v>370.17</v>
      </c>
      <c r="F251" s="16">
        <f t="shared" si="18"/>
        <v>-5.5153535190664935E-3</v>
      </c>
      <c r="G251" s="16">
        <f t="shared" ca="1" si="19"/>
        <v>6.2454462319413582E-4</v>
      </c>
      <c r="H251" s="16">
        <f t="shared" ca="1" si="20"/>
        <v>2.9218428383649938E-3</v>
      </c>
      <c r="J251" s="38">
        <f t="shared" si="21"/>
        <v>-5.5617820904950649E-3</v>
      </c>
      <c r="K251" s="38">
        <f t="shared" ca="1" si="21"/>
        <v>5.7811605176556443E-4</v>
      </c>
      <c r="L251" s="38">
        <f t="shared" ca="1" si="21"/>
        <v>2.8754142669364224E-3</v>
      </c>
    </row>
    <row r="252" spans="1:12" ht="13.8" thickBot="1" x14ac:dyDescent="0.3">
      <c r="A252" s="12">
        <v>44174.666666666664</v>
      </c>
      <c r="B252" s="4">
        <v>28.8</v>
      </c>
      <c r="C252" s="2">
        <f ca="1">IFERROR(__xludf.DUMMYFUNCTION("""COMPUTED_VALUE"""),48.36)</f>
        <v>48.36</v>
      </c>
      <c r="D252" s="2">
        <f ca="1">IFERROR(__xludf.DUMMYFUNCTION("""COMPUTED_VALUE"""),366.85)</f>
        <v>366.85</v>
      </c>
      <c r="F252" s="16">
        <f t="shared" si="18"/>
        <v>-4.5037318461434587E-3</v>
      </c>
      <c r="G252" s="16">
        <f t="shared" ca="1" si="19"/>
        <v>6.4308903302905526E-3</v>
      </c>
      <c r="H252" s="16">
        <f t="shared" ca="1" si="20"/>
        <v>-9.0093144185487625E-3</v>
      </c>
      <c r="J252" s="38">
        <f t="shared" si="21"/>
        <v>-4.55016041757203E-3</v>
      </c>
      <c r="K252" s="38">
        <f t="shared" ca="1" si="21"/>
        <v>6.3844617588619812E-3</v>
      </c>
      <c r="L252" s="38">
        <f t="shared" ca="1" si="21"/>
        <v>-9.0557429899773348E-3</v>
      </c>
    </row>
    <row r="253" spans="1:12" ht="13.8" thickBot="1" x14ac:dyDescent="0.3">
      <c r="A253" s="12">
        <v>44175.666666666664</v>
      </c>
      <c r="B253" s="4">
        <v>29.11</v>
      </c>
      <c r="C253" s="2">
        <f ca="1">IFERROR(__xludf.DUMMYFUNCTION("""COMPUTED_VALUE"""),49.1)</f>
        <v>49.1</v>
      </c>
      <c r="D253" s="2">
        <f ca="1">IFERROR(__xludf.DUMMYFUNCTION("""COMPUTED_VALUE"""),366.73)</f>
        <v>366.73</v>
      </c>
      <c r="F253" s="16">
        <f t="shared" si="18"/>
        <v>1.0706370615631518E-2</v>
      </c>
      <c r="G253" s="16">
        <f t="shared" ca="1" si="19"/>
        <v>1.5186009053883058E-2</v>
      </c>
      <c r="H253" s="16">
        <f t="shared" ca="1" si="20"/>
        <v>-3.2716268456164227E-4</v>
      </c>
      <c r="J253" s="38">
        <f t="shared" si="21"/>
        <v>1.0659942044202945E-2</v>
      </c>
      <c r="K253" s="38">
        <f t="shared" ca="1" si="21"/>
        <v>1.5139580482454486E-2</v>
      </c>
      <c r="L253" s="38">
        <f t="shared" ca="1" si="21"/>
        <v>-3.7359125599021367E-4</v>
      </c>
    </row>
    <row r="254" spans="1:12" ht="13.8" thickBot="1" x14ac:dyDescent="0.3">
      <c r="A254" s="12">
        <v>44176.666666666664</v>
      </c>
      <c r="B254" s="4">
        <v>28.57</v>
      </c>
      <c r="C254" s="2">
        <f ca="1">IFERROR(__xludf.DUMMYFUNCTION("""COMPUTED_VALUE"""),48.51)</f>
        <v>48.51</v>
      </c>
      <c r="D254" s="2">
        <f ca="1">IFERROR(__xludf.DUMMYFUNCTION("""COMPUTED_VALUE"""),366.3)</f>
        <v>366.3</v>
      </c>
      <c r="F254" s="16">
        <f t="shared" si="18"/>
        <v>-1.8724541514850115E-2</v>
      </c>
      <c r="G254" s="16">
        <f t="shared" ca="1" si="19"/>
        <v>-1.208907254334975E-2</v>
      </c>
      <c r="H254" s="16">
        <f t="shared" ca="1" si="20"/>
        <v>-1.173212690672941E-3</v>
      </c>
      <c r="J254" s="38">
        <f t="shared" si="21"/>
        <v>-1.8770970086278687E-2</v>
      </c>
      <c r="K254" s="38">
        <f t="shared" ca="1" si="21"/>
        <v>-1.2135501114778322E-2</v>
      </c>
      <c r="L254" s="38">
        <f t="shared" ca="1" si="21"/>
        <v>-1.2196412621015124E-3</v>
      </c>
    </row>
    <row r="255" spans="1:12" ht="13.8" thickBot="1" x14ac:dyDescent="0.3">
      <c r="A255" s="12">
        <v>44179.666666666664</v>
      </c>
      <c r="B255" s="4">
        <v>28.22</v>
      </c>
      <c r="C255" s="2">
        <f ca="1">IFERROR(__xludf.DUMMYFUNCTION("""COMPUTED_VALUE"""),48.61)</f>
        <v>48.61</v>
      </c>
      <c r="D255" s="2">
        <f ca="1">IFERROR(__xludf.DUMMYFUNCTION("""COMPUTED_VALUE"""),364.66)</f>
        <v>364.66</v>
      </c>
      <c r="F255" s="16">
        <f t="shared" si="18"/>
        <v>-1.2326269818013765E-2</v>
      </c>
      <c r="G255" s="16">
        <f t="shared" ca="1" si="19"/>
        <v>2.0593088002389902E-3</v>
      </c>
      <c r="H255" s="16">
        <f t="shared" ca="1" si="20"/>
        <v>-4.4872571737101449E-3</v>
      </c>
      <c r="J255" s="38">
        <f t="shared" si="21"/>
        <v>-1.2372698389442337E-2</v>
      </c>
      <c r="K255" s="38">
        <f t="shared" ca="1" si="21"/>
        <v>2.0128802288104188E-3</v>
      </c>
      <c r="L255" s="38">
        <f t="shared" ca="1" si="21"/>
        <v>-4.5336857451387163E-3</v>
      </c>
    </row>
    <row r="256" spans="1:12" ht="13.8" thickBot="1" x14ac:dyDescent="0.3">
      <c r="A256" s="12">
        <v>44180.666666666664</v>
      </c>
      <c r="B256" s="4">
        <v>28.64</v>
      </c>
      <c r="C256" s="2">
        <f ca="1">IFERROR(__xludf.DUMMYFUNCTION("""COMPUTED_VALUE"""),48.77)</f>
        <v>48.77</v>
      </c>
      <c r="D256" s="2">
        <f ca="1">IFERROR(__xludf.DUMMYFUNCTION("""COMPUTED_VALUE"""),369.59)</f>
        <v>369.59</v>
      </c>
      <c r="F256" s="16">
        <f t="shared" si="18"/>
        <v>1.4773395667776986E-2</v>
      </c>
      <c r="G256" s="16">
        <f t="shared" ca="1" si="19"/>
        <v>3.2860986645972868E-3</v>
      </c>
      <c r="H256" s="16">
        <f t="shared" ca="1" si="20"/>
        <v>1.3428870513386542E-2</v>
      </c>
      <c r="J256" s="38">
        <f t="shared" si="21"/>
        <v>1.4726967096348414E-2</v>
      </c>
      <c r="K256" s="38">
        <f t="shared" ca="1" si="21"/>
        <v>3.2396700931687154E-3</v>
      </c>
      <c r="L256" s="38">
        <f t="shared" ca="1" si="21"/>
        <v>1.338244194195797E-2</v>
      </c>
    </row>
    <row r="257" spans="1:12" ht="13.8" thickBot="1" x14ac:dyDescent="0.3">
      <c r="A257" s="12">
        <v>44181.666666666664</v>
      </c>
      <c r="B257" s="4">
        <v>28.72</v>
      </c>
      <c r="C257" s="2">
        <f ca="1">IFERROR(__xludf.DUMMYFUNCTION("""COMPUTED_VALUE"""),49.12)</f>
        <v>49.12</v>
      </c>
      <c r="D257" s="2">
        <f ca="1">IFERROR(__xludf.DUMMYFUNCTION("""COMPUTED_VALUE"""),370.17)</f>
        <v>370.17</v>
      </c>
      <c r="F257" s="16">
        <f t="shared" si="18"/>
        <v>2.7894020875785922E-3</v>
      </c>
      <c r="G257" s="16">
        <f t="shared" ca="1" si="19"/>
        <v>7.1509141169257369E-3</v>
      </c>
      <c r="H257" s="16">
        <f t="shared" ca="1" si="20"/>
        <v>1.5680764541070966E-3</v>
      </c>
      <c r="J257" s="38">
        <f t="shared" si="21"/>
        <v>2.7429735161500208E-3</v>
      </c>
      <c r="K257" s="38">
        <f t="shared" ca="1" si="21"/>
        <v>7.1044855454971655E-3</v>
      </c>
      <c r="L257" s="38">
        <f t="shared" ca="1" si="21"/>
        <v>1.5216478826785252E-3</v>
      </c>
    </row>
    <row r="258" spans="1:12" ht="13.8" thickBot="1" x14ac:dyDescent="0.3">
      <c r="A258" s="12">
        <v>44182.666666666664</v>
      </c>
      <c r="B258" s="4">
        <v>28.83</v>
      </c>
      <c r="C258" s="2">
        <f ca="1">IFERROR(__xludf.DUMMYFUNCTION("""COMPUTED_VALUE"""),48.98)</f>
        <v>48.98</v>
      </c>
      <c r="D258" s="2">
        <f ca="1">IFERROR(__xludf.DUMMYFUNCTION("""COMPUTED_VALUE"""),372.24)</f>
        <v>372.24</v>
      </c>
      <c r="F258" s="16">
        <f t="shared" si="18"/>
        <v>3.8227674702874348E-3</v>
      </c>
      <c r="G258" s="16">
        <f t="shared" ca="1" si="19"/>
        <v>-2.8542323148653989E-3</v>
      </c>
      <c r="H258" s="16">
        <f t="shared" ca="1" si="20"/>
        <v>5.5764479578410157E-3</v>
      </c>
      <c r="J258" s="38">
        <f t="shared" si="21"/>
        <v>3.7763388988588634E-3</v>
      </c>
      <c r="K258" s="38">
        <f t="shared" ca="1" si="21"/>
        <v>-2.9006608862939703E-3</v>
      </c>
      <c r="L258" s="38">
        <f t="shared" ca="1" si="21"/>
        <v>5.5300193864124443E-3</v>
      </c>
    </row>
    <row r="259" spans="1:12" ht="13.8" thickBot="1" x14ac:dyDescent="0.3">
      <c r="A259" s="12">
        <v>44183.666666666664</v>
      </c>
      <c r="B259" s="4">
        <v>28.67</v>
      </c>
      <c r="C259" s="2">
        <f ca="1">IFERROR(__xludf.DUMMYFUNCTION("""COMPUTED_VALUE"""),48.53)</f>
        <v>48.53</v>
      </c>
      <c r="D259" s="2">
        <f ca="1">IFERROR(__xludf.DUMMYFUNCTION("""COMPUTED_VALUE"""),369.18)</f>
        <v>369.18</v>
      </c>
      <c r="F259" s="16">
        <f t="shared" si="18"/>
        <v>-5.5652317550322202E-3</v>
      </c>
      <c r="G259" s="16">
        <f t="shared" ca="1" si="19"/>
        <v>-9.2298881068967886E-3</v>
      </c>
      <c r="H259" s="16">
        <f t="shared" ca="1" si="20"/>
        <v>-8.2544775559391832E-3</v>
      </c>
      <c r="J259" s="38">
        <f t="shared" si="21"/>
        <v>-5.6116603264607916E-3</v>
      </c>
      <c r="K259" s="38">
        <f t="shared" ca="1" si="21"/>
        <v>-9.2763166783253609E-3</v>
      </c>
      <c r="L259" s="38">
        <f t="shared" ca="1" si="21"/>
        <v>-8.3009061273677555E-3</v>
      </c>
    </row>
    <row r="260" spans="1:12" ht="13.8" thickBot="1" x14ac:dyDescent="0.3">
      <c r="A260" s="12">
        <v>44186.666666666664</v>
      </c>
      <c r="B260" s="4">
        <v>29.74</v>
      </c>
      <c r="C260" s="2">
        <f ca="1">IFERROR(__xludf.DUMMYFUNCTION("""COMPUTED_VALUE"""),49.66)</f>
        <v>49.66</v>
      </c>
      <c r="D260" s="2">
        <f ca="1">IFERROR(__xludf.DUMMYFUNCTION("""COMPUTED_VALUE"""),367.86)</f>
        <v>367.86</v>
      </c>
      <c r="F260" s="16">
        <f t="shared" si="18"/>
        <v>3.6641661136730341E-2</v>
      </c>
      <c r="G260" s="16">
        <f t="shared" ca="1" si="19"/>
        <v>2.3017616662895604E-2</v>
      </c>
      <c r="H260" s="16">
        <f t="shared" ca="1" si="20"/>
        <v>-3.5818989778023023E-3</v>
      </c>
      <c r="J260" s="38">
        <f t="shared" si="21"/>
        <v>3.6595232565301769E-2</v>
      </c>
      <c r="K260" s="38">
        <f t="shared" ca="1" si="21"/>
        <v>2.2971188091467032E-2</v>
      </c>
      <c r="L260" s="38">
        <f t="shared" ca="1" si="21"/>
        <v>-3.6283275492308737E-3</v>
      </c>
    </row>
    <row r="261" spans="1:12" ht="13.8" thickBot="1" x14ac:dyDescent="0.3">
      <c r="A261" s="12">
        <v>44187.666666666664</v>
      </c>
      <c r="B261" s="4">
        <v>29.21</v>
      </c>
      <c r="C261" s="2">
        <f ca="1">IFERROR(__xludf.DUMMYFUNCTION("""COMPUTED_VALUE"""),49.46)</f>
        <v>49.46</v>
      </c>
      <c r="D261" s="2">
        <f ca="1">IFERROR(__xludf.DUMMYFUNCTION("""COMPUTED_VALUE"""),367.24)</f>
        <v>367.24</v>
      </c>
      <c r="F261" s="16">
        <f t="shared" si="18"/>
        <v>-1.7981824632359287E-2</v>
      </c>
      <c r="G261" s="16">
        <f t="shared" ca="1" si="19"/>
        <v>-4.0355179867503227E-3</v>
      </c>
      <c r="H261" s="16">
        <f t="shared" ca="1" si="20"/>
        <v>-1.6868457271522991E-3</v>
      </c>
      <c r="J261" s="38">
        <f t="shared" si="21"/>
        <v>-1.8028253203787859E-2</v>
      </c>
      <c r="K261" s="38">
        <f t="shared" ca="1" si="21"/>
        <v>-4.0819465581788941E-3</v>
      </c>
      <c r="L261" s="38">
        <f t="shared" ca="1" si="21"/>
        <v>-1.7332742985808705E-3</v>
      </c>
    </row>
    <row r="262" spans="1:12" ht="13.8" thickBot="1" x14ac:dyDescent="0.3">
      <c r="A262" s="12">
        <v>44188.666666666664</v>
      </c>
      <c r="B262" s="4">
        <v>30.05</v>
      </c>
      <c r="C262" s="2">
        <f ca="1">IFERROR(__xludf.DUMMYFUNCTION("""COMPUTED_VALUE"""),49.96)</f>
        <v>49.96</v>
      </c>
      <c r="D262" s="2">
        <f ca="1">IFERROR(__xludf.DUMMYFUNCTION("""COMPUTED_VALUE"""),367.57)</f>
        <v>367.57</v>
      </c>
      <c r="F262" s="16">
        <f t="shared" si="18"/>
        <v>2.8351544581567054E-2</v>
      </c>
      <c r="G262" s="16">
        <f t="shared" ca="1" si="19"/>
        <v>1.0058423164106879E-2</v>
      </c>
      <c r="H262" s="16">
        <f t="shared" ca="1" si="20"/>
        <v>8.9819142958190087E-4</v>
      </c>
      <c r="J262" s="38">
        <f t="shared" si="21"/>
        <v>2.8305116010138482E-2</v>
      </c>
      <c r="K262" s="38">
        <f t="shared" ca="1" si="21"/>
        <v>1.0011994592678307E-2</v>
      </c>
      <c r="L262" s="38">
        <f t="shared" ca="1" si="21"/>
        <v>8.5176285815332948E-4</v>
      </c>
    </row>
    <row r="263" spans="1:12" ht="13.8" thickBot="1" x14ac:dyDescent="0.3">
      <c r="A263" s="12">
        <v>44189.541666666664</v>
      </c>
      <c r="B263" s="4">
        <v>29.96</v>
      </c>
      <c r="C263" s="2">
        <f ca="1">IFERROR(__xludf.DUMMYFUNCTION("""COMPUTED_VALUE"""),50.07)</f>
        <v>50.07</v>
      </c>
      <c r="D263" s="2">
        <f ca="1">IFERROR(__xludf.DUMMYFUNCTION("""COMPUTED_VALUE"""),369)</f>
        <v>369</v>
      </c>
      <c r="F263" s="16">
        <f t="shared" si="18"/>
        <v>-2.9995023321978316E-3</v>
      </c>
      <c r="G263" s="16">
        <f t="shared" ca="1" si="19"/>
        <v>2.1993410844763726E-3</v>
      </c>
      <c r="H263" s="16">
        <f t="shared" ca="1" si="20"/>
        <v>3.882867335445986E-3</v>
      </c>
      <c r="J263" s="38">
        <f t="shared" si="21"/>
        <v>-3.0459309036264029E-3</v>
      </c>
      <c r="K263" s="38">
        <f t="shared" ca="1" si="21"/>
        <v>2.1529125130478012E-3</v>
      </c>
      <c r="L263" s="38">
        <f t="shared" ca="1" si="21"/>
        <v>3.8364387640174146E-3</v>
      </c>
    </row>
    <row r="264" spans="1:12" ht="13.8" thickBot="1" x14ac:dyDescent="0.3">
      <c r="A264" s="12">
        <v>44193.666666666664</v>
      </c>
      <c r="B264" s="4">
        <v>30.13</v>
      </c>
      <c r="C264" s="2">
        <f ca="1">IFERROR(__xludf.DUMMYFUNCTION("""COMPUTED_VALUE"""),49.58)</f>
        <v>49.58</v>
      </c>
      <c r="D264" s="2">
        <f ca="1">IFERROR(__xludf.DUMMYFUNCTION("""COMPUTED_VALUE"""),372.17)</f>
        <v>372.17</v>
      </c>
      <c r="F264" s="16">
        <f t="shared" si="18"/>
        <v>5.6581944931910948E-3</v>
      </c>
      <c r="G264" s="16">
        <f t="shared" ca="1" si="19"/>
        <v>-9.8344997348090452E-3</v>
      </c>
      <c r="H264" s="16">
        <f t="shared" ca="1" si="20"/>
        <v>8.5540950921466699E-3</v>
      </c>
      <c r="J264" s="38">
        <f t="shared" si="21"/>
        <v>5.6117659217625234E-3</v>
      </c>
      <c r="K264" s="38">
        <f t="shared" ca="1" si="21"/>
        <v>-9.8809283062376175E-3</v>
      </c>
      <c r="L264" s="38">
        <f t="shared" ca="1" si="21"/>
        <v>8.5076665207180976E-3</v>
      </c>
    </row>
    <row r="265" spans="1:12" ht="13.8" thickBot="1" x14ac:dyDescent="0.3">
      <c r="A265" s="12">
        <v>44194.666666666664</v>
      </c>
      <c r="B265" s="4">
        <v>30.01</v>
      </c>
      <c r="C265" s="2">
        <f ca="1">IFERROR(__xludf.DUMMYFUNCTION("""COMPUTED_VALUE"""),49.74)</f>
        <v>49.74</v>
      </c>
      <c r="D265" s="2">
        <f ca="1">IFERROR(__xludf.DUMMYFUNCTION("""COMPUTED_VALUE"""),371.46)</f>
        <v>371.46</v>
      </c>
      <c r="F265" s="16">
        <f t="shared" si="18"/>
        <v>-3.9906936899340786E-3</v>
      </c>
      <c r="G265" s="16">
        <f t="shared" ca="1" si="19"/>
        <v>3.221911768214195E-3</v>
      </c>
      <c r="H265" s="16">
        <f t="shared" ca="1" si="20"/>
        <v>-1.9095523734781871E-3</v>
      </c>
      <c r="J265" s="38">
        <f t="shared" si="21"/>
        <v>-4.03712226136265E-3</v>
      </c>
      <c r="K265" s="38">
        <f t="shared" ca="1" si="21"/>
        <v>3.1754831967856236E-3</v>
      </c>
      <c r="L265" s="38">
        <f t="shared" ca="1" si="21"/>
        <v>-1.9559809449067587E-3</v>
      </c>
    </row>
    <row r="266" spans="1:12" s="36" customFormat="1" ht="13.8" thickBot="1" x14ac:dyDescent="0.3">
      <c r="A266" s="12">
        <v>44195.666666666664</v>
      </c>
      <c r="B266" s="4">
        <v>29.98</v>
      </c>
      <c r="C266" s="2">
        <f ca="1">IFERROR(__xludf.DUMMYFUNCTION("""COMPUTED_VALUE"""),49.18)</f>
        <v>49.18</v>
      </c>
      <c r="D266" s="2">
        <f ca="1">IFERROR(__xludf.DUMMYFUNCTION("""COMPUTED_VALUE"""),371.99)</f>
        <v>371.99</v>
      </c>
      <c r="F266" s="37">
        <f t="shared" si="18"/>
        <v>-1.0001667778241189E-3</v>
      </c>
      <c r="G266" s="37">
        <f t="shared" ca="1" si="19"/>
        <v>-1.1322401587212148E-2</v>
      </c>
      <c r="H266" s="37">
        <f t="shared" ca="1" si="20"/>
        <v>1.4257854322007929E-3</v>
      </c>
      <c r="J266" s="38">
        <f t="shared" si="21"/>
        <v>-1.0465953492526903E-3</v>
      </c>
      <c r="K266" s="38">
        <f t="shared" ca="1" si="21"/>
        <v>-1.136883015864072E-2</v>
      </c>
      <c r="L266" s="38">
        <f t="shared" ca="1" si="21"/>
        <v>1.3793568607722215E-3</v>
      </c>
    </row>
    <row r="267" spans="1:12" s="36" customFormat="1" ht="13.8" thickBot="1" x14ac:dyDescent="0.3">
      <c r="A267" s="12">
        <v>44196.666666666664</v>
      </c>
      <c r="B267" s="4">
        <v>30.31</v>
      </c>
      <c r="C267" s="2">
        <f ca="1">IFERROR(__xludf.DUMMYFUNCTION("""COMPUTED_VALUE"""),49.47)</f>
        <v>49.47</v>
      </c>
      <c r="D267" s="2">
        <f ca="1">IFERROR(__xludf.DUMMYFUNCTION("""COMPUTED_VALUE"""),373.88)</f>
        <v>373.88</v>
      </c>
      <c r="F267" s="37">
        <f t="shared" si="18"/>
        <v>1.0947198395260092E-2</v>
      </c>
      <c r="G267" s="37">
        <f t="shared" ca="1" si="19"/>
        <v>5.8793884515707939E-3</v>
      </c>
      <c r="H267" s="37">
        <f t="shared" ca="1" si="20"/>
        <v>5.0679181229861484E-3</v>
      </c>
      <c r="J267" s="38">
        <f t="shared" si="21"/>
        <v>1.090076982383152E-2</v>
      </c>
      <c r="K267" s="38">
        <f t="shared" ca="1" si="21"/>
        <v>5.8329598801422225E-3</v>
      </c>
      <c r="L267" s="38">
        <f t="shared" ca="1" si="21"/>
        <v>5.021489551557577E-3</v>
      </c>
    </row>
    <row r="268" spans="1:12" ht="13.8" thickBot="1" x14ac:dyDescent="0.3">
      <c r="A268" s="12">
        <v>44200.666666666664</v>
      </c>
      <c r="B268" s="4">
        <v>30.03</v>
      </c>
      <c r="C268" s="2">
        <f ca="1">IFERROR(__xludf.DUMMYFUNCTION("""COMPUTED_VALUE"""),53.73)</f>
        <v>53.73</v>
      </c>
      <c r="D268" s="2">
        <f ca="1">IFERROR(__xludf.DUMMYFUNCTION("""COMPUTED_VALUE"""),368.79)</f>
        <v>368.79</v>
      </c>
      <c r="F268" s="37">
        <f t="shared" ref="F268:F331" si="22">LN(B268/B267)</f>
        <v>-9.2808090744727432E-3</v>
      </c>
      <c r="G268" s="37">
        <f t="shared" ref="G268:G331" ca="1" si="23">LN(C268/C267)</f>
        <v>8.2605079501112802E-2</v>
      </c>
      <c r="H268" s="37">
        <f t="shared" ref="H268:H331" ca="1" si="24">LN(D268/D267)</f>
        <v>-1.3707513967023294E-2</v>
      </c>
      <c r="J268" s="38">
        <f t="shared" ref="J268:J331" si="25">F268-$B$9</f>
        <v>-9.3272376459013154E-3</v>
      </c>
      <c r="K268" s="38">
        <f t="shared" ref="K268:K331" ca="1" si="26">G268-$B$9</f>
        <v>8.255865092968423E-2</v>
      </c>
      <c r="L268" s="38">
        <f t="shared" ref="L268:L331" ca="1" si="27">H268-$B$9</f>
        <v>-1.3753942538451866E-2</v>
      </c>
    </row>
    <row r="269" spans="1:12" ht="13.8" thickBot="1" x14ac:dyDescent="0.3">
      <c r="A269" s="12">
        <v>44201.666666666664</v>
      </c>
      <c r="B269" s="4">
        <v>30.26</v>
      </c>
      <c r="C269" s="2">
        <f ca="1">IFERROR(__xludf.DUMMYFUNCTION("""COMPUTED_VALUE"""),54.68)</f>
        <v>54.68</v>
      </c>
      <c r="D269" s="2">
        <f ca="1">IFERROR(__xludf.DUMMYFUNCTION("""COMPUTED_VALUE"""),371.33)</f>
        <v>371.33</v>
      </c>
      <c r="F269" s="37">
        <f t="shared" si="22"/>
        <v>7.6298263649710249E-3</v>
      </c>
      <c r="G269" s="37">
        <f t="shared" ca="1" si="23"/>
        <v>1.7526507115018658E-2</v>
      </c>
      <c r="H269" s="37">
        <f t="shared" ca="1" si="24"/>
        <v>6.8637787707874496E-3</v>
      </c>
      <c r="J269" s="38">
        <f t="shared" si="25"/>
        <v>7.5833977935424535E-3</v>
      </c>
      <c r="K269" s="38">
        <f t="shared" ca="1" si="26"/>
        <v>1.7480078543590086E-2</v>
      </c>
      <c r="L269" s="38">
        <f t="shared" ca="1" si="27"/>
        <v>6.8173501993588782E-3</v>
      </c>
    </row>
    <row r="270" spans="1:12" ht="13.8" thickBot="1" x14ac:dyDescent="0.3">
      <c r="A270" s="12">
        <v>44202.666666666664</v>
      </c>
      <c r="B270" s="4">
        <v>32.15</v>
      </c>
      <c r="C270" s="2">
        <f ca="1">IFERROR(__xludf.DUMMYFUNCTION("""COMPUTED_VALUE"""),52.98)</f>
        <v>52.98</v>
      </c>
      <c r="D270" s="2">
        <f ca="1">IFERROR(__xludf.DUMMYFUNCTION("""COMPUTED_VALUE"""),373.55)</f>
        <v>373.55</v>
      </c>
      <c r="F270" s="37">
        <f t="shared" si="22"/>
        <v>6.0585742323418436E-2</v>
      </c>
      <c r="G270" s="37">
        <f t="shared" ca="1" si="23"/>
        <v>-3.1583528011825186E-2</v>
      </c>
      <c r="H270" s="37">
        <f t="shared" ca="1" si="24"/>
        <v>5.9607093036633963E-3</v>
      </c>
      <c r="J270" s="38">
        <f t="shared" si="25"/>
        <v>6.0539313751989864E-2</v>
      </c>
      <c r="K270" s="38">
        <f t="shared" ca="1" si="26"/>
        <v>-3.1629956583253759E-2</v>
      </c>
      <c r="L270" s="38">
        <f t="shared" ca="1" si="27"/>
        <v>5.9142807322348249E-3</v>
      </c>
    </row>
    <row r="271" spans="1:12" ht="13.8" thickBot="1" x14ac:dyDescent="0.3">
      <c r="A271" s="12">
        <v>44203.666666666664</v>
      </c>
      <c r="B271" s="4">
        <v>32.86</v>
      </c>
      <c r="C271" s="2">
        <f ca="1">IFERROR(__xludf.DUMMYFUNCTION("""COMPUTED_VALUE"""),53.94)</f>
        <v>53.94</v>
      </c>
      <c r="D271" s="2">
        <f ca="1">IFERROR(__xludf.DUMMYFUNCTION("""COMPUTED_VALUE"""),379.1)</f>
        <v>379.1</v>
      </c>
      <c r="F271" s="37">
        <f t="shared" si="22"/>
        <v>2.1843661925493751E-2</v>
      </c>
      <c r="G271" s="37">
        <f t="shared" ca="1" si="23"/>
        <v>1.795783386766036E-2</v>
      </c>
      <c r="H271" s="37">
        <f t="shared" ca="1" si="24"/>
        <v>1.4748158100478918E-2</v>
      </c>
      <c r="J271" s="38">
        <f t="shared" si="25"/>
        <v>2.1797233354065179E-2</v>
      </c>
      <c r="K271" s="38">
        <f t="shared" ca="1" si="26"/>
        <v>1.7911405296231787E-2</v>
      </c>
      <c r="L271" s="38">
        <f t="shared" ca="1" si="27"/>
        <v>1.4701729529050345E-2</v>
      </c>
    </row>
    <row r="272" spans="1:12" ht="13.8" thickBot="1" x14ac:dyDescent="0.3">
      <c r="A272" s="12">
        <v>44204.666666666664</v>
      </c>
      <c r="B272" s="4">
        <v>32.53</v>
      </c>
      <c r="C272" s="2">
        <f ca="1">IFERROR(__xludf.DUMMYFUNCTION("""COMPUTED_VALUE"""),55.03)</f>
        <v>55.03</v>
      </c>
      <c r="D272" s="2">
        <f ca="1">IFERROR(__xludf.DUMMYFUNCTION("""COMPUTED_VALUE"""),381.26)</f>
        <v>381.26</v>
      </c>
      <c r="F272" s="37">
        <f t="shared" si="22"/>
        <v>-1.009337212386186E-2</v>
      </c>
      <c r="G272" s="37">
        <f t="shared" ca="1" si="23"/>
        <v>2.0006173360083649E-2</v>
      </c>
      <c r="H272" s="37">
        <f t="shared" ca="1" si="24"/>
        <v>5.6815345635413779E-3</v>
      </c>
      <c r="J272" s="38">
        <f t="shared" si="25"/>
        <v>-1.0139800695290432E-2</v>
      </c>
      <c r="K272" s="38">
        <f t="shared" ca="1" si="26"/>
        <v>1.9959744788655077E-2</v>
      </c>
      <c r="L272" s="38">
        <f t="shared" ca="1" si="27"/>
        <v>5.6351059921128065E-3</v>
      </c>
    </row>
    <row r="273" spans="1:12" ht="13.8" thickBot="1" x14ac:dyDescent="0.3">
      <c r="A273" s="12">
        <v>44207.666666666664</v>
      </c>
      <c r="B273" s="4">
        <v>33.07</v>
      </c>
      <c r="C273" s="2">
        <f ca="1">IFERROR(__xludf.DUMMYFUNCTION("""COMPUTED_VALUE"""),54.48)</f>
        <v>54.48</v>
      </c>
      <c r="D273" s="2">
        <f ca="1">IFERROR(__xludf.DUMMYFUNCTION("""COMPUTED_VALUE"""),378.69)</f>
        <v>378.69</v>
      </c>
      <c r="F273" s="37">
        <f t="shared" si="22"/>
        <v>1.6463786508441363E-2</v>
      </c>
      <c r="G273" s="37">
        <f t="shared" ca="1" si="23"/>
        <v>-1.0044829230410585E-2</v>
      </c>
      <c r="H273" s="37">
        <f t="shared" ca="1" si="24"/>
        <v>-6.7636286529505823E-3</v>
      </c>
      <c r="J273" s="38">
        <f t="shared" si="25"/>
        <v>1.6417357937012791E-2</v>
      </c>
      <c r="K273" s="38">
        <f t="shared" ca="1" si="26"/>
        <v>-1.0091257801839157E-2</v>
      </c>
      <c r="L273" s="38">
        <f t="shared" ca="1" si="27"/>
        <v>-6.8100572243791537E-3</v>
      </c>
    </row>
    <row r="274" spans="1:12" ht="13.8" thickBot="1" x14ac:dyDescent="0.3">
      <c r="A274" s="12">
        <v>44208.666666666664</v>
      </c>
      <c r="B274" s="4">
        <v>33.659999999999997</v>
      </c>
      <c r="C274" s="2">
        <f ca="1">IFERROR(__xludf.DUMMYFUNCTION("""COMPUTED_VALUE"""),56.39)</f>
        <v>56.39</v>
      </c>
      <c r="D274" s="2">
        <f ca="1">IFERROR(__xludf.DUMMYFUNCTION("""COMPUTED_VALUE"""),378.77)</f>
        <v>378.77</v>
      </c>
      <c r="F274" s="37">
        <f t="shared" si="22"/>
        <v>1.7683661768958525E-2</v>
      </c>
      <c r="G274" s="37">
        <f t="shared" ca="1" si="23"/>
        <v>3.4458175977833953E-2</v>
      </c>
      <c r="H274" s="37">
        <f t="shared" ca="1" si="24"/>
        <v>2.1123227707725133E-4</v>
      </c>
      <c r="J274" s="38">
        <f t="shared" si="25"/>
        <v>1.7637233197529953E-2</v>
      </c>
      <c r="K274" s="38">
        <f t="shared" ca="1" si="26"/>
        <v>3.4411747406405381E-2</v>
      </c>
      <c r="L274" s="38">
        <f t="shared" ca="1" si="27"/>
        <v>1.6480370564867991E-4</v>
      </c>
    </row>
    <row r="275" spans="1:12" ht="13.8" thickBot="1" x14ac:dyDescent="0.3">
      <c r="A275" s="12">
        <v>44209.666666666664</v>
      </c>
      <c r="B275" s="4">
        <v>33.46</v>
      </c>
      <c r="C275" s="2">
        <f ca="1">IFERROR(__xludf.DUMMYFUNCTION("""COMPUTED_VALUE"""),54.32)</f>
        <v>54.32</v>
      </c>
      <c r="D275" s="2">
        <f ca="1">IFERROR(__xludf.DUMMYFUNCTION("""COMPUTED_VALUE"""),379.79)</f>
        <v>379.79</v>
      </c>
      <c r="F275" s="37">
        <f t="shared" si="22"/>
        <v>-5.9594932039819222E-3</v>
      </c>
      <c r="G275" s="37">
        <f t="shared" ca="1" si="23"/>
        <v>-3.7399354568650053E-2</v>
      </c>
      <c r="H275" s="37">
        <f t="shared" ca="1" si="24"/>
        <v>2.6893076744144537E-3</v>
      </c>
      <c r="J275" s="38">
        <f t="shared" si="25"/>
        <v>-6.0059217754104936E-3</v>
      </c>
      <c r="K275" s="38">
        <f t="shared" ca="1" si="26"/>
        <v>-3.7445783140078626E-2</v>
      </c>
      <c r="L275" s="38">
        <f t="shared" ca="1" si="27"/>
        <v>2.6428791029858823E-3</v>
      </c>
    </row>
    <row r="276" spans="1:12" ht="13.8" thickBot="1" x14ac:dyDescent="0.3">
      <c r="A276" s="12">
        <v>44210.666666666664</v>
      </c>
      <c r="B276" s="4">
        <v>33.99</v>
      </c>
      <c r="C276" s="2">
        <f ca="1">IFERROR(__xludf.DUMMYFUNCTION("""COMPUTED_VALUE"""),52.83)</f>
        <v>52.83</v>
      </c>
      <c r="D276" s="2">
        <f ca="1">IFERROR(__xludf.DUMMYFUNCTION("""COMPUTED_VALUE"""),378.46)</f>
        <v>378.46</v>
      </c>
      <c r="F276" s="37">
        <f t="shared" si="22"/>
        <v>1.5715668149346808E-2</v>
      </c>
      <c r="G276" s="37">
        <f t="shared" ca="1" si="23"/>
        <v>-2.7813272074216237E-2</v>
      </c>
      <c r="H276" s="37">
        <f t="shared" ca="1" si="24"/>
        <v>-3.5080814084672996E-3</v>
      </c>
      <c r="J276" s="38">
        <f t="shared" si="25"/>
        <v>1.5669239577918236E-2</v>
      </c>
      <c r="K276" s="38">
        <f t="shared" ca="1" si="26"/>
        <v>-2.785970064564481E-2</v>
      </c>
      <c r="L276" s="38">
        <f t="shared" ca="1" si="27"/>
        <v>-3.554509979895871E-3</v>
      </c>
    </row>
    <row r="277" spans="1:12" ht="13.8" thickBot="1" x14ac:dyDescent="0.3">
      <c r="A277" s="12">
        <v>44211.666666666664</v>
      </c>
      <c r="B277" s="4">
        <v>33.01</v>
      </c>
      <c r="C277" s="2">
        <f ca="1">IFERROR(__xludf.DUMMYFUNCTION("""COMPUTED_VALUE"""),52.8)</f>
        <v>52.8</v>
      </c>
      <c r="D277" s="2">
        <f ca="1">IFERROR(__xludf.DUMMYFUNCTION("""COMPUTED_VALUE"""),375.7)</f>
        <v>375.7</v>
      </c>
      <c r="F277" s="37">
        <f t="shared" si="22"/>
        <v>-2.9255817842923099E-2</v>
      </c>
      <c r="G277" s="37">
        <f t="shared" ca="1" si="23"/>
        <v>-5.6802046400867439E-4</v>
      </c>
      <c r="H277" s="37">
        <f t="shared" ca="1" si="24"/>
        <v>-7.3194343959810748E-3</v>
      </c>
      <c r="J277" s="38">
        <f t="shared" si="25"/>
        <v>-2.9302246414351672E-2</v>
      </c>
      <c r="K277" s="38">
        <f t="shared" ca="1" si="26"/>
        <v>-6.1444903543724579E-4</v>
      </c>
      <c r="L277" s="38">
        <f t="shared" ca="1" si="27"/>
        <v>-7.3658629674096462E-3</v>
      </c>
    </row>
    <row r="278" spans="1:12" ht="13.8" thickBot="1" x14ac:dyDescent="0.3">
      <c r="A278" s="12">
        <v>44215.666666666664</v>
      </c>
      <c r="B278" s="4">
        <v>32.770000000000003</v>
      </c>
      <c r="C278" s="2">
        <f ca="1">IFERROR(__xludf.DUMMYFUNCTION("""COMPUTED_VALUE"""),52.13)</f>
        <v>52.13</v>
      </c>
      <c r="D278" s="2">
        <f ca="1">IFERROR(__xludf.DUMMYFUNCTION("""COMPUTED_VALUE"""),378.65)</f>
        <v>378.65</v>
      </c>
      <c r="F278" s="37">
        <f t="shared" si="22"/>
        <v>-7.29708315437823E-3</v>
      </c>
      <c r="G278" s="37">
        <f t="shared" ca="1" si="23"/>
        <v>-1.2770591932201128E-2</v>
      </c>
      <c r="H278" s="37">
        <f t="shared" ca="1" si="24"/>
        <v>7.8213429799083804E-3</v>
      </c>
      <c r="J278" s="38">
        <f t="shared" si="25"/>
        <v>-7.3435117258068014E-3</v>
      </c>
      <c r="K278" s="38">
        <f t="shared" ca="1" si="26"/>
        <v>-1.2817020503629701E-2</v>
      </c>
      <c r="L278" s="38">
        <f t="shared" ca="1" si="27"/>
        <v>7.774914408479809E-3</v>
      </c>
    </row>
    <row r="279" spans="1:12" ht="13.8" thickBot="1" x14ac:dyDescent="0.3">
      <c r="A279" s="12">
        <v>44216.666666666664</v>
      </c>
      <c r="B279" s="4">
        <v>32.340000000000003</v>
      </c>
      <c r="C279" s="2">
        <f ca="1">IFERROR(__xludf.DUMMYFUNCTION("""COMPUTED_VALUE"""),51.21)</f>
        <v>51.21</v>
      </c>
      <c r="D279" s="2">
        <f ca="1">IFERROR(__xludf.DUMMYFUNCTION("""COMPUTED_VALUE"""),383.89)</f>
        <v>383.89</v>
      </c>
      <c r="F279" s="37">
        <f t="shared" si="22"/>
        <v>-1.3208608561762427E-2</v>
      </c>
      <c r="G279" s="37">
        <f t="shared" ca="1" si="23"/>
        <v>-1.7805773305555647E-2</v>
      </c>
      <c r="H279" s="37">
        <f t="shared" ca="1" si="24"/>
        <v>1.374375765753633E-2</v>
      </c>
      <c r="J279" s="38">
        <f t="shared" si="25"/>
        <v>-1.3255037133190999E-2</v>
      </c>
      <c r="K279" s="38">
        <f t="shared" ca="1" si="26"/>
        <v>-1.7852201876984219E-2</v>
      </c>
      <c r="L279" s="38">
        <f t="shared" ca="1" si="27"/>
        <v>1.3697329086107757E-2</v>
      </c>
    </row>
    <row r="280" spans="1:12" ht="13.8" thickBot="1" x14ac:dyDescent="0.3">
      <c r="A280" s="12">
        <v>44217.666666666664</v>
      </c>
      <c r="B280" s="4">
        <v>31.77</v>
      </c>
      <c r="C280" s="2">
        <f ca="1">IFERROR(__xludf.DUMMYFUNCTION("""COMPUTED_VALUE"""),49.81)</f>
        <v>49.81</v>
      </c>
      <c r="D280" s="2">
        <f ca="1">IFERROR(__xludf.DUMMYFUNCTION("""COMPUTED_VALUE"""),384.24)</f>
        <v>384.24</v>
      </c>
      <c r="F280" s="37">
        <f t="shared" si="22"/>
        <v>-1.7782405867536148E-2</v>
      </c>
      <c r="G280" s="37">
        <f t="shared" ca="1" si="23"/>
        <v>-2.7719058389266905E-2</v>
      </c>
      <c r="H280" s="37">
        <f t="shared" ca="1" si="24"/>
        <v>9.1130413920090865E-4</v>
      </c>
      <c r="J280" s="38">
        <f t="shared" si="25"/>
        <v>-1.782883443896472E-2</v>
      </c>
      <c r="K280" s="38">
        <f t="shared" ca="1" si="26"/>
        <v>-2.7765486960695477E-2</v>
      </c>
      <c r="L280" s="38">
        <f t="shared" ca="1" si="27"/>
        <v>8.6487556777233726E-4</v>
      </c>
    </row>
    <row r="281" spans="1:12" ht="13.8" thickBot="1" x14ac:dyDescent="0.3">
      <c r="A281" s="12">
        <v>44218.666666666664</v>
      </c>
      <c r="B281" s="4">
        <v>31.55</v>
      </c>
      <c r="C281" s="2">
        <f ca="1">IFERROR(__xludf.DUMMYFUNCTION("""COMPUTED_VALUE"""),48.95)</f>
        <v>48.95</v>
      </c>
      <c r="D281" s="2">
        <f ca="1">IFERROR(__xludf.DUMMYFUNCTION("""COMPUTED_VALUE"""),382.88)</f>
        <v>382.88</v>
      </c>
      <c r="F281" s="37">
        <f t="shared" si="22"/>
        <v>-6.9488592942025798E-3</v>
      </c>
      <c r="G281" s="37">
        <f t="shared" ca="1" si="23"/>
        <v>-1.7416398108672671E-2</v>
      </c>
      <c r="H281" s="37">
        <f t="shared" ca="1" si="24"/>
        <v>-3.5457331965057324E-3</v>
      </c>
      <c r="J281" s="38">
        <f t="shared" si="25"/>
        <v>-6.9952878656311512E-3</v>
      </c>
      <c r="K281" s="38">
        <f t="shared" ca="1" si="26"/>
        <v>-1.7462826680101243E-2</v>
      </c>
      <c r="L281" s="38">
        <f t="shared" ca="1" si="27"/>
        <v>-3.5921617679343038E-3</v>
      </c>
    </row>
    <row r="282" spans="1:12" ht="13.8" thickBot="1" x14ac:dyDescent="0.3">
      <c r="A282" s="12">
        <v>44221.666666666664</v>
      </c>
      <c r="B282" s="4">
        <v>31.16</v>
      </c>
      <c r="C282" s="2">
        <f ca="1">IFERROR(__xludf.DUMMYFUNCTION("""COMPUTED_VALUE"""),49.73)</f>
        <v>49.73</v>
      </c>
      <c r="D282" s="2">
        <f ca="1">IFERROR(__xludf.DUMMYFUNCTION("""COMPUTED_VALUE"""),384.39)</f>
        <v>384.39</v>
      </c>
      <c r="F282" s="37">
        <f t="shared" si="22"/>
        <v>-1.2438367984674653E-2</v>
      </c>
      <c r="G282" s="37">
        <f t="shared" ca="1" si="23"/>
        <v>1.5809003750127591E-2</v>
      </c>
      <c r="H282" s="37">
        <f t="shared" ca="1" si="24"/>
        <v>3.9360380295312214E-3</v>
      </c>
      <c r="J282" s="38">
        <f t="shared" si="25"/>
        <v>-1.2484796556103225E-2</v>
      </c>
      <c r="K282" s="38">
        <f t="shared" ca="1" si="26"/>
        <v>1.5762575178699018E-2</v>
      </c>
      <c r="L282" s="38">
        <f t="shared" ca="1" si="27"/>
        <v>3.88960945810265E-3</v>
      </c>
    </row>
    <row r="283" spans="1:12" ht="13.8" thickBot="1" x14ac:dyDescent="0.3">
      <c r="A283" s="12">
        <v>44222.666666666664</v>
      </c>
      <c r="B283" s="4">
        <v>30.94</v>
      </c>
      <c r="C283" s="2">
        <f ca="1">IFERROR(__xludf.DUMMYFUNCTION("""COMPUTED_VALUE"""),49.33)</f>
        <v>49.33</v>
      </c>
      <c r="D283" s="2">
        <f ca="1">IFERROR(__xludf.DUMMYFUNCTION("""COMPUTED_VALUE"""),383.79)</f>
        <v>383.79</v>
      </c>
      <c r="F283" s="37">
        <f t="shared" si="22"/>
        <v>-7.0853758576273759E-3</v>
      </c>
      <c r="G283" s="37">
        <f t="shared" ca="1" si="23"/>
        <v>-8.0759574810002378E-3</v>
      </c>
      <c r="H283" s="37">
        <f t="shared" ca="1" si="24"/>
        <v>-1.5621341925411841E-3</v>
      </c>
      <c r="J283" s="38">
        <f t="shared" si="25"/>
        <v>-7.1318044290559473E-3</v>
      </c>
      <c r="K283" s="38">
        <f t="shared" ca="1" si="26"/>
        <v>-8.1223860524288101E-3</v>
      </c>
      <c r="L283" s="38">
        <f t="shared" ca="1" si="27"/>
        <v>-1.6085627639697555E-3</v>
      </c>
    </row>
    <row r="284" spans="1:12" ht="13.8" thickBot="1" x14ac:dyDescent="0.3">
      <c r="A284" s="12">
        <v>44223.666666666664</v>
      </c>
      <c r="B284" s="4">
        <v>29.83</v>
      </c>
      <c r="C284" s="2">
        <f ca="1">IFERROR(__xludf.DUMMYFUNCTION("""COMPUTED_VALUE"""),49.75)</f>
        <v>49.75</v>
      </c>
      <c r="D284" s="2">
        <f ca="1">IFERROR(__xludf.DUMMYFUNCTION("""COMPUTED_VALUE"""),374.41)</f>
        <v>374.41</v>
      </c>
      <c r="F284" s="37">
        <f t="shared" si="22"/>
        <v>-3.6535246618263011E-2</v>
      </c>
      <c r="G284" s="37">
        <f t="shared" ca="1" si="23"/>
        <v>8.4780483589550152E-3</v>
      </c>
      <c r="H284" s="37">
        <f t="shared" ca="1" si="24"/>
        <v>-2.474407434859666E-2</v>
      </c>
      <c r="J284" s="38">
        <f t="shared" si="25"/>
        <v>-3.6581675189691583E-2</v>
      </c>
      <c r="K284" s="38">
        <f t="shared" ca="1" si="26"/>
        <v>8.4316197875264429E-3</v>
      </c>
      <c r="L284" s="38">
        <f t="shared" ca="1" si="27"/>
        <v>-2.4790502920025232E-2</v>
      </c>
    </row>
    <row r="285" spans="1:12" ht="13.8" thickBot="1" x14ac:dyDescent="0.3">
      <c r="A285" s="12">
        <v>44224.666666666664</v>
      </c>
      <c r="B285" s="4">
        <v>30.32</v>
      </c>
      <c r="C285" s="2">
        <f ca="1">IFERROR(__xludf.DUMMYFUNCTION("""COMPUTED_VALUE"""),48.5)</f>
        <v>48.5</v>
      </c>
      <c r="D285" s="2">
        <f ca="1">IFERROR(__xludf.DUMMYFUNCTION("""COMPUTED_VALUE"""),377.63)</f>
        <v>377.63</v>
      </c>
      <c r="F285" s="37">
        <f t="shared" si="22"/>
        <v>1.6292962247513917E-2</v>
      </c>
      <c r="G285" s="37">
        <f t="shared" ca="1" si="23"/>
        <v>-2.5446665661164262E-2</v>
      </c>
      <c r="H285" s="37">
        <f t="shared" ca="1" si="24"/>
        <v>8.5634266195144179E-3</v>
      </c>
      <c r="J285" s="38">
        <f t="shared" si="25"/>
        <v>1.6246533676085344E-2</v>
      </c>
      <c r="K285" s="38">
        <f t="shared" ca="1" si="26"/>
        <v>-2.5493094232592835E-2</v>
      </c>
      <c r="L285" s="38">
        <f t="shared" ca="1" si="27"/>
        <v>8.5169980480858457E-3</v>
      </c>
    </row>
    <row r="286" spans="1:12" ht="13.8" thickBot="1" x14ac:dyDescent="0.3">
      <c r="A286" s="12">
        <v>44225.666666666664</v>
      </c>
      <c r="B286" s="4">
        <v>29.65</v>
      </c>
      <c r="C286" s="2">
        <f ca="1">IFERROR(__xludf.DUMMYFUNCTION("""COMPUTED_VALUE"""),47.89)</f>
        <v>47.89</v>
      </c>
      <c r="D286" s="2">
        <f ca="1">IFERROR(__xludf.DUMMYFUNCTION("""COMPUTED_VALUE"""),370.07)</f>
        <v>370.07</v>
      </c>
      <c r="F286" s="37">
        <f t="shared" si="22"/>
        <v>-2.2345435330436553E-2</v>
      </c>
      <c r="G286" s="37">
        <f t="shared" ca="1" si="23"/>
        <v>-1.2657083588919517E-2</v>
      </c>
      <c r="H286" s="37">
        <f t="shared" ca="1" si="24"/>
        <v>-2.0222703334529711E-2</v>
      </c>
      <c r="J286" s="38">
        <f t="shared" si="25"/>
        <v>-2.2391863901865126E-2</v>
      </c>
      <c r="K286" s="38">
        <f t="shared" ca="1" si="26"/>
        <v>-1.2703512160348089E-2</v>
      </c>
      <c r="L286" s="38">
        <f t="shared" ca="1" si="27"/>
        <v>-2.0269131905958283E-2</v>
      </c>
    </row>
    <row r="287" spans="1:12" ht="13.8" thickBot="1" x14ac:dyDescent="0.3">
      <c r="A287" s="12">
        <v>44228.666666666664</v>
      </c>
      <c r="B287" s="4">
        <v>29.96</v>
      </c>
      <c r="C287" s="2">
        <f ca="1">IFERROR(__xludf.DUMMYFUNCTION("""COMPUTED_VALUE"""),49.76)</f>
        <v>49.76</v>
      </c>
      <c r="D287" s="2">
        <f ca="1">IFERROR(__xludf.DUMMYFUNCTION("""COMPUTED_VALUE"""),376.23)</f>
        <v>376.23</v>
      </c>
      <c r="F287" s="37">
        <f t="shared" si="22"/>
        <v>1.0401033205284353E-2</v>
      </c>
      <c r="G287" s="37">
        <f t="shared" ca="1" si="23"/>
        <v>3.8304734076405979E-2</v>
      </c>
      <c r="H287" s="37">
        <f t="shared" ca="1" si="24"/>
        <v>1.6508481570626607E-2</v>
      </c>
      <c r="J287" s="38">
        <f t="shared" si="25"/>
        <v>1.035460463385578E-2</v>
      </c>
      <c r="K287" s="38">
        <f t="shared" ca="1" si="26"/>
        <v>3.8258305504977407E-2</v>
      </c>
      <c r="L287" s="38">
        <f t="shared" ca="1" si="27"/>
        <v>1.6462052999198035E-2</v>
      </c>
    </row>
    <row r="288" spans="1:12" ht="13.8" thickBot="1" x14ac:dyDescent="0.3">
      <c r="A288" s="12">
        <v>44229.666666666664</v>
      </c>
      <c r="B288" s="4">
        <v>31.03</v>
      </c>
      <c r="C288" s="2">
        <f ca="1">IFERROR(__xludf.DUMMYFUNCTION("""COMPUTED_VALUE"""),49.89)</f>
        <v>49.89</v>
      </c>
      <c r="D288" s="2">
        <f ca="1">IFERROR(__xludf.DUMMYFUNCTION("""COMPUTED_VALUE"""),381.55)</f>
        <v>381.55</v>
      </c>
      <c r="F288" s="37">
        <f t="shared" si="22"/>
        <v>3.5091319811270193E-2</v>
      </c>
      <c r="G288" s="37">
        <f t="shared" ca="1" si="23"/>
        <v>2.6091334420219555E-3</v>
      </c>
      <c r="H288" s="37">
        <f t="shared" ca="1" si="24"/>
        <v>1.4041245231574047E-2</v>
      </c>
      <c r="J288" s="38">
        <f t="shared" si="25"/>
        <v>3.504489123984162E-2</v>
      </c>
      <c r="K288" s="38">
        <f t="shared" ca="1" si="26"/>
        <v>2.5627048705933841E-3</v>
      </c>
      <c r="L288" s="38">
        <f t="shared" ca="1" si="27"/>
        <v>1.3994816660145475E-2</v>
      </c>
    </row>
    <row r="289" spans="1:12" ht="13.8" thickBot="1" x14ac:dyDescent="0.3">
      <c r="A289" s="12">
        <v>44230.666666666664</v>
      </c>
      <c r="B289" s="4">
        <v>31.58</v>
      </c>
      <c r="C289" s="2">
        <f ca="1">IFERROR(__xludf.DUMMYFUNCTION("""COMPUTED_VALUE"""),51.72)</f>
        <v>51.72</v>
      </c>
      <c r="D289" s="2">
        <f ca="1">IFERROR(__xludf.DUMMYFUNCTION("""COMPUTED_VALUE"""),381.85)</f>
        <v>381.85</v>
      </c>
      <c r="F289" s="37">
        <f t="shared" si="22"/>
        <v>1.7569530367207077E-2</v>
      </c>
      <c r="G289" s="37">
        <f t="shared" ca="1" si="23"/>
        <v>3.6023972030710595E-2</v>
      </c>
      <c r="H289" s="37">
        <f t="shared" ca="1" si="24"/>
        <v>7.8595759875093988E-4</v>
      </c>
      <c r="J289" s="38">
        <f t="shared" si="25"/>
        <v>1.7523101795778505E-2</v>
      </c>
      <c r="K289" s="38">
        <f t="shared" ca="1" si="26"/>
        <v>3.5977543459282023E-2</v>
      </c>
      <c r="L289" s="38">
        <f t="shared" ca="1" si="27"/>
        <v>7.3952902732236849E-4</v>
      </c>
    </row>
    <row r="290" spans="1:12" ht="13.8" thickBot="1" x14ac:dyDescent="0.3">
      <c r="A290" s="12">
        <v>44231.666666666664</v>
      </c>
      <c r="B290" s="4">
        <v>32.5</v>
      </c>
      <c r="C290" s="2">
        <f ca="1">IFERROR(__xludf.DUMMYFUNCTION("""COMPUTED_VALUE"""),52.31)</f>
        <v>52.31</v>
      </c>
      <c r="D290" s="2">
        <f ca="1">IFERROR(__xludf.DUMMYFUNCTION("""COMPUTED_VALUE"""),386.19)</f>
        <v>386.19</v>
      </c>
      <c r="F290" s="37">
        <f t="shared" si="22"/>
        <v>2.8716080508195845E-2</v>
      </c>
      <c r="G290" s="37">
        <f t="shared" ca="1" si="23"/>
        <v>1.134300347886308E-2</v>
      </c>
      <c r="H290" s="37">
        <f t="shared" ca="1" si="24"/>
        <v>1.130161500525949E-2</v>
      </c>
      <c r="J290" s="38">
        <f t="shared" si="25"/>
        <v>2.8669651936767272E-2</v>
      </c>
      <c r="K290" s="38">
        <f t="shared" ca="1" si="26"/>
        <v>1.1296574907434508E-2</v>
      </c>
      <c r="L290" s="38">
        <f t="shared" ca="1" si="27"/>
        <v>1.1255186433830918E-2</v>
      </c>
    </row>
    <row r="291" spans="1:12" ht="13.8" thickBot="1" x14ac:dyDescent="0.3">
      <c r="A291" s="12">
        <v>44232.666666666664</v>
      </c>
      <c r="B291" s="4">
        <v>32.369999999999997</v>
      </c>
      <c r="C291" s="2">
        <f ca="1">IFERROR(__xludf.DUMMYFUNCTION("""COMPUTED_VALUE"""),52.4)</f>
        <v>52.4</v>
      </c>
      <c r="D291" s="2">
        <f ca="1">IFERROR(__xludf.DUMMYFUNCTION("""COMPUTED_VALUE"""),387.71)</f>
        <v>387.71</v>
      </c>
      <c r="F291" s="37">
        <f t="shared" si="22"/>
        <v>-4.0080213975389337E-3</v>
      </c>
      <c r="G291" s="37">
        <f t="shared" ca="1" si="23"/>
        <v>1.7190339444767295E-3</v>
      </c>
      <c r="H291" s="37">
        <f t="shared" ca="1" si="24"/>
        <v>3.9281611436183536E-3</v>
      </c>
      <c r="J291" s="38">
        <f t="shared" si="25"/>
        <v>-4.0544499689675051E-3</v>
      </c>
      <c r="K291" s="38">
        <f t="shared" ca="1" si="26"/>
        <v>1.6726053730481581E-3</v>
      </c>
      <c r="L291" s="38">
        <f t="shared" ca="1" si="27"/>
        <v>3.8817325721897823E-3</v>
      </c>
    </row>
    <row r="292" spans="1:12" ht="13.8" thickBot="1" x14ac:dyDescent="0.3">
      <c r="A292" s="12">
        <v>44235.666666666664</v>
      </c>
      <c r="B292" s="4">
        <v>33.090000000000003</v>
      </c>
      <c r="C292" s="2">
        <f ca="1">IFERROR(__xludf.DUMMYFUNCTION("""COMPUTED_VALUE"""),52.13)</f>
        <v>52.13</v>
      </c>
      <c r="D292" s="2">
        <f ca="1">IFERROR(__xludf.DUMMYFUNCTION("""COMPUTED_VALUE"""),390.51)</f>
        <v>390.51</v>
      </c>
      <c r="F292" s="37">
        <f t="shared" si="22"/>
        <v>2.1999053995367997E-2</v>
      </c>
      <c r="G292" s="37">
        <f t="shared" ca="1" si="23"/>
        <v>-5.1659925469818247E-3</v>
      </c>
      <c r="H292" s="37">
        <f t="shared" ca="1" si="24"/>
        <v>7.1959396632075559E-3</v>
      </c>
      <c r="J292" s="38">
        <f t="shared" si="25"/>
        <v>2.1952625423939425E-2</v>
      </c>
      <c r="K292" s="38">
        <f t="shared" ca="1" si="26"/>
        <v>-5.2124211184103961E-3</v>
      </c>
      <c r="L292" s="38">
        <f t="shared" ca="1" si="27"/>
        <v>7.1495110917789845E-3</v>
      </c>
    </row>
    <row r="293" spans="1:12" ht="13.8" thickBot="1" x14ac:dyDescent="0.3">
      <c r="A293" s="12">
        <v>44236.666666666664</v>
      </c>
      <c r="B293" s="4">
        <v>32.950000000000003</v>
      </c>
      <c r="C293" s="2">
        <f ca="1">IFERROR(__xludf.DUMMYFUNCTION("""COMPUTED_VALUE"""),52.49)</f>
        <v>52.49</v>
      </c>
      <c r="D293" s="2">
        <f ca="1">IFERROR(__xludf.DUMMYFUNCTION("""COMPUTED_VALUE"""),390.25)</f>
        <v>390.25</v>
      </c>
      <c r="F293" s="37">
        <f t="shared" si="22"/>
        <v>-4.239860985004589E-3</v>
      </c>
      <c r="G293" s="37">
        <f t="shared" ca="1" si="23"/>
        <v>6.8820764841938152E-3</v>
      </c>
      <c r="H293" s="37">
        <f t="shared" ca="1" si="24"/>
        <v>-6.6601775093726927E-4</v>
      </c>
      <c r="J293" s="38">
        <f t="shared" si="25"/>
        <v>-4.2862895564331604E-3</v>
      </c>
      <c r="K293" s="38">
        <f t="shared" ca="1" si="26"/>
        <v>6.8356479127652438E-3</v>
      </c>
      <c r="L293" s="38">
        <f t="shared" ca="1" si="27"/>
        <v>-7.1244632236584066E-4</v>
      </c>
    </row>
    <row r="294" spans="1:12" ht="13.8" thickBot="1" x14ac:dyDescent="0.3">
      <c r="A294" s="12">
        <v>44237.666666666664</v>
      </c>
      <c r="B294" s="4">
        <v>32.979999999999997</v>
      </c>
      <c r="C294" s="2">
        <f ca="1">IFERROR(__xludf.DUMMYFUNCTION("""COMPUTED_VALUE"""),52.05)</f>
        <v>52.05</v>
      </c>
      <c r="D294" s="2">
        <f ca="1">IFERROR(__xludf.DUMMYFUNCTION("""COMPUTED_VALUE"""),390.08)</f>
        <v>390.08</v>
      </c>
      <c r="F294" s="37">
        <f t="shared" si="22"/>
        <v>9.1005618293652825E-4</v>
      </c>
      <c r="G294" s="37">
        <f t="shared" ca="1" si="23"/>
        <v>-8.4178802032306259E-3</v>
      </c>
      <c r="H294" s="37">
        <f t="shared" ca="1" si="24"/>
        <v>-4.357131026347282E-4</v>
      </c>
      <c r="J294" s="38">
        <f t="shared" si="25"/>
        <v>8.6362761150795685E-4</v>
      </c>
      <c r="K294" s="38">
        <f t="shared" ca="1" si="26"/>
        <v>-8.4643087746591981E-3</v>
      </c>
      <c r="L294" s="38">
        <f t="shared" ca="1" si="27"/>
        <v>-4.8214167406329959E-4</v>
      </c>
    </row>
    <row r="295" spans="1:12" ht="13.8" thickBot="1" x14ac:dyDescent="0.3">
      <c r="A295" s="12">
        <v>44238.666666666664</v>
      </c>
      <c r="B295" s="4">
        <v>32.880000000000003</v>
      </c>
      <c r="C295" s="2">
        <f ca="1">IFERROR(__xludf.DUMMYFUNCTION("""COMPUTED_VALUE"""),52.58)</f>
        <v>52.58</v>
      </c>
      <c r="D295" s="2">
        <f ca="1">IFERROR(__xludf.DUMMYFUNCTION("""COMPUTED_VALUE"""),390.71)</f>
        <v>390.71</v>
      </c>
      <c r="F295" s="37">
        <f t="shared" si="22"/>
        <v>-3.0367469434735548E-3</v>
      </c>
      <c r="G295" s="37">
        <f t="shared" ca="1" si="23"/>
        <v>1.0131024240757366E-2</v>
      </c>
      <c r="H295" s="37">
        <f t="shared" ca="1" si="24"/>
        <v>1.6137505263130205E-3</v>
      </c>
      <c r="J295" s="38">
        <f t="shared" si="25"/>
        <v>-3.0831755149021262E-3</v>
      </c>
      <c r="K295" s="38">
        <f t="shared" ca="1" si="26"/>
        <v>1.0084595669328794E-2</v>
      </c>
      <c r="L295" s="38">
        <f t="shared" ca="1" si="27"/>
        <v>1.5673219548844491E-3</v>
      </c>
    </row>
    <row r="296" spans="1:12" ht="13.8" thickBot="1" x14ac:dyDescent="0.3">
      <c r="A296" s="12">
        <v>44239.666666666664</v>
      </c>
      <c r="B296" s="4">
        <v>33.369999999999997</v>
      </c>
      <c r="C296" s="2">
        <f ca="1">IFERROR(__xludf.DUMMYFUNCTION("""COMPUTED_VALUE"""),52.91)</f>
        <v>52.91</v>
      </c>
      <c r="D296" s="2">
        <f ca="1">IFERROR(__xludf.DUMMYFUNCTION("""COMPUTED_VALUE"""),392.64)</f>
        <v>392.64</v>
      </c>
      <c r="F296" s="37">
        <f t="shared" si="22"/>
        <v>1.4792722575303251E-2</v>
      </c>
      <c r="G296" s="37">
        <f t="shared" ca="1" si="23"/>
        <v>6.2565376143051375E-3</v>
      </c>
      <c r="H296" s="37">
        <f t="shared" ca="1" si="24"/>
        <v>4.9275647033267499E-3</v>
      </c>
      <c r="J296" s="38">
        <f t="shared" si="25"/>
        <v>1.4746294003874678E-2</v>
      </c>
      <c r="K296" s="38">
        <f t="shared" ca="1" si="26"/>
        <v>6.2101090428765661E-3</v>
      </c>
      <c r="L296" s="38">
        <f t="shared" ca="1" si="27"/>
        <v>4.8811361318981785E-3</v>
      </c>
    </row>
    <row r="297" spans="1:12" ht="13.8" thickBot="1" x14ac:dyDescent="0.3">
      <c r="A297" s="12">
        <v>44243.666666666664</v>
      </c>
      <c r="B297" s="4">
        <v>34.270000000000003</v>
      </c>
      <c r="C297" s="2">
        <f ca="1">IFERROR(__xludf.DUMMYFUNCTION("""COMPUTED_VALUE"""),52.74)</f>
        <v>52.74</v>
      </c>
      <c r="D297" s="2">
        <f ca="1">IFERROR(__xludf.DUMMYFUNCTION("""COMPUTED_VALUE"""),392.3)</f>
        <v>392.3</v>
      </c>
      <c r="F297" s="37">
        <f t="shared" si="22"/>
        <v>2.6613043123234977E-2</v>
      </c>
      <c r="G297" s="37">
        <f t="shared" ca="1" si="23"/>
        <v>-3.2181759908996204E-3</v>
      </c>
      <c r="H297" s="37">
        <f t="shared" ca="1" si="24"/>
        <v>-8.6630830703970929E-4</v>
      </c>
      <c r="J297" s="38">
        <f t="shared" si="25"/>
        <v>2.6566614551806405E-2</v>
      </c>
      <c r="K297" s="38">
        <f t="shared" ca="1" si="26"/>
        <v>-3.2646045623281918E-3</v>
      </c>
      <c r="L297" s="38">
        <f t="shared" ca="1" si="27"/>
        <v>-9.1273687846828069E-4</v>
      </c>
    </row>
    <row r="298" spans="1:12" ht="13.8" thickBot="1" x14ac:dyDescent="0.3">
      <c r="A298" s="12">
        <v>44244.666666666664</v>
      </c>
      <c r="B298" s="4">
        <v>34.409999999999997</v>
      </c>
      <c r="C298" s="2">
        <f ca="1">IFERROR(__xludf.DUMMYFUNCTION("""COMPUTED_VALUE"""),53.54)</f>
        <v>53.54</v>
      </c>
      <c r="D298" s="2">
        <f ca="1">IFERROR(__xludf.DUMMYFUNCTION("""COMPUTED_VALUE"""),392.39)</f>
        <v>392.39</v>
      </c>
      <c r="F298" s="37">
        <f t="shared" si="22"/>
        <v>4.0768839228712654E-3</v>
      </c>
      <c r="G298" s="37">
        <f t="shared" ca="1" si="23"/>
        <v>1.5054857167065871E-2</v>
      </c>
      <c r="H298" s="37">
        <f t="shared" ca="1" si="24"/>
        <v>2.2938995117712459E-4</v>
      </c>
      <c r="J298" s="38">
        <f t="shared" si="25"/>
        <v>4.030455351442694E-3</v>
      </c>
      <c r="K298" s="38">
        <f t="shared" ca="1" si="26"/>
        <v>1.5008428595637299E-2</v>
      </c>
      <c r="L298" s="38">
        <f t="shared" ca="1" si="27"/>
        <v>1.8296137974855317E-4</v>
      </c>
    </row>
    <row r="299" spans="1:12" ht="13.8" thickBot="1" x14ac:dyDescent="0.3">
      <c r="A299" s="12">
        <v>44245.666666666664</v>
      </c>
      <c r="B299" s="4">
        <v>34.19</v>
      </c>
      <c r="C299" s="2">
        <f ca="1">IFERROR(__xludf.DUMMYFUNCTION("""COMPUTED_VALUE"""),52.55)</f>
        <v>52.55</v>
      </c>
      <c r="D299" s="2">
        <f ca="1">IFERROR(__xludf.DUMMYFUNCTION("""COMPUTED_VALUE"""),390.72)</f>
        <v>390.72</v>
      </c>
      <c r="F299" s="37">
        <f t="shared" si="22"/>
        <v>-6.4140161581791007E-3</v>
      </c>
      <c r="G299" s="37">
        <f t="shared" ca="1" si="23"/>
        <v>-1.8663940769246379E-2</v>
      </c>
      <c r="H299" s="37">
        <f t="shared" ca="1" si="24"/>
        <v>-4.2650522443441596E-3</v>
      </c>
      <c r="J299" s="38">
        <f t="shared" si="25"/>
        <v>-6.4604447296076721E-3</v>
      </c>
      <c r="K299" s="38">
        <f t="shared" ca="1" si="26"/>
        <v>-1.8710369340674951E-2</v>
      </c>
      <c r="L299" s="38">
        <f t="shared" ca="1" si="27"/>
        <v>-4.311480815772731E-3</v>
      </c>
    </row>
    <row r="300" spans="1:12" ht="13.8" thickBot="1" x14ac:dyDescent="0.3">
      <c r="A300" s="12">
        <v>44246.666666666664</v>
      </c>
      <c r="B300" s="4">
        <v>34.54</v>
      </c>
      <c r="C300" s="2">
        <f ca="1">IFERROR(__xludf.DUMMYFUNCTION("""COMPUTED_VALUE"""),53.17)</f>
        <v>53.17</v>
      </c>
      <c r="D300" s="2">
        <f ca="1">IFERROR(__xludf.DUMMYFUNCTION("""COMPUTED_VALUE"""),390.03)</f>
        <v>390.03</v>
      </c>
      <c r="F300" s="37">
        <f t="shared" si="22"/>
        <v>1.0184869067322584E-2</v>
      </c>
      <c r="G300" s="37">
        <f t="shared" ca="1" si="23"/>
        <v>1.1729230193287093E-2</v>
      </c>
      <c r="H300" s="37">
        <f t="shared" ca="1" si="24"/>
        <v>-1.7675316801529283E-3</v>
      </c>
      <c r="J300" s="38">
        <f t="shared" si="25"/>
        <v>1.0138440495894012E-2</v>
      </c>
      <c r="K300" s="38">
        <f t="shared" ca="1" si="26"/>
        <v>1.1682801621858521E-2</v>
      </c>
      <c r="L300" s="38">
        <f t="shared" ca="1" si="27"/>
        <v>-1.8139602515814997E-3</v>
      </c>
    </row>
    <row r="301" spans="1:12" ht="13.8" thickBot="1" x14ac:dyDescent="0.3">
      <c r="A301" s="12">
        <v>44249.666666666664</v>
      </c>
      <c r="B301" s="4">
        <v>35.15</v>
      </c>
      <c r="C301" s="2">
        <f ca="1">IFERROR(__xludf.DUMMYFUNCTION("""COMPUTED_VALUE"""),54.97)</f>
        <v>54.97</v>
      </c>
      <c r="D301" s="2">
        <f ca="1">IFERROR(__xludf.DUMMYFUNCTION("""COMPUTED_VALUE"""),387.03)</f>
        <v>387.03</v>
      </c>
      <c r="F301" s="37">
        <f t="shared" si="22"/>
        <v>1.7506545538141415E-2</v>
      </c>
      <c r="G301" s="37">
        <f t="shared" ca="1" si="23"/>
        <v>3.3293254356321744E-2</v>
      </c>
      <c r="H301" s="37">
        <f t="shared" ca="1" si="24"/>
        <v>-7.7214498370321216E-3</v>
      </c>
      <c r="J301" s="38">
        <f t="shared" si="25"/>
        <v>1.7460116966712843E-2</v>
      </c>
      <c r="K301" s="38">
        <f t="shared" ca="1" si="26"/>
        <v>3.3246825784893172E-2</v>
      </c>
      <c r="L301" s="38">
        <f t="shared" ca="1" si="27"/>
        <v>-7.767878408460693E-3</v>
      </c>
    </row>
    <row r="302" spans="1:12" ht="13.8" thickBot="1" x14ac:dyDescent="0.3">
      <c r="A302" s="12">
        <v>44250.666666666664</v>
      </c>
      <c r="B302" s="4">
        <v>35.520000000000003</v>
      </c>
      <c r="C302" s="2">
        <f ca="1">IFERROR(__xludf.DUMMYFUNCTION("""COMPUTED_VALUE"""),54.41)</f>
        <v>54.41</v>
      </c>
      <c r="D302" s="2">
        <f ca="1">IFERROR(__xludf.DUMMYFUNCTION("""COMPUTED_VALUE"""),387.5)</f>
        <v>387.5</v>
      </c>
      <c r="F302" s="37">
        <f t="shared" si="22"/>
        <v>1.0471299867295437E-2</v>
      </c>
      <c r="G302" s="37">
        <f t="shared" ca="1" si="23"/>
        <v>-1.0239621374735058E-2</v>
      </c>
      <c r="H302" s="37">
        <f t="shared" ca="1" si="24"/>
        <v>1.2136393882467825E-3</v>
      </c>
      <c r="J302" s="38">
        <f t="shared" si="25"/>
        <v>1.0424871295866864E-2</v>
      </c>
      <c r="K302" s="38">
        <f t="shared" ca="1" si="26"/>
        <v>-1.028604994616363E-2</v>
      </c>
      <c r="L302" s="38">
        <f t="shared" ca="1" si="27"/>
        <v>1.1672108168182111E-3</v>
      </c>
    </row>
    <row r="303" spans="1:12" ht="13.8" thickBot="1" x14ac:dyDescent="0.3">
      <c r="A303" s="12">
        <v>44251.666666666664</v>
      </c>
      <c r="B303" s="4">
        <v>36.380000000000003</v>
      </c>
      <c r="C303" s="2">
        <f ca="1">IFERROR(__xludf.DUMMYFUNCTION("""COMPUTED_VALUE"""),56.02)</f>
        <v>56.02</v>
      </c>
      <c r="D303" s="2">
        <f ca="1">IFERROR(__xludf.DUMMYFUNCTION("""COMPUTED_VALUE"""),391.77)</f>
        <v>391.77</v>
      </c>
      <c r="F303" s="37">
        <f t="shared" si="22"/>
        <v>2.3923254966006936E-2</v>
      </c>
      <c r="G303" s="37">
        <f t="shared" ca="1" si="23"/>
        <v>2.9160809334128662E-2</v>
      </c>
      <c r="H303" s="37">
        <f t="shared" ca="1" si="24"/>
        <v>1.0959084107023828E-2</v>
      </c>
      <c r="J303" s="38">
        <f t="shared" si="25"/>
        <v>2.3876826394578363E-2</v>
      </c>
      <c r="K303" s="38">
        <f t="shared" ca="1" si="26"/>
        <v>2.9114380762700089E-2</v>
      </c>
      <c r="L303" s="38">
        <f t="shared" ca="1" si="27"/>
        <v>1.0912655535595256E-2</v>
      </c>
    </row>
    <row r="304" spans="1:12" ht="13.8" thickBot="1" x14ac:dyDescent="0.3">
      <c r="A304" s="12">
        <v>44252.666666666664</v>
      </c>
      <c r="B304" s="4">
        <v>35.93</v>
      </c>
      <c r="C304" s="2">
        <f ca="1">IFERROR(__xludf.DUMMYFUNCTION("""COMPUTED_VALUE"""),56.11)</f>
        <v>56.11</v>
      </c>
      <c r="D304" s="2">
        <f ca="1">IFERROR(__xludf.DUMMYFUNCTION("""COMPUTED_VALUE"""),382.33)</f>
        <v>382.33</v>
      </c>
      <c r="F304" s="37">
        <f t="shared" si="22"/>
        <v>-1.2446571964548864E-2</v>
      </c>
      <c r="G304" s="37">
        <f t="shared" ca="1" si="23"/>
        <v>1.60527993091809E-3</v>
      </c>
      <c r="H304" s="37">
        <f t="shared" ca="1" si="24"/>
        <v>-2.4390822872985191E-2</v>
      </c>
      <c r="J304" s="38">
        <f t="shared" si="25"/>
        <v>-1.2493000535977437E-2</v>
      </c>
      <c r="K304" s="38">
        <f t="shared" ca="1" si="26"/>
        <v>1.5588513594895187E-3</v>
      </c>
      <c r="L304" s="38">
        <f t="shared" ca="1" si="27"/>
        <v>-2.4437251444413763E-2</v>
      </c>
    </row>
    <row r="305" spans="1:12" ht="13.8" thickBot="1" x14ac:dyDescent="0.3">
      <c r="A305" s="12">
        <v>44253.666666666664</v>
      </c>
      <c r="B305" s="4">
        <v>34.71</v>
      </c>
      <c r="C305" s="2">
        <f ca="1">IFERROR(__xludf.DUMMYFUNCTION("""COMPUTED_VALUE"""),55.09)</f>
        <v>55.09</v>
      </c>
      <c r="D305" s="2">
        <f ca="1">IFERROR(__xludf.DUMMYFUNCTION("""COMPUTED_VALUE"""),380.36)</f>
        <v>380.36</v>
      </c>
      <c r="F305" s="37">
        <f t="shared" si="22"/>
        <v>-3.4544771251732449E-2</v>
      </c>
      <c r="G305" s="37">
        <f t="shared" ca="1" si="23"/>
        <v>-1.8345838278255429E-2</v>
      </c>
      <c r="H305" s="37">
        <f t="shared" ca="1" si="24"/>
        <v>-5.1659373561968088E-3</v>
      </c>
      <c r="J305" s="38">
        <f t="shared" si="25"/>
        <v>-3.4591199823161022E-2</v>
      </c>
      <c r="K305" s="38">
        <f t="shared" ca="1" si="26"/>
        <v>-1.8392266849684001E-2</v>
      </c>
      <c r="L305" s="38">
        <f t="shared" ca="1" si="27"/>
        <v>-5.2123659276253802E-3</v>
      </c>
    </row>
    <row r="306" spans="1:12" ht="13.8" thickBot="1" x14ac:dyDescent="0.3">
      <c r="A306" s="12">
        <v>44256.666666666664</v>
      </c>
      <c r="B306" s="4">
        <v>35.79</v>
      </c>
      <c r="C306" s="2">
        <f ca="1">IFERROR(__xludf.DUMMYFUNCTION("""COMPUTED_VALUE"""),56.87)</f>
        <v>56.87</v>
      </c>
      <c r="D306" s="2">
        <f ca="1">IFERROR(__xludf.DUMMYFUNCTION("""COMPUTED_VALUE"""),389.58)</f>
        <v>389.58</v>
      </c>
      <c r="F306" s="37">
        <f t="shared" si="22"/>
        <v>3.0640694904239481E-2</v>
      </c>
      <c r="G306" s="37">
        <f t="shared" ca="1" si="23"/>
        <v>3.1799749834083048E-2</v>
      </c>
      <c r="H306" s="37">
        <f t="shared" ca="1" si="24"/>
        <v>2.3951063077206795E-2</v>
      </c>
      <c r="J306" s="38">
        <f t="shared" si="25"/>
        <v>3.0594266332810909E-2</v>
      </c>
      <c r="K306" s="38">
        <f t="shared" ca="1" si="26"/>
        <v>3.1753321262654476E-2</v>
      </c>
      <c r="L306" s="38">
        <f t="shared" ca="1" si="27"/>
        <v>2.3904634505778222E-2</v>
      </c>
    </row>
    <row r="307" spans="1:12" ht="13.8" thickBot="1" x14ac:dyDescent="0.3">
      <c r="A307" s="12">
        <v>44257.666666666664</v>
      </c>
      <c r="B307" s="4">
        <v>35.53</v>
      </c>
      <c r="C307" s="2">
        <f ca="1">IFERROR(__xludf.DUMMYFUNCTION("""COMPUTED_VALUE"""),57.48)</f>
        <v>57.48</v>
      </c>
      <c r="D307" s="2">
        <f ca="1">IFERROR(__xludf.DUMMYFUNCTION("""COMPUTED_VALUE"""),386.54)</f>
        <v>386.54</v>
      </c>
      <c r="F307" s="37">
        <f t="shared" si="22"/>
        <v>-7.2911147449986136E-3</v>
      </c>
      <c r="G307" s="37">
        <f t="shared" ca="1" si="23"/>
        <v>1.0669099892115797E-2</v>
      </c>
      <c r="H307" s="37">
        <f t="shared" ca="1" si="24"/>
        <v>-7.8338801911286698E-3</v>
      </c>
      <c r="J307" s="38">
        <f t="shared" si="25"/>
        <v>-7.337543316427185E-3</v>
      </c>
      <c r="K307" s="38">
        <f t="shared" ca="1" si="26"/>
        <v>1.0622671320687225E-2</v>
      </c>
      <c r="L307" s="38">
        <f t="shared" ca="1" si="27"/>
        <v>-7.8803087625572421E-3</v>
      </c>
    </row>
    <row r="308" spans="1:12" ht="13.8" thickBot="1" x14ac:dyDescent="0.3">
      <c r="A308" s="12">
        <v>44258.666666666664</v>
      </c>
      <c r="B308" s="4">
        <v>36.42</v>
      </c>
      <c r="C308" s="2">
        <f ca="1">IFERROR(__xludf.DUMMYFUNCTION("""COMPUTED_VALUE"""),58.79)</f>
        <v>58.79</v>
      </c>
      <c r="D308" s="2">
        <f ca="1">IFERROR(__xludf.DUMMYFUNCTION("""COMPUTED_VALUE"""),381.42)</f>
        <v>381.42</v>
      </c>
      <c r="F308" s="37">
        <f t="shared" si="22"/>
        <v>2.4740664266526186E-2</v>
      </c>
      <c r="G308" s="37">
        <f t="shared" ca="1" si="23"/>
        <v>2.2534711203339358E-2</v>
      </c>
      <c r="H308" s="37">
        <f t="shared" ca="1" si="24"/>
        <v>-1.3334225380949319E-2</v>
      </c>
      <c r="J308" s="38">
        <f t="shared" si="25"/>
        <v>2.4694235695097613E-2</v>
      </c>
      <c r="K308" s="38">
        <f t="shared" ca="1" si="26"/>
        <v>2.2488282631910786E-2</v>
      </c>
      <c r="L308" s="38">
        <f t="shared" ca="1" si="27"/>
        <v>-1.3380653952377891E-2</v>
      </c>
    </row>
    <row r="309" spans="1:12" ht="13.8" thickBot="1" x14ac:dyDescent="0.3">
      <c r="A309" s="12">
        <v>44259.666666666664</v>
      </c>
      <c r="B309" s="4">
        <v>36.5</v>
      </c>
      <c r="C309" s="2">
        <f ca="1">IFERROR(__xludf.DUMMYFUNCTION("""COMPUTED_VALUE"""),57.62)</f>
        <v>57.62</v>
      </c>
      <c r="D309" s="2">
        <f ca="1">IFERROR(__xludf.DUMMYFUNCTION("""COMPUTED_VALUE"""),376.7)</f>
        <v>376.7</v>
      </c>
      <c r="F309" s="37">
        <f t="shared" si="22"/>
        <v>2.1941862889839612E-3</v>
      </c>
      <c r="G309" s="37">
        <f t="shared" ca="1" si="23"/>
        <v>-2.0102042757781213E-2</v>
      </c>
      <c r="H309" s="37">
        <f t="shared" ca="1" si="24"/>
        <v>-1.2452015478377114E-2</v>
      </c>
      <c r="J309" s="38">
        <f t="shared" si="25"/>
        <v>2.1477577175553898E-3</v>
      </c>
      <c r="K309" s="38">
        <f t="shared" ca="1" si="26"/>
        <v>-2.0148471329209786E-2</v>
      </c>
      <c r="L309" s="38">
        <f t="shared" ca="1" si="27"/>
        <v>-1.2498444049805687E-2</v>
      </c>
    </row>
    <row r="310" spans="1:12" ht="13.8" thickBot="1" x14ac:dyDescent="0.3">
      <c r="A310" s="12">
        <v>44260.666666666664</v>
      </c>
      <c r="B310" s="4">
        <v>36.93</v>
      </c>
      <c r="C310" s="2">
        <f ca="1">IFERROR(__xludf.DUMMYFUNCTION("""COMPUTED_VALUE"""),57.74)</f>
        <v>57.74</v>
      </c>
      <c r="D310" s="2">
        <f ca="1">IFERROR(__xludf.DUMMYFUNCTION("""COMPUTED_VALUE"""),383.63)</f>
        <v>383.63</v>
      </c>
      <c r="F310" s="37">
        <f t="shared" si="22"/>
        <v>1.1711968276025955E-2</v>
      </c>
      <c r="G310" s="37">
        <f t="shared" ca="1" si="23"/>
        <v>2.0804445784067768E-3</v>
      </c>
      <c r="H310" s="37">
        <f t="shared" ca="1" si="24"/>
        <v>1.8229431718389397E-2</v>
      </c>
      <c r="J310" s="38">
        <f t="shared" si="25"/>
        <v>1.1665539704597383E-2</v>
      </c>
      <c r="K310" s="38">
        <f t="shared" ca="1" si="26"/>
        <v>2.0340160069782054E-3</v>
      </c>
      <c r="L310" s="38">
        <f t="shared" ca="1" si="27"/>
        <v>1.8183003146960825E-2</v>
      </c>
    </row>
    <row r="311" spans="1:12" ht="13.8" thickBot="1" x14ac:dyDescent="0.3">
      <c r="A311" s="12">
        <v>44263.666666666664</v>
      </c>
      <c r="B311" s="4">
        <v>37.130000000000003</v>
      </c>
      <c r="C311" s="2">
        <f ca="1">IFERROR(__xludf.DUMMYFUNCTION("""COMPUTED_VALUE"""),60.77)</f>
        <v>60.77</v>
      </c>
      <c r="D311" s="2">
        <f ca="1">IFERROR(__xludf.DUMMYFUNCTION("""COMPUTED_VALUE"""),381.72)</f>
        <v>381.72</v>
      </c>
      <c r="F311" s="37">
        <f t="shared" si="22"/>
        <v>5.4010393245168932E-3</v>
      </c>
      <c r="G311" s="37">
        <f t="shared" ca="1" si="23"/>
        <v>5.1146071912474819E-2</v>
      </c>
      <c r="H311" s="37">
        <f t="shared" ca="1" si="24"/>
        <v>-4.9911908673316912E-3</v>
      </c>
      <c r="J311" s="38">
        <f t="shared" si="25"/>
        <v>5.3546107530883218E-3</v>
      </c>
      <c r="K311" s="38">
        <f t="shared" ca="1" si="26"/>
        <v>5.1099643341046247E-2</v>
      </c>
      <c r="L311" s="38">
        <f t="shared" ca="1" si="27"/>
        <v>-5.0376194387602626E-3</v>
      </c>
    </row>
    <row r="312" spans="1:12" ht="13.8" thickBot="1" x14ac:dyDescent="0.3">
      <c r="A312" s="12">
        <v>44264.666666666664</v>
      </c>
      <c r="B312" s="4">
        <v>36.32</v>
      </c>
      <c r="C312" s="2">
        <f ca="1">IFERROR(__xludf.DUMMYFUNCTION("""COMPUTED_VALUE"""),60.34)</f>
        <v>60.34</v>
      </c>
      <c r="D312" s="2">
        <f ca="1">IFERROR(__xludf.DUMMYFUNCTION("""COMPUTED_VALUE"""),387.17)</f>
        <v>387.17</v>
      </c>
      <c r="F312" s="37">
        <f t="shared" si="22"/>
        <v>-2.2056714455896177E-2</v>
      </c>
      <c r="G312" s="37">
        <f t="shared" ca="1" si="23"/>
        <v>-7.1010124163488498E-3</v>
      </c>
      <c r="H312" s="37">
        <f t="shared" ca="1" si="24"/>
        <v>1.4176517512846978E-2</v>
      </c>
      <c r="J312" s="38">
        <f t="shared" si="25"/>
        <v>-2.2103143027324749E-2</v>
      </c>
      <c r="K312" s="38">
        <f t="shared" ca="1" si="26"/>
        <v>-7.1474409877774212E-3</v>
      </c>
      <c r="L312" s="38">
        <f t="shared" ca="1" si="27"/>
        <v>1.4130088941418406E-2</v>
      </c>
    </row>
    <row r="313" spans="1:12" ht="13.8" thickBot="1" x14ac:dyDescent="0.3">
      <c r="A313" s="12">
        <v>44265.666666666664</v>
      </c>
      <c r="B313" s="4">
        <v>37.369999999999997</v>
      </c>
      <c r="C313" s="2">
        <f ca="1">IFERROR(__xludf.DUMMYFUNCTION("""COMPUTED_VALUE"""),61.13)</f>
        <v>61.13</v>
      </c>
      <c r="D313" s="2">
        <f ca="1">IFERROR(__xludf.DUMMYFUNCTION("""COMPUTED_VALUE"""),389.58)</f>
        <v>389.58</v>
      </c>
      <c r="F313" s="37">
        <f t="shared" si="22"/>
        <v>2.8499689764299865E-2</v>
      </c>
      <c r="G313" s="37">
        <f t="shared" ca="1" si="23"/>
        <v>1.3007510309719E-2</v>
      </c>
      <c r="H313" s="37">
        <f t="shared" ca="1" si="24"/>
        <v>6.205362686550293E-3</v>
      </c>
      <c r="J313" s="38">
        <f t="shared" si="25"/>
        <v>2.8453261192871292E-2</v>
      </c>
      <c r="K313" s="38">
        <f t="shared" ca="1" si="26"/>
        <v>1.2961081738290428E-2</v>
      </c>
      <c r="L313" s="38">
        <f t="shared" ca="1" si="27"/>
        <v>6.1589341151217216E-3</v>
      </c>
    </row>
    <row r="314" spans="1:12" ht="13.8" thickBot="1" x14ac:dyDescent="0.3">
      <c r="A314" s="12">
        <v>44266.666666666664</v>
      </c>
      <c r="B314" s="4">
        <v>37.24</v>
      </c>
      <c r="C314" s="2">
        <f ca="1">IFERROR(__xludf.DUMMYFUNCTION("""COMPUTED_VALUE"""),61.84)</f>
        <v>61.84</v>
      </c>
      <c r="D314" s="2">
        <f ca="1">IFERROR(__xludf.DUMMYFUNCTION("""COMPUTED_VALUE"""),393.53)</f>
        <v>393.53</v>
      </c>
      <c r="F314" s="37">
        <f t="shared" si="22"/>
        <v>-3.4847910885260438E-3</v>
      </c>
      <c r="G314" s="37">
        <f t="shared" ca="1" si="23"/>
        <v>1.1547660238532537E-2</v>
      </c>
      <c r="H314" s="37">
        <f t="shared" ca="1" si="24"/>
        <v>1.0088068084801373E-2</v>
      </c>
      <c r="J314" s="38">
        <f t="shared" si="25"/>
        <v>-3.5312196599546152E-3</v>
      </c>
      <c r="K314" s="38">
        <f t="shared" ca="1" si="26"/>
        <v>1.1501231667103965E-2</v>
      </c>
      <c r="L314" s="38">
        <f t="shared" ca="1" si="27"/>
        <v>1.0041639513372801E-2</v>
      </c>
    </row>
    <row r="315" spans="1:12" ht="13.8" thickBot="1" x14ac:dyDescent="0.3">
      <c r="A315" s="12">
        <v>44267.666666666664</v>
      </c>
      <c r="B315" s="4">
        <v>37.94</v>
      </c>
      <c r="C315" s="2">
        <f ca="1">IFERROR(__xludf.DUMMYFUNCTION("""COMPUTED_VALUE"""),62.5)</f>
        <v>62.5</v>
      </c>
      <c r="D315" s="2">
        <f ca="1">IFERROR(__xludf.DUMMYFUNCTION("""COMPUTED_VALUE"""),394.06)</f>
        <v>394.06</v>
      </c>
      <c r="F315" s="37">
        <f t="shared" si="22"/>
        <v>1.8622512098001635E-2</v>
      </c>
      <c r="G315" s="37">
        <f t="shared" ca="1" si="23"/>
        <v>1.0616152463189213E-2</v>
      </c>
      <c r="H315" s="37">
        <f t="shared" ca="1" si="24"/>
        <v>1.3458781345700166E-3</v>
      </c>
      <c r="J315" s="38">
        <f t="shared" si="25"/>
        <v>1.8576083526573063E-2</v>
      </c>
      <c r="K315" s="38">
        <f t="shared" ca="1" si="26"/>
        <v>1.0569723891760641E-2</v>
      </c>
      <c r="L315" s="38">
        <f t="shared" ca="1" si="27"/>
        <v>1.2994495631414452E-3</v>
      </c>
    </row>
    <row r="316" spans="1:12" ht="13.8" thickBot="1" x14ac:dyDescent="0.3">
      <c r="A316" s="12">
        <v>44270.666666666664</v>
      </c>
      <c r="B316" s="4">
        <v>37.75</v>
      </c>
      <c r="C316" s="2">
        <f ca="1">IFERROR(__xludf.DUMMYFUNCTION("""COMPUTED_VALUE"""),61.74)</f>
        <v>61.74</v>
      </c>
      <c r="D316" s="2">
        <f ca="1">IFERROR(__xludf.DUMMYFUNCTION("""COMPUTED_VALUE"""),396.41)</f>
        <v>396.41</v>
      </c>
      <c r="F316" s="37">
        <f t="shared" si="22"/>
        <v>-5.0204888118344166E-3</v>
      </c>
      <c r="G316" s="37">
        <f t="shared" ca="1" si="23"/>
        <v>-1.2234537668342522E-2</v>
      </c>
      <c r="H316" s="37">
        <f t="shared" ca="1" si="24"/>
        <v>5.9458472132053672E-3</v>
      </c>
      <c r="J316" s="38">
        <f t="shared" si="25"/>
        <v>-5.066917383262988E-3</v>
      </c>
      <c r="K316" s="38">
        <f t="shared" ca="1" si="26"/>
        <v>-1.2280966239771094E-2</v>
      </c>
      <c r="L316" s="38">
        <f t="shared" ca="1" si="27"/>
        <v>5.8994186417767958E-3</v>
      </c>
    </row>
    <row r="317" spans="1:12" ht="13.8" thickBot="1" x14ac:dyDescent="0.3">
      <c r="A317" s="12">
        <v>44271.666666666664</v>
      </c>
      <c r="B317" s="4">
        <v>37.64</v>
      </c>
      <c r="C317" s="2">
        <f ca="1">IFERROR(__xludf.DUMMYFUNCTION("""COMPUTED_VALUE"""),61.52)</f>
        <v>61.52</v>
      </c>
      <c r="D317" s="2">
        <f ca="1">IFERROR(__xludf.DUMMYFUNCTION("""COMPUTED_VALUE"""),395.91)</f>
        <v>395.91</v>
      </c>
      <c r="F317" s="37">
        <f t="shared" si="22"/>
        <v>-2.9181609778547589E-3</v>
      </c>
      <c r="G317" s="37">
        <f t="shared" ca="1" si="23"/>
        <v>-3.5696938766246397E-3</v>
      </c>
      <c r="H317" s="37">
        <f t="shared" ca="1" si="24"/>
        <v>-1.2621164841791108E-3</v>
      </c>
      <c r="J317" s="38">
        <f t="shared" si="25"/>
        <v>-2.9645895492833303E-3</v>
      </c>
      <c r="K317" s="38">
        <f t="shared" ca="1" si="26"/>
        <v>-3.6161224480532111E-3</v>
      </c>
      <c r="L317" s="38">
        <f t="shared" ca="1" si="27"/>
        <v>-1.3085450556076822E-3</v>
      </c>
    </row>
    <row r="318" spans="1:12" ht="13.8" thickBot="1" x14ac:dyDescent="0.3">
      <c r="A318" s="12">
        <v>44272.666666666664</v>
      </c>
      <c r="B318" s="4">
        <v>37.950000000000003</v>
      </c>
      <c r="C318" s="2">
        <f ca="1">IFERROR(__xludf.DUMMYFUNCTION("""COMPUTED_VALUE"""),61.58)</f>
        <v>61.58</v>
      </c>
      <c r="D318" s="2">
        <f ca="1">IFERROR(__xludf.DUMMYFUNCTION("""COMPUTED_VALUE"""),397.26)</f>
        <v>397.26</v>
      </c>
      <c r="F318" s="37">
        <f t="shared" si="22"/>
        <v>8.2021891244601804E-3</v>
      </c>
      <c r="G318" s="37">
        <f t="shared" ca="1" si="23"/>
        <v>9.7481729896562472E-4</v>
      </c>
      <c r="H318" s="37">
        <f t="shared" ca="1" si="24"/>
        <v>3.4040654679617643E-3</v>
      </c>
      <c r="J318" s="38">
        <f t="shared" si="25"/>
        <v>8.1557605530316081E-3</v>
      </c>
      <c r="K318" s="38">
        <f t="shared" ca="1" si="26"/>
        <v>9.2838872753705332E-4</v>
      </c>
      <c r="L318" s="38">
        <f t="shared" ca="1" si="27"/>
        <v>3.357636896533193E-3</v>
      </c>
    </row>
    <row r="319" spans="1:12" ht="13.8" thickBot="1" x14ac:dyDescent="0.3">
      <c r="A319" s="12">
        <v>44273.666666666664</v>
      </c>
      <c r="B319" s="4">
        <v>38.94</v>
      </c>
      <c r="C319" s="2">
        <f ca="1">IFERROR(__xludf.DUMMYFUNCTION("""COMPUTED_VALUE"""),63.53)</f>
        <v>63.53</v>
      </c>
      <c r="D319" s="2">
        <f ca="1">IFERROR(__xludf.DUMMYFUNCTION("""COMPUTED_VALUE"""),391.48)</f>
        <v>391.48</v>
      </c>
      <c r="F319" s="37">
        <f t="shared" si="22"/>
        <v>2.5752496102414549E-2</v>
      </c>
      <c r="G319" s="37">
        <f t="shared" ca="1" si="23"/>
        <v>3.1175092782087688E-2</v>
      </c>
      <c r="H319" s="37">
        <f t="shared" ca="1" si="24"/>
        <v>-1.4656549607190868E-2</v>
      </c>
      <c r="J319" s="38">
        <f t="shared" si="25"/>
        <v>2.5706067530985977E-2</v>
      </c>
      <c r="K319" s="38">
        <f t="shared" ca="1" si="26"/>
        <v>3.1128664210659115E-2</v>
      </c>
      <c r="L319" s="38">
        <f t="shared" ca="1" si="27"/>
        <v>-1.4702978178619441E-2</v>
      </c>
    </row>
    <row r="320" spans="1:12" ht="13.8" thickBot="1" x14ac:dyDescent="0.3">
      <c r="A320" s="12">
        <v>44274.666666666664</v>
      </c>
      <c r="B320" s="4">
        <v>38.53</v>
      </c>
      <c r="C320" s="2">
        <f ca="1">IFERROR(__xludf.DUMMYFUNCTION("""COMPUTED_VALUE"""),61.51)</f>
        <v>61.51</v>
      </c>
      <c r="D320" s="2">
        <f ca="1">IFERROR(__xludf.DUMMYFUNCTION("""COMPUTED_VALUE"""),389.48)</f>
        <v>389.48</v>
      </c>
      <c r="F320" s="37">
        <f t="shared" si="22"/>
        <v>-1.0584841305987285E-2</v>
      </c>
      <c r="G320" s="37">
        <f t="shared" ca="1" si="23"/>
        <v>-3.2312472058165016E-2</v>
      </c>
      <c r="H320" s="37">
        <f t="shared" ca="1" si="24"/>
        <v>-5.1219124470632581E-3</v>
      </c>
      <c r="J320" s="38">
        <f t="shared" si="25"/>
        <v>-1.0631269877415857E-2</v>
      </c>
      <c r="K320" s="38">
        <f t="shared" ca="1" si="26"/>
        <v>-3.2358900629593589E-2</v>
      </c>
      <c r="L320" s="38">
        <f t="shared" ca="1" si="27"/>
        <v>-5.1683410184918295E-3</v>
      </c>
    </row>
    <row r="321" spans="1:12" ht="13.8" thickBot="1" x14ac:dyDescent="0.3">
      <c r="A321" s="12">
        <v>44277.666666666664</v>
      </c>
      <c r="B321" s="4">
        <v>37.659999999999997</v>
      </c>
      <c r="C321" s="2">
        <f ca="1">IFERROR(__xludf.DUMMYFUNCTION("""COMPUTED_VALUE"""),60.3)</f>
        <v>60.3</v>
      </c>
      <c r="D321" s="2">
        <f ca="1">IFERROR(__xludf.DUMMYFUNCTION("""COMPUTED_VALUE"""),392.59)</f>
        <v>392.59</v>
      </c>
      <c r="F321" s="37">
        <f t="shared" si="22"/>
        <v>-2.2838635409060035E-2</v>
      </c>
      <c r="G321" s="37">
        <f t="shared" ca="1" si="23"/>
        <v>-1.9867659487137136E-2</v>
      </c>
      <c r="H321" s="37">
        <f t="shared" ca="1" si="24"/>
        <v>7.9532941898838739E-3</v>
      </c>
      <c r="J321" s="38">
        <f t="shared" si="25"/>
        <v>-2.2885063980488608E-2</v>
      </c>
      <c r="K321" s="38">
        <f t="shared" ca="1" si="26"/>
        <v>-1.9914088058565708E-2</v>
      </c>
      <c r="L321" s="38">
        <f t="shared" ca="1" si="27"/>
        <v>7.9068656184553016E-3</v>
      </c>
    </row>
    <row r="322" spans="1:12" ht="13.8" thickBot="1" x14ac:dyDescent="0.3">
      <c r="A322" s="12">
        <v>44278.666666666664</v>
      </c>
      <c r="B322" s="4">
        <v>36.9</v>
      </c>
      <c r="C322" s="2">
        <f ca="1">IFERROR(__xludf.DUMMYFUNCTION("""COMPUTED_VALUE"""),60.52)</f>
        <v>60.52</v>
      </c>
      <c r="D322" s="2">
        <f ca="1">IFERROR(__xludf.DUMMYFUNCTION("""COMPUTED_VALUE"""),389.5)</f>
        <v>389.5</v>
      </c>
      <c r="F322" s="37">
        <f t="shared" si="22"/>
        <v>-2.0386972182524835E-2</v>
      </c>
      <c r="G322" s="37">
        <f t="shared" ca="1" si="23"/>
        <v>3.6417851870154607E-3</v>
      </c>
      <c r="H322" s="37">
        <f t="shared" ca="1" si="24"/>
        <v>-7.9019449896365144E-3</v>
      </c>
      <c r="J322" s="38">
        <f t="shared" si="25"/>
        <v>-2.0433400753953408E-2</v>
      </c>
      <c r="K322" s="38">
        <f t="shared" ca="1" si="26"/>
        <v>3.5953566155868893E-3</v>
      </c>
      <c r="L322" s="38">
        <f t="shared" ca="1" si="27"/>
        <v>-7.9483735610650866E-3</v>
      </c>
    </row>
    <row r="323" spans="1:12" ht="13.8" thickBot="1" x14ac:dyDescent="0.3">
      <c r="A323" s="12">
        <v>44279.666666666664</v>
      </c>
      <c r="B323" s="4">
        <v>36.9</v>
      </c>
      <c r="C323" s="2">
        <f ca="1">IFERROR(__xludf.DUMMYFUNCTION("""COMPUTED_VALUE"""),60.56)</f>
        <v>60.56</v>
      </c>
      <c r="D323" s="2">
        <f ca="1">IFERROR(__xludf.DUMMYFUNCTION("""COMPUTED_VALUE"""),387.52)</f>
        <v>387.52</v>
      </c>
      <c r="F323" s="37">
        <f t="shared" si="22"/>
        <v>0</v>
      </c>
      <c r="G323" s="37">
        <f t="shared" ca="1" si="23"/>
        <v>6.6072020903824706E-4</v>
      </c>
      <c r="H323" s="37">
        <f t="shared" ca="1" si="24"/>
        <v>-5.096404946075616E-3</v>
      </c>
      <c r="J323" s="38">
        <f t="shared" si="25"/>
        <v>-4.6428571428571423E-5</v>
      </c>
      <c r="K323" s="38">
        <f t="shared" ca="1" si="26"/>
        <v>6.1429163760967566E-4</v>
      </c>
      <c r="L323" s="38">
        <f t="shared" ca="1" si="27"/>
        <v>-5.1428335175041874E-3</v>
      </c>
    </row>
    <row r="324" spans="1:12" ht="13.8" thickBot="1" x14ac:dyDescent="0.3">
      <c r="A324" s="12">
        <v>44280.666666666664</v>
      </c>
      <c r="B324" s="4">
        <v>37.659999999999997</v>
      </c>
      <c r="C324" s="2">
        <f ca="1">IFERROR(__xludf.DUMMYFUNCTION("""COMPUTED_VALUE"""),60.36)</f>
        <v>60.36</v>
      </c>
      <c r="D324" s="2">
        <f ca="1">IFERROR(__xludf.DUMMYFUNCTION("""COMPUTED_VALUE"""),389.7)</f>
        <v>389.7</v>
      </c>
      <c r="F324" s="37">
        <f t="shared" si="22"/>
        <v>2.03869721825247E-2</v>
      </c>
      <c r="G324" s="37">
        <f t="shared" ca="1" si="23"/>
        <v>-3.3079752295452482E-3</v>
      </c>
      <c r="H324" s="37">
        <f t="shared" ca="1" si="24"/>
        <v>5.6097519799362108E-3</v>
      </c>
      <c r="J324" s="38">
        <f t="shared" si="25"/>
        <v>2.0340543611096128E-2</v>
      </c>
      <c r="K324" s="38">
        <f t="shared" ca="1" si="26"/>
        <v>-3.3544038009738195E-3</v>
      </c>
      <c r="L324" s="38">
        <f t="shared" ca="1" si="27"/>
        <v>5.5633234085076394E-3</v>
      </c>
    </row>
    <row r="325" spans="1:12" ht="13.8" thickBot="1" x14ac:dyDescent="0.3">
      <c r="A325" s="12">
        <v>44281.666666666664</v>
      </c>
      <c r="B325" s="4">
        <v>38.68</v>
      </c>
      <c r="C325" s="2">
        <f ca="1">IFERROR(__xludf.DUMMYFUNCTION("""COMPUTED_VALUE"""),61.39)</f>
        <v>61.39</v>
      </c>
      <c r="D325" s="2">
        <f ca="1">IFERROR(__xludf.DUMMYFUNCTION("""COMPUTED_VALUE"""),395.98)</f>
        <v>395.98</v>
      </c>
      <c r="F325" s="37">
        <f t="shared" si="22"/>
        <v>2.6724147356087292E-2</v>
      </c>
      <c r="G325" s="37">
        <f t="shared" ca="1" si="23"/>
        <v>1.6920321539756797E-2</v>
      </c>
      <c r="H325" s="37">
        <f t="shared" ca="1" si="24"/>
        <v>1.5986492583889036E-2</v>
      </c>
      <c r="J325" s="38">
        <f t="shared" si="25"/>
        <v>2.667771878465872E-2</v>
      </c>
      <c r="K325" s="38">
        <f t="shared" ca="1" si="26"/>
        <v>1.6873892968328225E-2</v>
      </c>
      <c r="L325" s="38">
        <f t="shared" ca="1" si="27"/>
        <v>1.5940064012460464E-2</v>
      </c>
    </row>
    <row r="326" spans="1:12" ht="13.8" thickBot="1" x14ac:dyDescent="0.3">
      <c r="A326" s="12">
        <v>44284.666666666664</v>
      </c>
      <c r="B326" s="4">
        <v>38.31</v>
      </c>
      <c r="C326" s="2">
        <f ca="1">IFERROR(__xludf.DUMMYFUNCTION("""COMPUTED_VALUE"""),59.94)</f>
        <v>59.94</v>
      </c>
      <c r="D326" s="2">
        <f ca="1">IFERROR(__xludf.DUMMYFUNCTION("""COMPUTED_VALUE"""),395.78)</f>
        <v>395.78</v>
      </c>
      <c r="F326" s="37">
        <f t="shared" si="22"/>
        <v>-9.6117118725358632E-3</v>
      </c>
      <c r="G326" s="37">
        <f t="shared" ca="1" si="23"/>
        <v>-2.3902893550887861E-2</v>
      </c>
      <c r="H326" s="37">
        <f t="shared" ca="1" si="24"/>
        <v>-5.0520360779503248E-4</v>
      </c>
      <c r="J326" s="38">
        <f t="shared" si="25"/>
        <v>-9.6581404439644355E-3</v>
      </c>
      <c r="K326" s="38">
        <f t="shared" ca="1" si="26"/>
        <v>-2.3949322122316433E-2</v>
      </c>
      <c r="L326" s="38">
        <f t="shared" ca="1" si="27"/>
        <v>-5.5163217922360387E-4</v>
      </c>
    </row>
    <row r="327" spans="1:12" ht="13.8" thickBot="1" x14ac:dyDescent="0.3">
      <c r="A327" s="12">
        <v>44285.666666666664</v>
      </c>
      <c r="B327" s="4">
        <v>38.99</v>
      </c>
      <c r="C327" s="2">
        <f ca="1">IFERROR(__xludf.DUMMYFUNCTION("""COMPUTED_VALUE"""),62.18)</f>
        <v>62.18</v>
      </c>
      <c r="D327" s="2">
        <f ca="1">IFERROR(__xludf.DUMMYFUNCTION("""COMPUTED_VALUE"""),394.73)</f>
        <v>394.73</v>
      </c>
      <c r="F327" s="37">
        <f t="shared" si="22"/>
        <v>1.7594244281948258E-2</v>
      </c>
      <c r="G327" s="37">
        <f t="shared" ca="1" si="23"/>
        <v>3.6689342742090646E-2</v>
      </c>
      <c r="H327" s="37">
        <f t="shared" ca="1" si="24"/>
        <v>-2.6565144463534212E-3</v>
      </c>
      <c r="J327" s="38">
        <f t="shared" si="25"/>
        <v>1.7547815710519686E-2</v>
      </c>
      <c r="K327" s="38">
        <f t="shared" ca="1" si="26"/>
        <v>3.6642914170662073E-2</v>
      </c>
      <c r="L327" s="38">
        <f t="shared" ca="1" si="27"/>
        <v>-2.7029430177819926E-3</v>
      </c>
    </row>
    <row r="328" spans="1:12" ht="13.8" thickBot="1" x14ac:dyDescent="0.3">
      <c r="A328" s="12">
        <v>44286.666666666664</v>
      </c>
      <c r="B328" s="4">
        <v>38.69</v>
      </c>
      <c r="C328" s="2">
        <f ca="1">IFERROR(__xludf.DUMMYFUNCTION("""COMPUTED_VALUE"""),61.82)</f>
        <v>61.82</v>
      </c>
      <c r="D328" s="2">
        <f ca="1">IFERROR(__xludf.DUMMYFUNCTION("""COMPUTED_VALUE"""),396.33)</f>
        <v>396.33</v>
      </c>
      <c r="F328" s="37">
        <f t="shared" si="22"/>
        <v>-7.7240342820844403E-3</v>
      </c>
      <c r="G328" s="37">
        <f t="shared" ca="1" si="23"/>
        <v>-5.8064679266374491E-3</v>
      </c>
      <c r="H328" s="37">
        <f t="shared" ca="1" si="24"/>
        <v>4.0452106839681708E-3</v>
      </c>
      <c r="J328" s="38">
        <f t="shared" si="25"/>
        <v>-7.7704628535130117E-3</v>
      </c>
      <c r="K328" s="38">
        <f t="shared" ca="1" si="26"/>
        <v>-5.8528964980660205E-3</v>
      </c>
      <c r="L328" s="38">
        <f t="shared" ca="1" si="27"/>
        <v>3.9987821125395994E-3</v>
      </c>
    </row>
    <row r="329" spans="1:12" ht="13.8" thickBot="1" x14ac:dyDescent="0.3">
      <c r="A329" s="12">
        <v>44287.666666666664</v>
      </c>
      <c r="B329" s="4">
        <v>39.49</v>
      </c>
      <c r="C329" s="2">
        <f ca="1">IFERROR(__xludf.DUMMYFUNCTION("""COMPUTED_VALUE"""),61.78)</f>
        <v>61.78</v>
      </c>
      <c r="D329" s="2">
        <f ca="1">IFERROR(__xludf.DUMMYFUNCTION("""COMPUTED_VALUE"""),400.61)</f>
        <v>400.61</v>
      </c>
      <c r="F329" s="37">
        <f t="shared" si="22"/>
        <v>2.0466306586136657E-2</v>
      </c>
      <c r="G329" s="37">
        <f t="shared" ca="1" si="23"/>
        <v>-6.4724921353456061E-4</v>
      </c>
      <c r="H329" s="37">
        <f t="shared" ca="1" si="24"/>
        <v>1.0741187917951974E-2</v>
      </c>
      <c r="J329" s="38">
        <f t="shared" si="25"/>
        <v>2.0419878014708084E-2</v>
      </c>
      <c r="K329" s="38">
        <f t="shared" ca="1" si="26"/>
        <v>-6.93677784963132E-4</v>
      </c>
      <c r="L329" s="38">
        <f t="shared" ca="1" si="27"/>
        <v>1.0694759346523402E-2</v>
      </c>
    </row>
    <row r="330" spans="1:12" ht="13.8" thickBot="1" x14ac:dyDescent="0.3">
      <c r="A330" s="12">
        <v>44291.666666666664</v>
      </c>
      <c r="B330" s="4">
        <v>39.799999999999997</v>
      </c>
      <c r="C330" s="2">
        <f ca="1">IFERROR(__xludf.DUMMYFUNCTION("""COMPUTED_VALUE"""),61.05)</f>
        <v>61.05</v>
      </c>
      <c r="D330" s="2">
        <f ca="1">IFERROR(__xludf.DUMMYFUNCTION("""COMPUTED_VALUE"""),406.36)</f>
        <v>406.36</v>
      </c>
      <c r="F330" s="37">
        <f t="shared" si="22"/>
        <v>7.8194369918338346E-3</v>
      </c>
      <c r="G330" s="37">
        <f t="shared" ca="1" si="23"/>
        <v>-1.1886486933721978E-2</v>
      </c>
      <c r="H330" s="37">
        <f t="shared" ca="1" si="24"/>
        <v>1.4251080747019931E-2</v>
      </c>
      <c r="J330" s="38">
        <f t="shared" si="25"/>
        <v>7.7730084204052632E-3</v>
      </c>
      <c r="K330" s="38">
        <f t="shared" ca="1" si="26"/>
        <v>-1.193291550515055E-2</v>
      </c>
      <c r="L330" s="38">
        <f t="shared" ca="1" si="27"/>
        <v>1.4204652175591359E-2</v>
      </c>
    </row>
    <row r="331" spans="1:12" ht="13.8" thickBot="1" x14ac:dyDescent="0.3">
      <c r="A331" s="12">
        <v>44292.666666666664</v>
      </c>
      <c r="B331" s="4">
        <v>39.69</v>
      </c>
      <c r="C331" s="2">
        <f ca="1">IFERROR(__xludf.DUMMYFUNCTION("""COMPUTED_VALUE"""),60.74)</f>
        <v>60.74</v>
      </c>
      <c r="D331" s="2">
        <f ca="1">IFERROR(__xludf.DUMMYFUNCTION("""COMPUTED_VALUE"""),406.12)</f>
        <v>406.12</v>
      </c>
      <c r="F331" s="37">
        <f t="shared" si="22"/>
        <v>-2.7676454954180308E-3</v>
      </c>
      <c r="G331" s="37">
        <f t="shared" ca="1" si="23"/>
        <v>-5.0907409391108749E-3</v>
      </c>
      <c r="H331" s="37">
        <f t="shared" ca="1" si="24"/>
        <v>-5.9078379032231128E-4</v>
      </c>
      <c r="J331" s="38">
        <f t="shared" si="25"/>
        <v>-2.8140740668466022E-3</v>
      </c>
      <c r="K331" s="38">
        <f t="shared" ca="1" si="26"/>
        <v>-5.1371695105394462E-3</v>
      </c>
      <c r="L331" s="38">
        <f t="shared" ca="1" si="27"/>
        <v>-6.3721236175088268E-4</v>
      </c>
    </row>
    <row r="332" spans="1:12" ht="13.8" thickBot="1" x14ac:dyDescent="0.3">
      <c r="A332" s="12">
        <v>44293.666666666664</v>
      </c>
      <c r="B332" s="4">
        <v>40.049999999999997</v>
      </c>
      <c r="C332" s="2">
        <f ca="1">IFERROR(__xludf.DUMMYFUNCTION("""COMPUTED_VALUE"""),60.4)</f>
        <v>60.4</v>
      </c>
      <c r="D332" s="2">
        <f ca="1">IFERROR(__xludf.DUMMYFUNCTION("""COMPUTED_VALUE"""),406.59)</f>
        <v>406.59</v>
      </c>
      <c r="F332" s="37">
        <f t="shared" ref="F332:F395" si="28">LN(B332/B331)</f>
        <v>9.0294067193941573E-3</v>
      </c>
      <c r="G332" s="37">
        <f t="shared" ref="G332:G395" ca="1" si="29">LN(C332/C331)</f>
        <v>-5.6133546768334852E-3</v>
      </c>
      <c r="H332" s="37">
        <f t="shared" ref="H332:H395" ca="1" si="30">LN(D332/D331)</f>
        <v>1.1566242630121652E-3</v>
      </c>
      <c r="J332" s="38">
        <f t="shared" ref="J332:J395" si="31">F332-$B$9</f>
        <v>8.9829781479655851E-3</v>
      </c>
      <c r="K332" s="38">
        <f t="shared" ref="K332:K395" ca="1" si="32">G332-$B$9</f>
        <v>-5.6597832482620566E-3</v>
      </c>
      <c r="L332" s="38">
        <f t="shared" ref="L332:L395" ca="1" si="33">H332-$B$9</f>
        <v>1.1101956915835938E-3</v>
      </c>
    </row>
    <row r="333" spans="1:12" ht="13.8" thickBot="1" x14ac:dyDescent="0.3">
      <c r="A333" s="12">
        <v>44294.666666666664</v>
      </c>
      <c r="B333" s="4">
        <v>39.700000000000003</v>
      </c>
      <c r="C333" s="2">
        <f ca="1">IFERROR(__xludf.DUMMYFUNCTION("""COMPUTED_VALUE"""),61.1)</f>
        <v>61.1</v>
      </c>
      <c r="D333" s="2">
        <f ca="1">IFERROR(__xludf.DUMMYFUNCTION("""COMPUTED_VALUE"""),408.52)</f>
        <v>408.52</v>
      </c>
      <c r="F333" s="37">
        <f t="shared" si="28"/>
        <v>-8.7774858212234085E-3</v>
      </c>
      <c r="G333" s="37">
        <f t="shared" ca="1" si="29"/>
        <v>1.1522761236780489E-2</v>
      </c>
      <c r="H333" s="37">
        <f t="shared" ca="1" si="30"/>
        <v>4.7355660138638902E-3</v>
      </c>
      <c r="J333" s="38">
        <f t="shared" si="31"/>
        <v>-8.8239143926519808E-3</v>
      </c>
      <c r="K333" s="38">
        <f t="shared" ca="1" si="32"/>
        <v>1.1476332665351916E-2</v>
      </c>
      <c r="L333" s="38">
        <f t="shared" ca="1" si="33"/>
        <v>4.6891374424353188E-3</v>
      </c>
    </row>
    <row r="334" spans="1:12" ht="13.8" thickBot="1" x14ac:dyDescent="0.3">
      <c r="A334" s="12">
        <v>44295.666666666664</v>
      </c>
      <c r="B334" s="4">
        <v>39.99</v>
      </c>
      <c r="C334" s="2">
        <f ca="1">IFERROR(__xludf.DUMMYFUNCTION("""COMPUTED_VALUE"""),60.82)</f>
        <v>60.82</v>
      </c>
      <c r="D334" s="2">
        <f ca="1">IFERROR(__xludf.DUMMYFUNCTION("""COMPUTED_VALUE"""),411.49)</f>
        <v>411.49</v>
      </c>
      <c r="F334" s="37">
        <f t="shared" si="28"/>
        <v>7.2782351655822928E-3</v>
      </c>
      <c r="G334" s="37">
        <f t="shared" ca="1" si="29"/>
        <v>-4.5931839283311184E-3</v>
      </c>
      <c r="H334" s="37">
        <f t="shared" ca="1" si="30"/>
        <v>7.2438457753705382E-3</v>
      </c>
      <c r="J334" s="38">
        <f t="shared" si="31"/>
        <v>7.2318065941537214E-3</v>
      </c>
      <c r="K334" s="38">
        <f t="shared" ca="1" si="32"/>
        <v>-4.6396124997596898E-3</v>
      </c>
      <c r="L334" s="38">
        <f t="shared" ca="1" si="33"/>
        <v>7.1974172039419668E-3</v>
      </c>
    </row>
    <row r="335" spans="1:12" ht="13.8" thickBot="1" x14ac:dyDescent="0.3">
      <c r="A335" s="12">
        <v>44298.666666666664</v>
      </c>
      <c r="B335" s="4">
        <v>40.06</v>
      </c>
      <c r="C335" s="2">
        <f ca="1">IFERROR(__xludf.DUMMYFUNCTION("""COMPUTED_VALUE"""),60.54)</f>
        <v>60.54</v>
      </c>
      <c r="D335" s="2">
        <f ca="1">IFERROR(__xludf.DUMMYFUNCTION("""COMPUTED_VALUE"""),411.64)</f>
        <v>411.64</v>
      </c>
      <c r="F335" s="37">
        <f t="shared" si="28"/>
        <v>1.7489073789452622E-3</v>
      </c>
      <c r="G335" s="37">
        <f t="shared" ca="1" si="29"/>
        <v>-4.6143786556459782E-3</v>
      </c>
      <c r="H335" s="37">
        <f t="shared" ca="1" si="30"/>
        <v>3.6446248262221332E-4</v>
      </c>
      <c r="J335" s="38">
        <f t="shared" si="31"/>
        <v>1.7024788075166908E-3</v>
      </c>
      <c r="K335" s="38">
        <f t="shared" ca="1" si="32"/>
        <v>-4.6608072270745496E-3</v>
      </c>
      <c r="L335" s="38">
        <f t="shared" ca="1" si="33"/>
        <v>3.1803391119364192E-4</v>
      </c>
    </row>
    <row r="336" spans="1:12" ht="13.8" thickBot="1" x14ac:dyDescent="0.3">
      <c r="A336" s="12">
        <v>44299.666666666664</v>
      </c>
      <c r="B336" s="4">
        <v>39.32</v>
      </c>
      <c r="C336" s="2">
        <f ca="1">IFERROR(__xludf.DUMMYFUNCTION("""COMPUTED_VALUE"""),60.94)</f>
        <v>60.94</v>
      </c>
      <c r="D336" s="2">
        <f ca="1">IFERROR(__xludf.DUMMYFUNCTION("""COMPUTED_VALUE"""),412.86)</f>
        <v>412.86</v>
      </c>
      <c r="F336" s="37">
        <f t="shared" si="28"/>
        <v>-1.8645034958706438E-2</v>
      </c>
      <c r="G336" s="37">
        <f t="shared" ca="1" si="29"/>
        <v>6.5854699639903867E-3</v>
      </c>
      <c r="H336" s="37">
        <f t="shared" ca="1" si="30"/>
        <v>2.959371474552633E-3</v>
      </c>
      <c r="J336" s="38">
        <f t="shared" si="31"/>
        <v>-1.8691463530135011E-2</v>
      </c>
      <c r="K336" s="38">
        <f t="shared" ca="1" si="32"/>
        <v>6.5390413925618153E-3</v>
      </c>
      <c r="L336" s="38">
        <f t="shared" ca="1" si="33"/>
        <v>2.9129429031240616E-3</v>
      </c>
    </row>
    <row r="337" spans="1:12" ht="13.8" thickBot="1" x14ac:dyDescent="0.3">
      <c r="A337" s="12">
        <v>44300.666666666664</v>
      </c>
      <c r="B337" s="4">
        <v>39.880000000000003</v>
      </c>
      <c r="C337" s="2">
        <f ca="1">IFERROR(__xludf.DUMMYFUNCTION("""COMPUTED_VALUE"""),60.05)</f>
        <v>60.05</v>
      </c>
      <c r="D337" s="2">
        <f ca="1">IFERROR(__xludf.DUMMYFUNCTION("""COMPUTED_VALUE"""),411.45)</f>
        <v>411.45</v>
      </c>
      <c r="F337" s="37">
        <f t="shared" si="28"/>
        <v>1.4141649814671822E-2</v>
      </c>
      <c r="G337" s="37">
        <f t="shared" ca="1" si="29"/>
        <v>-1.4712225031570414E-2</v>
      </c>
      <c r="H337" s="37">
        <f t="shared" ca="1" si="30"/>
        <v>-3.4210463907216274E-3</v>
      </c>
      <c r="J337" s="38">
        <f t="shared" si="31"/>
        <v>1.409522124324325E-2</v>
      </c>
      <c r="K337" s="38">
        <f t="shared" ca="1" si="32"/>
        <v>-1.4758653602998986E-2</v>
      </c>
      <c r="L337" s="38">
        <f t="shared" ca="1" si="33"/>
        <v>-3.4674749621501988E-3</v>
      </c>
    </row>
    <row r="338" spans="1:12" ht="13.8" thickBot="1" x14ac:dyDescent="0.3">
      <c r="A338" s="12">
        <v>44301.666666666664</v>
      </c>
      <c r="B338" s="4">
        <v>38.74</v>
      </c>
      <c r="C338" s="2">
        <f ca="1">IFERROR(__xludf.DUMMYFUNCTION("""COMPUTED_VALUE"""),60.15)</f>
        <v>60.15</v>
      </c>
      <c r="D338" s="2">
        <f ca="1">IFERROR(__xludf.DUMMYFUNCTION("""COMPUTED_VALUE"""),415.87)</f>
        <v>415.87</v>
      </c>
      <c r="F338" s="37">
        <f t="shared" si="28"/>
        <v>-2.9002287114787764E-2</v>
      </c>
      <c r="G338" s="37">
        <f t="shared" ca="1" si="29"/>
        <v>1.6638938946953799E-3</v>
      </c>
      <c r="H338" s="37">
        <f t="shared" ca="1" si="30"/>
        <v>1.0685205371241405E-2</v>
      </c>
      <c r="J338" s="38">
        <f t="shared" si="31"/>
        <v>-2.9048715686216336E-2</v>
      </c>
      <c r="K338" s="38">
        <f t="shared" ca="1" si="32"/>
        <v>1.6174653232668085E-3</v>
      </c>
      <c r="L338" s="38">
        <f t="shared" ca="1" si="33"/>
        <v>1.0638776799812833E-2</v>
      </c>
    </row>
    <row r="339" spans="1:12" ht="13.8" thickBot="1" x14ac:dyDescent="0.3">
      <c r="A339" s="12">
        <v>44302.666666666664</v>
      </c>
      <c r="B339" s="4">
        <v>39.15</v>
      </c>
      <c r="C339" s="2">
        <f ca="1">IFERROR(__xludf.DUMMYFUNCTION("""COMPUTED_VALUE"""),60.39)</f>
        <v>60.39</v>
      </c>
      <c r="D339" s="2">
        <f ca="1">IFERROR(__xludf.DUMMYFUNCTION("""COMPUTED_VALUE"""),417.26)</f>
        <v>417.26</v>
      </c>
      <c r="F339" s="37">
        <f t="shared" si="28"/>
        <v>1.0527764457962212E-2</v>
      </c>
      <c r="G339" s="37">
        <f t="shared" ca="1" si="29"/>
        <v>3.9820858991219416E-3</v>
      </c>
      <c r="H339" s="37">
        <f t="shared" ca="1" si="30"/>
        <v>3.336817278764506E-3</v>
      </c>
      <c r="J339" s="38">
        <f t="shared" si="31"/>
        <v>1.048133588653364E-2</v>
      </c>
      <c r="K339" s="38">
        <f t="shared" ca="1" si="32"/>
        <v>3.9356573276933702E-3</v>
      </c>
      <c r="L339" s="38">
        <f t="shared" ca="1" si="33"/>
        <v>3.2903887073359346E-3</v>
      </c>
    </row>
    <row r="340" spans="1:12" ht="13.8" thickBot="1" x14ac:dyDescent="0.3">
      <c r="A340" s="12">
        <v>44305.666666666664</v>
      </c>
      <c r="B340" s="4">
        <v>39.17</v>
      </c>
      <c r="C340" s="2">
        <f ca="1">IFERROR(__xludf.DUMMYFUNCTION("""COMPUTED_VALUE"""),57.74)</f>
        <v>57.74</v>
      </c>
      <c r="D340" s="2">
        <f ca="1">IFERROR(__xludf.DUMMYFUNCTION("""COMPUTED_VALUE"""),415.21)</f>
        <v>415.21</v>
      </c>
      <c r="F340" s="37">
        <f t="shared" si="28"/>
        <v>5.1072524092793685E-4</v>
      </c>
      <c r="G340" s="37">
        <f t="shared" ca="1" si="29"/>
        <v>-4.4873354085020745E-2</v>
      </c>
      <c r="H340" s="37">
        <f t="shared" ca="1" si="30"/>
        <v>-4.9251123616627299E-3</v>
      </c>
      <c r="J340" s="38">
        <f t="shared" si="31"/>
        <v>4.6429666949936545E-4</v>
      </c>
      <c r="K340" s="38">
        <f t="shared" ca="1" si="32"/>
        <v>-4.4919782656449317E-2</v>
      </c>
      <c r="L340" s="38">
        <f t="shared" ca="1" si="33"/>
        <v>-4.9715409330913013E-3</v>
      </c>
    </row>
    <row r="341" spans="1:12" ht="13.8" thickBot="1" x14ac:dyDescent="0.3">
      <c r="A341" s="12">
        <v>44306.666666666664</v>
      </c>
      <c r="B341" s="4">
        <v>38.08</v>
      </c>
      <c r="C341" s="2">
        <f ca="1">IFERROR(__xludf.DUMMYFUNCTION("""COMPUTED_VALUE"""),58.08)</f>
        <v>58.08</v>
      </c>
      <c r="D341" s="2">
        <f ca="1">IFERROR(__xludf.DUMMYFUNCTION("""COMPUTED_VALUE"""),412.17)</f>
        <v>412.17</v>
      </c>
      <c r="F341" s="37">
        <f t="shared" si="28"/>
        <v>-2.8221937754575425E-2</v>
      </c>
      <c r="G341" s="37">
        <f t="shared" ca="1" si="29"/>
        <v>5.8711962817516606E-3</v>
      </c>
      <c r="H341" s="37">
        <f t="shared" ca="1" si="30"/>
        <v>-7.3485307360987148E-3</v>
      </c>
      <c r="J341" s="38">
        <f t="shared" si="31"/>
        <v>-2.8268366326003998E-2</v>
      </c>
      <c r="K341" s="38">
        <f t="shared" ca="1" si="32"/>
        <v>5.8247677103230892E-3</v>
      </c>
      <c r="L341" s="38">
        <f t="shared" ca="1" si="33"/>
        <v>-7.3949593075272862E-3</v>
      </c>
    </row>
    <row r="342" spans="1:12" ht="13.8" thickBot="1" x14ac:dyDescent="0.3">
      <c r="A342" s="12">
        <v>44307.666666666664</v>
      </c>
      <c r="B342" s="4">
        <v>38.72</v>
      </c>
      <c r="C342" s="2">
        <f ca="1">IFERROR(__xludf.DUMMYFUNCTION("""COMPUTED_VALUE"""),58.58)</f>
        <v>58.58</v>
      </c>
      <c r="D342" s="2">
        <f ca="1">IFERROR(__xludf.DUMMYFUNCTION("""COMPUTED_VALUE"""),416.07)</f>
        <v>416.07</v>
      </c>
      <c r="F342" s="37">
        <f t="shared" si="28"/>
        <v>1.6667052485211643E-2</v>
      </c>
      <c r="G342" s="37">
        <f t="shared" ca="1" si="29"/>
        <v>8.5719708830467329E-3</v>
      </c>
      <c r="H342" s="37">
        <f t="shared" ca="1" si="30"/>
        <v>9.4176297323868598E-3</v>
      </c>
      <c r="J342" s="38">
        <f t="shared" si="31"/>
        <v>1.6620623913783071E-2</v>
      </c>
      <c r="K342" s="38">
        <f t="shared" ca="1" si="32"/>
        <v>8.5255423116181606E-3</v>
      </c>
      <c r="L342" s="38">
        <f t="shared" ca="1" si="33"/>
        <v>9.3712011609582875E-3</v>
      </c>
    </row>
    <row r="343" spans="1:12" ht="13.8" thickBot="1" x14ac:dyDescent="0.3">
      <c r="A343" s="12">
        <v>44308.666666666664</v>
      </c>
      <c r="B343" s="4">
        <v>38.36</v>
      </c>
      <c r="C343" s="2">
        <f ca="1">IFERROR(__xludf.DUMMYFUNCTION("""COMPUTED_VALUE"""),58.96)</f>
        <v>58.96</v>
      </c>
      <c r="D343" s="2">
        <f ca="1">IFERROR(__xludf.DUMMYFUNCTION("""COMPUTED_VALUE"""),412.27)</f>
        <v>412.27</v>
      </c>
      <c r="F343" s="37">
        <f t="shared" si="28"/>
        <v>-9.3410123931387361E-3</v>
      </c>
      <c r="G343" s="37">
        <f t="shared" ca="1" si="29"/>
        <v>6.4659064814938487E-3</v>
      </c>
      <c r="H343" s="37">
        <f t="shared" ca="1" si="30"/>
        <v>-9.1750408223621235E-3</v>
      </c>
      <c r="J343" s="38">
        <f t="shared" si="31"/>
        <v>-9.3874409645673083E-3</v>
      </c>
      <c r="K343" s="38">
        <f t="shared" ca="1" si="32"/>
        <v>6.4194779100652773E-3</v>
      </c>
      <c r="L343" s="38">
        <f t="shared" ca="1" si="33"/>
        <v>-9.2214693937906957E-3</v>
      </c>
    </row>
    <row r="344" spans="1:12" ht="13.8" thickBot="1" x14ac:dyDescent="0.3">
      <c r="A344" s="12">
        <v>44309.666666666664</v>
      </c>
      <c r="B344" s="4">
        <v>39.18</v>
      </c>
      <c r="C344" s="2">
        <f ca="1">IFERROR(__xludf.DUMMYFUNCTION("""COMPUTED_VALUE"""),60.23)</f>
        <v>60.23</v>
      </c>
      <c r="D344" s="2">
        <f ca="1">IFERROR(__xludf.DUMMYFUNCTION("""COMPUTED_VALUE"""),416.74)</f>
        <v>416.74</v>
      </c>
      <c r="F344" s="37">
        <f t="shared" si="28"/>
        <v>2.1151162501157252E-2</v>
      </c>
      <c r="G344" s="37">
        <f t="shared" ca="1" si="29"/>
        <v>2.1311319174548541E-2</v>
      </c>
      <c r="H344" s="37">
        <f t="shared" ca="1" si="30"/>
        <v>1.0784051628062957E-2</v>
      </c>
      <c r="J344" s="38">
        <f t="shared" si="31"/>
        <v>2.110473392972868E-2</v>
      </c>
      <c r="K344" s="38">
        <f t="shared" ca="1" si="32"/>
        <v>2.1264890603119969E-2</v>
      </c>
      <c r="L344" s="38">
        <f t="shared" ca="1" si="33"/>
        <v>1.0737623056634385E-2</v>
      </c>
    </row>
    <row r="345" spans="1:12" ht="13.8" thickBot="1" x14ac:dyDescent="0.3">
      <c r="A345" s="12">
        <v>44312.666666666664</v>
      </c>
      <c r="B345" s="4">
        <v>39.409999999999997</v>
      </c>
      <c r="C345" s="2">
        <f ca="1">IFERROR(__xludf.DUMMYFUNCTION("""COMPUTED_VALUE"""),60.29)</f>
        <v>60.29</v>
      </c>
      <c r="D345" s="2">
        <f ca="1">IFERROR(__xludf.DUMMYFUNCTION("""COMPUTED_VALUE"""),417.61)</f>
        <v>417.61</v>
      </c>
      <c r="F345" s="37">
        <f t="shared" si="28"/>
        <v>5.8531786905174519E-3</v>
      </c>
      <c r="G345" s="37">
        <f t="shared" ca="1" si="29"/>
        <v>9.9568544568443842E-4</v>
      </c>
      <c r="H345" s="37">
        <f t="shared" ca="1" si="30"/>
        <v>2.0854564998186269E-3</v>
      </c>
      <c r="J345" s="38">
        <f t="shared" si="31"/>
        <v>5.8067501190888805E-3</v>
      </c>
      <c r="K345" s="38">
        <f t="shared" ca="1" si="32"/>
        <v>9.4925687425586702E-4</v>
      </c>
      <c r="L345" s="38">
        <f t="shared" ca="1" si="33"/>
        <v>2.0390279283900555E-3</v>
      </c>
    </row>
    <row r="346" spans="1:12" ht="13.8" thickBot="1" x14ac:dyDescent="0.3">
      <c r="A346" s="12">
        <v>44313.666666666664</v>
      </c>
      <c r="B346" s="4">
        <v>39.880000000000003</v>
      </c>
      <c r="C346" s="2">
        <f ca="1">IFERROR(__xludf.DUMMYFUNCTION("""COMPUTED_VALUE"""),60.32)</f>
        <v>60.32</v>
      </c>
      <c r="D346" s="2">
        <f ca="1">IFERROR(__xludf.DUMMYFUNCTION("""COMPUTED_VALUE"""),417.52)</f>
        <v>417.52</v>
      </c>
      <c r="F346" s="37">
        <f t="shared" si="28"/>
        <v>1.1855353886725309E-2</v>
      </c>
      <c r="G346" s="37">
        <f t="shared" ca="1" si="29"/>
        <v>4.9747119838641253E-4</v>
      </c>
      <c r="H346" s="37">
        <f t="shared" ca="1" si="30"/>
        <v>-2.1553530671502723E-4</v>
      </c>
      <c r="J346" s="38">
        <f t="shared" si="31"/>
        <v>1.1808925315296736E-2</v>
      </c>
      <c r="K346" s="38">
        <f t="shared" ca="1" si="32"/>
        <v>4.5104262695784113E-4</v>
      </c>
      <c r="L346" s="38">
        <f t="shared" ca="1" si="33"/>
        <v>-2.6196387814359868E-4</v>
      </c>
    </row>
    <row r="347" spans="1:12" ht="13.8" thickBot="1" x14ac:dyDescent="0.3">
      <c r="A347" s="12">
        <v>44314.666666666664</v>
      </c>
      <c r="B347" s="4">
        <v>40.03</v>
      </c>
      <c r="C347" s="2">
        <f ca="1">IFERROR(__xludf.DUMMYFUNCTION("""COMPUTED_VALUE"""),60.38)</f>
        <v>60.38</v>
      </c>
      <c r="D347" s="2">
        <f ca="1">IFERROR(__xludf.DUMMYFUNCTION("""COMPUTED_VALUE"""),417.4)</f>
        <v>417.4</v>
      </c>
      <c r="F347" s="37">
        <f t="shared" si="28"/>
        <v>3.7542279108446126E-3</v>
      </c>
      <c r="G347" s="37">
        <f t="shared" ca="1" si="29"/>
        <v>9.9420057899211466E-4</v>
      </c>
      <c r="H347" s="37">
        <f t="shared" ca="1" si="30"/>
        <v>-2.8745269205740043E-4</v>
      </c>
      <c r="J347" s="38">
        <f t="shared" si="31"/>
        <v>3.7077993394160412E-3</v>
      </c>
      <c r="K347" s="38">
        <f t="shared" ca="1" si="32"/>
        <v>9.4777200756354326E-4</v>
      </c>
      <c r="L347" s="38">
        <f t="shared" ca="1" si="33"/>
        <v>-3.3388126348597182E-4</v>
      </c>
    </row>
    <row r="348" spans="1:12" ht="13.8" thickBot="1" x14ac:dyDescent="0.3">
      <c r="A348" s="12">
        <v>44315.666666666664</v>
      </c>
      <c r="B348" s="4">
        <v>41.11</v>
      </c>
      <c r="C348" s="2">
        <f ca="1">IFERROR(__xludf.DUMMYFUNCTION("""COMPUTED_VALUE"""),59.56)</f>
        <v>59.56</v>
      </c>
      <c r="D348" s="2">
        <f ca="1">IFERROR(__xludf.DUMMYFUNCTION("""COMPUTED_VALUE"""),420.06)</f>
        <v>420.06</v>
      </c>
      <c r="F348" s="37">
        <f t="shared" si="28"/>
        <v>2.662222790530477E-2</v>
      </c>
      <c r="G348" s="37">
        <f t="shared" ca="1" si="29"/>
        <v>-1.3673716462884528E-2</v>
      </c>
      <c r="H348" s="37">
        <f t="shared" ca="1" si="30"/>
        <v>6.3525635740610056E-3</v>
      </c>
      <c r="J348" s="38">
        <f t="shared" si="31"/>
        <v>2.6575799333876198E-2</v>
      </c>
      <c r="K348" s="38">
        <f t="shared" ca="1" si="32"/>
        <v>-1.3720145034313101E-2</v>
      </c>
      <c r="L348" s="38">
        <f t="shared" ca="1" si="33"/>
        <v>6.3061350026324342E-3</v>
      </c>
    </row>
    <row r="349" spans="1:12" ht="13.8" thickBot="1" x14ac:dyDescent="0.3">
      <c r="A349" s="12">
        <v>44316.666666666664</v>
      </c>
      <c r="B349" s="4">
        <v>40.53</v>
      </c>
      <c r="C349" s="2">
        <f ca="1">IFERROR(__xludf.DUMMYFUNCTION("""COMPUTED_VALUE"""),59.76)</f>
        <v>59.76</v>
      </c>
      <c r="D349" s="2">
        <f ca="1">IFERROR(__xludf.DUMMYFUNCTION("""COMPUTED_VALUE"""),417.3)</f>
        <v>417.3</v>
      </c>
      <c r="F349" s="37">
        <f t="shared" si="28"/>
        <v>-1.4208960269569778E-2</v>
      </c>
      <c r="G349" s="37">
        <f t="shared" ca="1" si="29"/>
        <v>3.3523330087534497E-3</v>
      </c>
      <c r="H349" s="37">
        <f t="shared" ca="1" si="30"/>
        <v>-6.5921706196542685E-3</v>
      </c>
      <c r="J349" s="38">
        <f t="shared" si="31"/>
        <v>-1.425538884099835E-2</v>
      </c>
      <c r="K349" s="38">
        <f t="shared" ca="1" si="32"/>
        <v>3.3059044373248783E-3</v>
      </c>
      <c r="L349" s="38">
        <f t="shared" ca="1" si="33"/>
        <v>-6.6385991910828399E-3</v>
      </c>
    </row>
    <row r="350" spans="1:12" ht="13.8" thickBot="1" x14ac:dyDescent="0.3">
      <c r="A350" s="12">
        <v>44319.666666666664</v>
      </c>
      <c r="B350" s="4">
        <v>40.56</v>
      </c>
      <c r="C350" s="2">
        <f ca="1">IFERROR(__xludf.DUMMYFUNCTION("""COMPUTED_VALUE"""),59.49)</f>
        <v>59.49</v>
      </c>
      <c r="D350" s="2">
        <f ca="1">IFERROR(__xludf.DUMMYFUNCTION("""COMPUTED_VALUE"""),418.2)</f>
        <v>418.2</v>
      </c>
      <c r="F350" s="37">
        <f t="shared" si="28"/>
        <v>7.3991864271051437E-4</v>
      </c>
      <c r="G350" s="37">
        <f t="shared" ca="1" si="29"/>
        <v>-4.528309624747511E-3</v>
      </c>
      <c r="H350" s="37">
        <f t="shared" ca="1" si="30"/>
        <v>2.1543993970262248E-3</v>
      </c>
      <c r="J350" s="38">
        <f t="shared" si="31"/>
        <v>6.9349007128194297E-4</v>
      </c>
      <c r="K350" s="38">
        <f t="shared" ca="1" si="32"/>
        <v>-4.5747381961760824E-3</v>
      </c>
      <c r="L350" s="38">
        <f t="shared" ca="1" si="33"/>
        <v>2.1079708255976534E-3</v>
      </c>
    </row>
    <row r="351" spans="1:12" ht="13.8" thickBot="1" x14ac:dyDescent="0.3">
      <c r="A351" s="12">
        <v>44320.666666666664</v>
      </c>
      <c r="B351" s="4">
        <v>41</v>
      </c>
      <c r="C351" s="2">
        <f ca="1">IFERROR(__xludf.DUMMYFUNCTION("""COMPUTED_VALUE"""),60.97)</f>
        <v>60.97</v>
      </c>
      <c r="D351" s="2">
        <f ca="1">IFERROR(__xludf.DUMMYFUNCTION("""COMPUTED_VALUE"""),415.62)</f>
        <v>415.62</v>
      </c>
      <c r="F351" s="37">
        <f t="shared" si="28"/>
        <v>1.0789707421380025E-2</v>
      </c>
      <c r="G351" s="37">
        <f t="shared" ca="1" si="29"/>
        <v>2.4573708719910308E-2</v>
      </c>
      <c r="H351" s="37">
        <f t="shared" ca="1" si="30"/>
        <v>-6.1884057319644597E-3</v>
      </c>
      <c r="J351" s="38">
        <f t="shared" si="31"/>
        <v>1.0743278849951453E-2</v>
      </c>
      <c r="K351" s="38">
        <f t="shared" ca="1" si="32"/>
        <v>2.4527280148481736E-2</v>
      </c>
      <c r="L351" s="38">
        <f t="shared" ca="1" si="33"/>
        <v>-6.234834303393031E-3</v>
      </c>
    </row>
    <row r="352" spans="1:12" ht="13.8" thickBot="1" x14ac:dyDescent="0.3">
      <c r="A352" s="12">
        <v>44321.666666666664</v>
      </c>
      <c r="B352" s="4">
        <v>41.39</v>
      </c>
      <c r="C352" s="2">
        <f ca="1">IFERROR(__xludf.DUMMYFUNCTION("""COMPUTED_VALUE"""),61.59)</f>
        <v>61.59</v>
      </c>
      <c r="D352" s="2">
        <f ca="1">IFERROR(__xludf.DUMMYFUNCTION("""COMPUTED_VALUE"""),415.75)</f>
        <v>415.75</v>
      </c>
      <c r="F352" s="37">
        <f t="shared" si="28"/>
        <v>9.4672390563332407E-3</v>
      </c>
      <c r="G352" s="37">
        <f t="shared" ca="1" si="29"/>
        <v>1.011757977922728E-2</v>
      </c>
      <c r="H352" s="37">
        <f t="shared" ca="1" si="30"/>
        <v>3.1273681046842987E-4</v>
      </c>
      <c r="J352" s="38">
        <f t="shared" si="31"/>
        <v>9.4208104849046684E-3</v>
      </c>
      <c r="K352" s="38">
        <f t="shared" ca="1" si="32"/>
        <v>1.0071151207798707E-2</v>
      </c>
      <c r="L352" s="38">
        <f t="shared" ca="1" si="33"/>
        <v>2.6630823903985848E-4</v>
      </c>
    </row>
    <row r="353" spans="1:12" ht="13.8" thickBot="1" x14ac:dyDescent="0.3">
      <c r="A353" s="12">
        <v>44322.666666666664</v>
      </c>
      <c r="B353" s="4">
        <v>42.01</v>
      </c>
      <c r="C353" s="2">
        <f ca="1">IFERROR(__xludf.DUMMYFUNCTION("""COMPUTED_VALUE"""),61.35)</f>
        <v>61.35</v>
      </c>
      <c r="D353" s="2">
        <f ca="1">IFERROR(__xludf.DUMMYFUNCTION("""COMPUTED_VALUE"""),419.07)</f>
        <v>419.07</v>
      </c>
      <c r="F353" s="37">
        <f t="shared" si="28"/>
        <v>1.4868379420649683E-2</v>
      </c>
      <c r="G353" s="37">
        <f t="shared" ca="1" si="29"/>
        <v>-3.9043485420314559E-3</v>
      </c>
      <c r="H353" s="37">
        <f t="shared" ca="1" si="30"/>
        <v>7.9538523345322309E-3</v>
      </c>
      <c r="J353" s="38">
        <f t="shared" si="31"/>
        <v>1.4821950849221111E-2</v>
      </c>
      <c r="K353" s="38">
        <f t="shared" ca="1" si="32"/>
        <v>-3.9507771134600278E-3</v>
      </c>
      <c r="L353" s="38">
        <f t="shared" ca="1" si="33"/>
        <v>7.9074237631036586E-3</v>
      </c>
    </row>
    <row r="354" spans="1:12" ht="13.8" thickBot="1" x14ac:dyDescent="0.3">
      <c r="A354" s="12">
        <v>44323.666666666664</v>
      </c>
      <c r="B354" s="4">
        <v>42.18</v>
      </c>
      <c r="C354" s="2">
        <f ca="1">IFERROR(__xludf.DUMMYFUNCTION("""COMPUTED_VALUE"""),63.02)</f>
        <v>63.02</v>
      </c>
      <c r="D354" s="2">
        <f ca="1">IFERROR(__xludf.DUMMYFUNCTION("""COMPUTED_VALUE"""),422.12)</f>
        <v>422.12</v>
      </c>
      <c r="F354" s="37">
        <f t="shared" si="28"/>
        <v>4.0384898693378007E-3</v>
      </c>
      <c r="G354" s="37">
        <f t="shared" ca="1" si="29"/>
        <v>2.6856965172208151E-2</v>
      </c>
      <c r="H354" s="37">
        <f t="shared" ca="1" si="30"/>
        <v>7.2516633953202065E-3</v>
      </c>
      <c r="J354" s="38">
        <f t="shared" si="31"/>
        <v>3.9920612979092293E-3</v>
      </c>
      <c r="K354" s="38">
        <f t="shared" ca="1" si="32"/>
        <v>2.6810536600779578E-2</v>
      </c>
      <c r="L354" s="38">
        <f t="shared" ca="1" si="33"/>
        <v>7.2052348238916351E-3</v>
      </c>
    </row>
    <row r="355" spans="1:12" ht="13.8" thickBot="1" x14ac:dyDescent="0.3">
      <c r="A355" s="12">
        <v>44326.666666666664</v>
      </c>
      <c r="B355" s="4">
        <v>42.05</v>
      </c>
      <c r="C355" s="2">
        <f ca="1">IFERROR(__xludf.DUMMYFUNCTION("""COMPUTED_VALUE"""),61.28)</f>
        <v>61.28</v>
      </c>
      <c r="D355" s="2">
        <f ca="1">IFERROR(__xludf.DUMMYFUNCTION("""COMPUTED_VALUE"""),417.94)</f>
        <v>417.94</v>
      </c>
      <c r="F355" s="37">
        <f t="shared" si="28"/>
        <v>-3.0867886316715914E-3</v>
      </c>
      <c r="G355" s="37">
        <f t="shared" ca="1" si="29"/>
        <v>-2.7998610896792665E-2</v>
      </c>
      <c r="H355" s="37">
        <f t="shared" ca="1" si="30"/>
        <v>-9.9517522509374543E-3</v>
      </c>
      <c r="J355" s="38">
        <f t="shared" si="31"/>
        <v>-3.1332172031001628E-3</v>
      </c>
      <c r="K355" s="38">
        <f t="shared" ca="1" si="32"/>
        <v>-2.8045039468221237E-2</v>
      </c>
      <c r="L355" s="38">
        <f t="shared" ca="1" si="33"/>
        <v>-9.9981808223660266E-3</v>
      </c>
    </row>
    <row r="356" spans="1:12" ht="13.8" thickBot="1" x14ac:dyDescent="0.3">
      <c r="A356" s="12">
        <v>44327.666666666664</v>
      </c>
      <c r="B356" s="4">
        <v>41.57</v>
      </c>
      <c r="C356" s="2">
        <f ca="1">IFERROR(__xludf.DUMMYFUNCTION("""COMPUTED_VALUE"""),63.16)</f>
        <v>63.16</v>
      </c>
      <c r="D356" s="2">
        <f ca="1">IFERROR(__xludf.DUMMYFUNCTION("""COMPUTED_VALUE"""),414.21)</f>
        <v>414.21</v>
      </c>
      <c r="F356" s="37">
        <f t="shared" si="28"/>
        <v>-1.1480633154410932E-2</v>
      </c>
      <c r="G356" s="37">
        <f t="shared" ca="1" si="29"/>
        <v>3.0217663955105497E-2</v>
      </c>
      <c r="H356" s="37">
        <f t="shared" ca="1" si="30"/>
        <v>-8.9647899557813264E-3</v>
      </c>
      <c r="J356" s="38">
        <f t="shared" si="31"/>
        <v>-1.1527061725839505E-2</v>
      </c>
      <c r="K356" s="38">
        <f t="shared" ca="1" si="32"/>
        <v>3.0171235383676925E-2</v>
      </c>
      <c r="L356" s="38">
        <f t="shared" ca="1" si="33"/>
        <v>-9.0112185272098987E-3</v>
      </c>
    </row>
    <row r="357" spans="1:12" ht="13.8" thickBot="1" x14ac:dyDescent="0.3">
      <c r="A357" s="12">
        <v>44328.666666666664</v>
      </c>
      <c r="B357" s="4">
        <v>41.18</v>
      </c>
      <c r="C357" s="2">
        <f ca="1">IFERROR(__xludf.DUMMYFUNCTION("""COMPUTED_VALUE"""),62.22)</f>
        <v>62.22</v>
      </c>
      <c r="D357" s="2">
        <f ca="1">IFERROR(__xludf.DUMMYFUNCTION("""COMPUTED_VALUE"""),405.41)</f>
        <v>405.41</v>
      </c>
      <c r="F357" s="37">
        <f t="shared" si="28"/>
        <v>-9.426051664902688E-3</v>
      </c>
      <c r="G357" s="37">
        <f t="shared" ca="1" si="29"/>
        <v>-1.4994697917950389E-2</v>
      </c>
      <c r="H357" s="37">
        <f t="shared" ca="1" si="30"/>
        <v>-2.1474190886936251E-2</v>
      </c>
      <c r="J357" s="38">
        <f t="shared" si="31"/>
        <v>-9.4724802363312603E-3</v>
      </c>
      <c r="K357" s="38">
        <f t="shared" ca="1" si="32"/>
        <v>-1.5041126489378961E-2</v>
      </c>
      <c r="L357" s="38">
        <f t="shared" ca="1" si="33"/>
        <v>-2.1520619458364823E-2</v>
      </c>
    </row>
    <row r="358" spans="1:12" ht="13.8" thickBot="1" x14ac:dyDescent="0.3">
      <c r="A358" s="12">
        <v>44329.666666666664</v>
      </c>
      <c r="B358" s="4">
        <v>41.84</v>
      </c>
      <c r="C358" s="2">
        <f ca="1">IFERROR(__xludf.DUMMYFUNCTION("""COMPUTED_VALUE"""),62.76)</f>
        <v>62.76</v>
      </c>
      <c r="D358" s="2">
        <f ca="1">IFERROR(__xludf.DUMMYFUNCTION("""COMPUTED_VALUE"""),410.28)</f>
        <v>410.28</v>
      </c>
      <c r="F358" s="37">
        <f t="shared" si="28"/>
        <v>1.5900118157024187E-2</v>
      </c>
      <c r="G358" s="37">
        <f t="shared" ca="1" si="29"/>
        <v>8.6414363953408006E-3</v>
      </c>
      <c r="H358" s="37">
        <f t="shared" ca="1" si="30"/>
        <v>1.1940952729975805E-2</v>
      </c>
      <c r="J358" s="38">
        <f t="shared" si="31"/>
        <v>1.5853689585595614E-2</v>
      </c>
      <c r="K358" s="38">
        <f t="shared" ca="1" si="32"/>
        <v>8.5950078239122284E-3</v>
      </c>
      <c r="L358" s="38">
        <f t="shared" ca="1" si="33"/>
        <v>1.1894524158547233E-2</v>
      </c>
    </row>
    <row r="359" spans="1:12" ht="13.8" thickBot="1" x14ac:dyDescent="0.3">
      <c r="A359" s="12">
        <v>44330.666666666664</v>
      </c>
      <c r="B359" s="4">
        <v>42.36</v>
      </c>
      <c r="C359" s="2">
        <f ca="1">IFERROR(__xludf.DUMMYFUNCTION("""COMPUTED_VALUE"""),63.31)</f>
        <v>63.31</v>
      </c>
      <c r="D359" s="2">
        <f ca="1">IFERROR(__xludf.DUMMYFUNCTION("""COMPUTED_VALUE"""),416.58)</f>
        <v>416.58</v>
      </c>
      <c r="F359" s="37">
        <f t="shared" si="28"/>
        <v>1.2351700976538139E-2</v>
      </c>
      <c r="G359" s="37">
        <f t="shared" ca="1" si="29"/>
        <v>8.7253666912034591E-3</v>
      </c>
      <c r="H359" s="37">
        <f t="shared" ca="1" si="30"/>
        <v>1.5238666554026831E-2</v>
      </c>
      <c r="J359" s="38">
        <f t="shared" si="31"/>
        <v>1.2305272405109566E-2</v>
      </c>
      <c r="K359" s="38">
        <f t="shared" ca="1" si="32"/>
        <v>8.6789381197748868E-3</v>
      </c>
      <c r="L359" s="38">
        <f t="shared" ca="1" si="33"/>
        <v>1.5192237982598259E-2</v>
      </c>
    </row>
    <row r="360" spans="1:12" ht="13.8" thickBot="1" x14ac:dyDescent="0.3">
      <c r="A360" s="12">
        <v>44333.666666666664</v>
      </c>
      <c r="B360" s="4">
        <v>42.74</v>
      </c>
      <c r="C360" s="2">
        <f ca="1">IFERROR(__xludf.DUMMYFUNCTION("""COMPUTED_VALUE"""),63.13)</f>
        <v>63.13</v>
      </c>
      <c r="D360" s="2">
        <f ca="1">IFERROR(__xludf.DUMMYFUNCTION("""COMPUTED_VALUE"""),415.52)</f>
        <v>415.52</v>
      </c>
      <c r="F360" s="37">
        <f t="shared" si="28"/>
        <v>8.9307291577959899E-3</v>
      </c>
      <c r="G360" s="37">
        <f t="shared" ca="1" si="29"/>
        <v>-2.8472021765008682E-3</v>
      </c>
      <c r="H360" s="37">
        <f t="shared" ca="1" si="30"/>
        <v>-2.5477720787986644E-3</v>
      </c>
      <c r="J360" s="38">
        <f t="shared" si="31"/>
        <v>8.8843005863674177E-3</v>
      </c>
      <c r="K360" s="38">
        <f t="shared" ca="1" si="32"/>
        <v>-2.8936307479294396E-3</v>
      </c>
      <c r="L360" s="38">
        <f t="shared" ca="1" si="33"/>
        <v>-2.5942006502272358E-3</v>
      </c>
    </row>
    <row r="361" spans="1:12" ht="13.8" thickBot="1" x14ac:dyDescent="0.3">
      <c r="A361" s="12">
        <v>44334.666666666664</v>
      </c>
      <c r="B361" s="4">
        <v>42.16</v>
      </c>
      <c r="C361" s="2">
        <f ca="1">IFERROR(__xludf.DUMMYFUNCTION("""COMPUTED_VALUE"""),61.85)</f>
        <v>61.85</v>
      </c>
      <c r="D361" s="2">
        <f ca="1">IFERROR(__xludf.DUMMYFUNCTION("""COMPUTED_VALUE"""),411.94)</f>
        <v>411.94</v>
      </c>
      <c r="F361" s="37">
        <f t="shared" si="28"/>
        <v>-1.3663345657894775E-2</v>
      </c>
      <c r="G361" s="37">
        <f t="shared" ca="1" si="29"/>
        <v>-2.0483993541037374E-2</v>
      </c>
      <c r="H361" s="37">
        <f t="shared" ca="1" si="30"/>
        <v>-8.6530402381067122E-3</v>
      </c>
      <c r="J361" s="38">
        <f t="shared" si="31"/>
        <v>-1.3709774229323348E-2</v>
      </c>
      <c r="K361" s="38">
        <f t="shared" ca="1" si="32"/>
        <v>-2.0530422112465946E-2</v>
      </c>
      <c r="L361" s="38">
        <f t="shared" ca="1" si="33"/>
        <v>-8.6994688095352844E-3</v>
      </c>
    </row>
    <row r="362" spans="1:12" ht="13.8" thickBot="1" x14ac:dyDescent="0.3">
      <c r="A362" s="12">
        <v>44335.666666666664</v>
      </c>
      <c r="B362" s="4">
        <v>41.97</v>
      </c>
      <c r="C362" s="2">
        <f ca="1">IFERROR(__xludf.DUMMYFUNCTION("""COMPUTED_VALUE"""),62.49)</f>
        <v>62.49</v>
      </c>
      <c r="D362" s="2">
        <f ca="1">IFERROR(__xludf.DUMMYFUNCTION("""COMPUTED_VALUE"""),410.86)</f>
        <v>410.86</v>
      </c>
      <c r="F362" s="37">
        <f t="shared" si="28"/>
        <v>-4.5168268876072852E-3</v>
      </c>
      <c r="G362" s="37">
        <f t="shared" ca="1" si="29"/>
        <v>1.0294445102493522E-2</v>
      </c>
      <c r="H362" s="37">
        <f t="shared" ca="1" si="30"/>
        <v>-2.6251838119664504E-3</v>
      </c>
      <c r="J362" s="38">
        <f t="shared" si="31"/>
        <v>-4.5632554590358566E-3</v>
      </c>
      <c r="K362" s="38">
        <f t="shared" ca="1" si="32"/>
        <v>1.0248016531064949E-2</v>
      </c>
      <c r="L362" s="38">
        <f t="shared" ca="1" si="33"/>
        <v>-2.6716123833950218E-3</v>
      </c>
    </row>
    <row r="363" spans="1:12" ht="13.8" thickBot="1" x14ac:dyDescent="0.3">
      <c r="A363" s="12">
        <v>44336.666666666664</v>
      </c>
      <c r="B363" s="4">
        <v>41.87</v>
      </c>
      <c r="C363" s="2">
        <f ca="1">IFERROR(__xludf.DUMMYFUNCTION("""COMPUTED_VALUE"""),63.59)</f>
        <v>63.59</v>
      </c>
      <c r="D363" s="2">
        <f ca="1">IFERROR(__xludf.DUMMYFUNCTION("""COMPUTED_VALUE"""),415.28)</f>
        <v>415.28</v>
      </c>
      <c r="F363" s="37">
        <f t="shared" si="28"/>
        <v>-2.3854973144475716E-3</v>
      </c>
      <c r="G363" s="37">
        <f t="shared" ca="1" si="29"/>
        <v>1.7449681338326105E-2</v>
      </c>
      <c r="H363" s="37">
        <f t="shared" ca="1" si="30"/>
        <v>1.0700467654608499E-2</v>
      </c>
      <c r="J363" s="38">
        <f t="shared" si="31"/>
        <v>-2.431925885876143E-3</v>
      </c>
      <c r="K363" s="38">
        <f t="shared" ca="1" si="32"/>
        <v>1.7403252766897533E-2</v>
      </c>
      <c r="L363" s="38">
        <f t="shared" ca="1" si="33"/>
        <v>1.0654039083179927E-2</v>
      </c>
    </row>
    <row r="364" spans="1:12" ht="13.8" thickBot="1" x14ac:dyDescent="0.3">
      <c r="A364" s="12">
        <v>44337.666666666664</v>
      </c>
      <c r="B364" s="4">
        <v>42.4</v>
      </c>
      <c r="C364" s="2">
        <f ca="1">IFERROR(__xludf.DUMMYFUNCTION("""COMPUTED_VALUE"""),63.91)</f>
        <v>63.91</v>
      </c>
      <c r="D364" s="2">
        <f ca="1">IFERROR(__xludf.DUMMYFUNCTION("""COMPUTED_VALUE"""),414.94)</f>
        <v>414.94</v>
      </c>
      <c r="F364" s="37">
        <f t="shared" si="28"/>
        <v>1.2578782206860185E-2</v>
      </c>
      <c r="G364" s="37">
        <f t="shared" ca="1" si="29"/>
        <v>5.0196183828737865E-3</v>
      </c>
      <c r="H364" s="37">
        <f t="shared" ca="1" si="30"/>
        <v>-8.1906005398005625E-4</v>
      </c>
      <c r="J364" s="38">
        <f t="shared" si="31"/>
        <v>1.2532353635431613E-2</v>
      </c>
      <c r="K364" s="38">
        <f t="shared" ca="1" si="32"/>
        <v>4.9731898114452151E-3</v>
      </c>
      <c r="L364" s="38">
        <f t="shared" ca="1" si="33"/>
        <v>-8.6548862540862764E-4</v>
      </c>
    </row>
    <row r="365" spans="1:12" ht="13.8" thickBot="1" x14ac:dyDescent="0.3">
      <c r="A365" s="12">
        <v>44340.666666666664</v>
      </c>
      <c r="B365" s="4">
        <v>42.63</v>
      </c>
      <c r="C365" s="2">
        <f ca="1">IFERROR(__xludf.DUMMYFUNCTION("""COMPUTED_VALUE"""),63.51)</f>
        <v>63.51</v>
      </c>
      <c r="D365" s="2">
        <f ca="1">IFERROR(__xludf.DUMMYFUNCTION("""COMPUTED_VALUE"""),419.17)</f>
        <v>419.17</v>
      </c>
      <c r="F365" s="37">
        <f t="shared" si="28"/>
        <v>5.4098685392068675E-3</v>
      </c>
      <c r="G365" s="37">
        <f t="shared" ca="1" si="29"/>
        <v>-6.2784698473068801E-3</v>
      </c>
      <c r="H365" s="37">
        <f t="shared" ca="1" si="30"/>
        <v>1.014263409545412E-2</v>
      </c>
      <c r="J365" s="38">
        <f t="shared" si="31"/>
        <v>5.3634399677782961E-3</v>
      </c>
      <c r="K365" s="38">
        <f t="shared" ca="1" si="32"/>
        <v>-6.3248984187354515E-3</v>
      </c>
      <c r="L365" s="38">
        <f t="shared" ca="1" si="33"/>
        <v>1.0096205524025547E-2</v>
      </c>
    </row>
    <row r="366" spans="1:12" ht="13.8" thickBot="1" x14ac:dyDescent="0.3">
      <c r="A366" s="12">
        <v>44341.666666666664</v>
      </c>
      <c r="B366" s="4">
        <v>42.01</v>
      </c>
      <c r="C366" s="2">
        <f ca="1">IFERROR(__xludf.DUMMYFUNCTION("""COMPUTED_VALUE"""),64.15)</f>
        <v>64.150000000000006</v>
      </c>
      <c r="D366" s="2">
        <f ca="1">IFERROR(__xludf.DUMMYFUNCTION("""COMPUTED_VALUE"""),418.24)</f>
        <v>418.24</v>
      </c>
      <c r="F366" s="37">
        <f t="shared" si="28"/>
        <v>-1.4650545595828346E-2</v>
      </c>
      <c r="G366" s="37">
        <f t="shared" ca="1" si="29"/>
        <v>1.0026717246762015E-2</v>
      </c>
      <c r="H366" s="37">
        <f t="shared" ca="1" si="30"/>
        <v>-2.2211351245904954E-3</v>
      </c>
      <c r="J366" s="38">
        <f t="shared" si="31"/>
        <v>-1.4696974167256918E-2</v>
      </c>
      <c r="K366" s="38">
        <f t="shared" ca="1" si="32"/>
        <v>9.9802886753334423E-3</v>
      </c>
      <c r="L366" s="38">
        <f t="shared" ca="1" si="33"/>
        <v>-2.2675636960190668E-3</v>
      </c>
    </row>
    <row r="367" spans="1:12" ht="13.8" thickBot="1" x14ac:dyDescent="0.3">
      <c r="A367" s="12">
        <v>44342.666666666664</v>
      </c>
      <c r="B367" s="4">
        <v>42.04</v>
      </c>
      <c r="C367" s="2">
        <f ca="1">IFERROR(__xludf.DUMMYFUNCTION("""COMPUTED_VALUE"""),64.31)</f>
        <v>64.31</v>
      </c>
      <c r="D367" s="2">
        <f ca="1">IFERROR(__xludf.DUMMYFUNCTION("""COMPUTED_VALUE"""),419.07)</f>
        <v>419.07</v>
      </c>
      <c r="F367" s="37">
        <f t="shared" si="28"/>
        <v>7.1386082745961035E-4</v>
      </c>
      <c r="G367" s="37">
        <f t="shared" ca="1" si="29"/>
        <v>2.4910490851262432E-3</v>
      </c>
      <c r="H367" s="37">
        <f t="shared" ca="1" si="30"/>
        <v>1.9825399717120456E-3</v>
      </c>
      <c r="J367" s="38">
        <f t="shared" si="31"/>
        <v>6.6743225603103896E-4</v>
      </c>
      <c r="K367" s="38">
        <f t="shared" ca="1" si="32"/>
        <v>2.4446205136976719E-3</v>
      </c>
      <c r="L367" s="38">
        <f t="shared" ca="1" si="33"/>
        <v>1.9361114002834742E-3</v>
      </c>
    </row>
    <row r="368" spans="1:12" ht="13.8" thickBot="1" x14ac:dyDescent="0.3">
      <c r="A368" s="12">
        <v>44343.666666666664</v>
      </c>
      <c r="B368" s="4">
        <v>42.55</v>
      </c>
      <c r="C368" s="2">
        <f ca="1">IFERROR(__xludf.DUMMYFUNCTION("""COMPUTED_VALUE"""),64.51)</f>
        <v>64.510000000000005</v>
      </c>
      <c r="D368" s="2">
        <f ca="1">IFERROR(__xludf.DUMMYFUNCTION("""COMPUTED_VALUE"""),419.29)</f>
        <v>419.29</v>
      </c>
      <c r="F368" s="37">
        <f t="shared" si="28"/>
        <v>1.2058309010632718E-2</v>
      </c>
      <c r="G368" s="37">
        <f t="shared" ca="1" si="29"/>
        <v>3.1051103973785245E-3</v>
      </c>
      <c r="H368" s="37">
        <f t="shared" ca="1" si="30"/>
        <v>5.2483421215222012E-4</v>
      </c>
      <c r="J368" s="38">
        <f t="shared" si="31"/>
        <v>1.2011880439204146E-2</v>
      </c>
      <c r="K368" s="38">
        <f t="shared" ca="1" si="32"/>
        <v>3.0586818259499531E-3</v>
      </c>
      <c r="L368" s="38">
        <f t="shared" ca="1" si="33"/>
        <v>4.7840564072364872E-4</v>
      </c>
    </row>
    <row r="369" spans="1:12" ht="13.8" thickBot="1" x14ac:dyDescent="0.3">
      <c r="A369" s="12">
        <v>44344.666666666664</v>
      </c>
      <c r="B369" s="4">
        <v>42.39</v>
      </c>
      <c r="C369" s="2">
        <f ca="1">IFERROR(__xludf.DUMMYFUNCTION("""COMPUTED_VALUE"""),65.07)</f>
        <v>65.069999999999993</v>
      </c>
      <c r="D369" s="2">
        <f ca="1">IFERROR(__xludf.DUMMYFUNCTION("""COMPUTED_VALUE"""),420.04)</f>
        <v>420.04</v>
      </c>
      <c r="F369" s="37">
        <f t="shared" si="28"/>
        <v>-3.7673696548373202E-3</v>
      </c>
      <c r="G369" s="37">
        <f t="shared" ca="1" si="29"/>
        <v>8.6433629627422574E-3</v>
      </c>
      <c r="H369" s="37">
        <f t="shared" ca="1" si="30"/>
        <v>1.7871402180712071E-3</v>
      </c>
      <c r="J369" s="38">
        <f t="shared" si="31"/>
        <v>-3.8137982262658916E-3</v>
      </c>
      <c r="K369" s="38">
        <f t="shared" ca="1" si="32"/>
        <v>8.5969343913136851E-3</v>
      </c>
      <c r="L369" s="38">
        <f t="shared" ca="1" si="33"/>
        <v>1.7407116466426357E-3</v>
      </c>
    </row>
    <row r="370" spans="1:12" ht="13.8" thickBot="1" x14ac:dyDescent="0.3">
      <c r="A370" s="12">
        <v>44348.666666666664</v>
      </c>
      <c r="B370" s="4">
        <v>42.92</v>
      </c>
      <c r="C370" s="2">
        <f ca="1">IFERROR(__xludf.DUMMYFUNCTION("""COMPUTED_VALUE"""),65.39)</f>
        <v>65.39</v>
      </c>
      <c r="D370" s="2">
        <f ca="1">IFERROR(__xludf.DUMMYFUNCTION("""COMPUTED_VALUE"""),419.67)</f>
        <v>419.67</v>
      </c>
      <c r="F370" s="37">
        <f t="shared" si="28"/>
        <v>1.2425432397952078E-2</v>
      </c>
      <c r="G370" s="37">
        <f t="shared" ca="1" si="29"/>
        <v>4.905728066292003E-3</v>
      </c>
      <c r="H370" s="37">
        <f t="shared" ca="1" si="30"/>
        <v>-8.8125668134376414E-4</v>
      </c>
      <c r="J370" s="38">
        <f t="shared" si="31"/>
        <v>1.2379003826523505E-2</v>
      </c>
      <c r="K370" s="38">
        <f t="shared" ca="1" si="32"/>
        <v>4.8592994948634316E-3</v>
      </c>
      <c r="L370" s="38">
        <f t="shared" ca="1" si="33"/>
        <v>-9.2768525277233554E-4</v>
      </c>
    </row>
    <row r="371" spans="1:12" ht="13.8" thickBot="1" x14ac:dyDescent="0.3">
      <c r="A371" s="12">
        <v>44349.666666666664</v>
      </c>
      <c r="B371" s="4">
        <v>42.94</v>
      </c>
      <c r="C371" s="2">
        <f ca="1">IFERROR(__xludf.DUMMYFUNCTION("""COMPUTED_VALUE"""),65.94)</f>
        <v>65.94</v>
      </c>
      <c r="D371" s="2">
        <f ca="1">IFERROR(__xludf.DUMMYFUNCTION("""COMPUTED_VALUE"""),420.33)</f>
        <v>420.33</v>
      </c>
      <c r="F371" s="37">
        <f t="shared" si="28"/>
        <v>4.6587468813722756E-4</v>
      </c>
      <c r="G371" s="37">
        <f t="shared" ca="1" si="29"/>
        <v>8.3758960704003321E-3</v>
      </c>
      <c r="H371" s="37">
        <f t="shared" ca="1" si="30"/>
        <v>1.5714288948008399E-3</v>
      </c>
      <c r="J371" s="38">
        <f t="shared" si="31"/>
        <v>4.1944611670865616E-4</v>
      </c>
      <c r="K371" s="38">
        <f t="shared" ca="1" si="32"/>
        <v>8.3294674989717599E-3</v>
      </c>
      <c r="L371" s="38">
        <f t="shared" ca="1" si="33"/>
        <v>1.5250003233722685E-3</v>
      </c>
    </row>
    <row r="372" spans="1:12" ht="13.8" thickBot="1" x14ac:dyDescent="0.3">
      <c r="A372" s="12">
        <v>44350.666666666664</v>
      </c>
      <c r="B372" s="4">
        <v>43.25</v>
      </c>
      <c r="C372" s="2">
        <f ca="1">IFERROR(__xludf.DUMMYFUNCTION("""COMPUTED_VALUE"""),64.9)</f>
        <v>64.900000000000006</v>
      </c>
      <c r="D372" s="2">
        <f ca="1">IFERROR(__xludf.DUMMYFUNCTION("""COMPUTED_VALUE"""),418.77)</f>
        <v>418.77</v>
      </c>
      <c r="F372" s="37">
        <f t="shared" si="28"/>
        <v>7.1934409272534335E-3</v>
      </c>
      <c r="G372" s="37">
        <f t="shared" ca="1" si="29"/>
        <v>-1.5897613933540521E-2</v>
      </c>
      <c r="H372" s="37">
        <f t="shared" ca="1" si="30"/>
        <v>-3.7182738584732311E-3</v>
      </c>
      <c r="J372" s="38">
        <f t="shared" si="31"/>
        <v>7.1470123558248621E-3</v>
      </c>
      <c r="K372" s="38">
        <f t="shared" ca="1" si="32"/>
        <v>-1.5944042504969093E-2</v>
      </c>
      <c r="L372" s="38">
        <f t="shared" ca="1" si="33"/>
        <v>-3.7647024299018025E-3</v>
      </c>
    </row>
    <row r="373" spans="1:12" ht="13.8" thickBot="1" x14ac:dyDescent="0.3">
      <c r="A373" s="12">
        <v>44351.666666666664</v>
      </c>
      <c r="B373" s="4">
        <v>43.27</v>
      </c>
      <c r="C373" s="2">
        <f ca="1">IFERROR(__xludf.DUMMYFUNCTION("""COMPUTED_VALUE"""),64.95)</f>
        <v>64.95</v>
      </c>
      <c r="D373" s="2">
        <f ca="1">IFERROR(__xludf.DUMMYFUNCTION("""COMPUTED_VALUE"""),422.6)</f>
        <v>422.6</v>
      </c>
      <c r="F373" s="37">
        <f t="shared" si="28"/>
        <v>4.6232085890520304E-4</v>
      </c>
      <c r="G373" s="37">
        <f t="shared" ca="1" si="29"/>
        <v>7.7011940656425209E-4</v>
      </c>
      <c r="H373" s="37">
        <f t="shared" ca="1" si="30"/>
        <v>9.104261989179973E-3</v>
      </c>
      <c r="J373" s="38">
        <f t="shared" si="31"/>
        <v>4.1589228747663165E-4</v>
      </c>
      <c r="K373" s="38">
        <f t="shared" ca="1" si="32"/>
        <v>7.2369083513568069E-4</v>
      </c>
      <c r="L373" s="38">
        <f t="shared" ca="1" si="33"/>
        <v>9.0578334177514007E-3</v>
      </c>
    </row>
    <row r="374" spans="1:12" ht="13.8" thickBot="1" x14ac:dyDescent="0.3">
      <c r="A374" s="12">
        <v>44354.666666666664</v>
      </c>
      <c r="B374" s="4">
        <v>43.12</v>
      </c>
      <c r="C374" s="2">
        <f ca="1">IFERROR(__xludf.DUMMYFUNCTION("""COMPUTED_VALUE"""),64.79)</f>
        <v>64.790000000000006</v>
      </c>
      <c r="D374" s="2">
        <f ca="1">IFERROR(__xludf.DUMMYFUNCTION("""COMPUTED_VALUE"""),422.19)</f>
        <v>422.19</v>
      </c>
      <c r="F374" s="37">
        <f t="shared" si="28"/>
        <v>-3.4726276360518373E-3</v>
      </c>
      <c r="G374" s="37">
        <f t="shared" ca="1" si="29"/>
        <v>-2.466472654742665E-3</v>
      </c>
      <c r="H374" s="37">
        <f t="shared" ca="1" si="30"/>
        <v>-9.7065550537033711E-4</v>
      </c>
      <c r="J374" s="38">
        <f t="shared" si="31"/>
        <v>-3.5190562074804087E-3</v>
      </c>
      <c r="K374" s="38">
        <f t="shared" ca="1" si="32"/>
        <v>-2.5129012261712364E-3</v>
      </c>
      <c r="L374" s="38">
        <f t="shared" ca="1" si="33"/>
        <v>-1.0170840767989085E-3</v>
      </c>
    </row>
    <row r="375" spans="1:12" ht="13.8" thickBot="1" x14ac:dyDescent="0.3">
      <c r="A375" s="12">
        <v>44355.666666666664</v>
      </c>
      <c r="B375" s="4">
        <v>42.88</v>
      </c>
      <c r="C375" s="2">
        <f ca="1">IFERROR(__xludf.DUMMYFUNCTION("""COMPUTED_VALUE"""),64.46)</f>
        <v>64.459999999999994</v>
      </c>
      <c r="D375" s="2">
        <f ca="1">IFERROR(__xludf.DUMMYFUNCTION("""COMPUTED_VALUE"""),422.28)</f>
        <v>422.28</v>
      </c>
      <c r="F375" s="37">
        <f t="shared" si="28"/>
        <v>-5.581409838195041E-3</v>
      </c>
      <c r="G375" s="37">
        <f t="shared" ca="1" si="29"/>
        <v>-5.1063940745742506E-3</v>
      </c>
      <c r="H375" s="37">
        <f t="shared" ca="1" si="30"/>
        <v>2.1315144490800648E-4</v>
      </c>
      <c r="J375" s="38">
        <f t="shared" si="31"/>
        <v>-5.6278384096236124E-3</v>
      </c>
      <c r="K375" s="38">
        <f t="shared" ca="1" si="32"/>
        <v>-5.152822646002822E-3</v>
      </c>
      <c r="L375" s="38">
        <f t="shared" ca="1" si="33"/>
        <v>1.6672287347943506E-4</v>
      </c>
    </row>
    <row r="376" spans="1:12" ht="13.8" thickBot="1" x14ac:dyDescent="0.3">
      <c r="A376" s="12">
        <v>44356.666666666664</v>
      </c>
      <c r="B376" s="4">
        <v>42.32</v>
      </c>
      <c r="C376" s="2">
        <f ca="1">IFERROR(__xludf.DUMMYFUNCTION("""COMPUTED_VALUE"""),63.79)</f>
        <v>63.79</v>
      </c>
      <c r="D376" s="2">
        <f ca="1">IFERROR(__xludf.DUMMYFUNCTION("""COMPUTED_VALUE"""),421.65)</f>
        <v>421.65</v>
      </c>
      <c r="F376" s="37">
        <f t="shared" si="28"/>
        <v>-1.3145729212502616E-2</v>
      </c>
      <c r="G376" s="37">
        <f t="shared" ca="1" si="29"/>
        <v>-1.0448438133427712E-2</v>
      </c>
      <c r="H376" s="37">
        <f t="shared" ca="1" si="30"/>
        <v>-1.4930151008434797E-3</v>
      </c>
      <c r="J376" s="38">
        <f t="shared" si="31"/>
        <v>-1.3192157783931189E-2</v>
      </c>
      <c r="K376" s="38">
        <f t="shared" ca="1" si="32"/>
        <v>-1.0494866704856285E-2</v>
      </c>
      <c r="L376" s="38">
        <f t="shared" ca="1" si="33"/>
        <v>-1.5394436722720511E-3</v>
      </c>
    </row>
    <row r="377" spans="1:12" ht="13.8" thickBot="1" x14ac:dyDescent="0.3">
      <c r="A377" s="12">
        <v>44357.666666666664</v>
      </c>
      <c r="B377" s="4">
        <v>41.69</v>
      </c>
      <c r="C377" s="2">
        <f ca="1">IFERROR(__xludf.DUMMYFUNCTION("""COMPUTED_VALUE"""),63.16)</f>
        <v>63.16</v>
      </c>
      <c r="D377" s="2">
        <f ca="1">IFERROR(__xludf.DUMMYFUNCTION("""COMPUTED_VALUE"""),423.61)</f>
        <v>423.61</v>
      </c>
      <c r="F377" s="37">
        <f t="shared" si="28"/>
        <v>-1.4998495657338535E-2</v>
      </c>
      <c r="G377" s="37">
        <f t="shared" ca="1" si="29"/>
        <v>-9.9252488664226188E-3</v>
      </c>
      <c r="H377" s="37">
        <f t="shared" ca="1" si="30"/>
        <v>4.6376346045375813E-3</v>
      </c>
      <c r="J377" s="38">
        <f t="shared" si="31"/>
        <v>-1.5044924228767107E-2</v>
      </c>
      <c r="K377" s="38">
        <f t="shared" ca="1" si="32"/>
        <v>-9.971677437851191E-3</v>
      </c>
      <c r="L377" s="38">
        <f t="shared" ca="1" si="33"/>
        <v>4.5912060331090099E-3</v>
      </c>
    </row>
    <row r="378" spans="1:12" ht="13.8" thickBot="1" x14ac:dyDescent="0.3">
      <c r="A378" s="12">
        <v>44358.666666666664</v>
      </c>
      <c r="B378" s="4">
        <v>41.86</v>
      </c>
      <c r="C378" s="2">
        <f ca="1">IFERROR(__xludf.DUMMYFUNCTION("""COMPUTED_VALUE"""),62.1)</f>
        <v>62.1</v>
      </c>
      <c r="D378" s="2">
        <f ca="1">IFERROR(__xludf.DUMMYFUNCTION("""COMPUTED_VALUE"""),424.31)</f>
        <v>424.31</v>
      </c>
      <c r="F378" s="37">
        <f t="shared" si="28"/>
        <v>4.069425125148237E-3</v>
      </c>
      <c r="G378" s="37">
        <f t="shared" ca="1" si="29"/>
        <v>-1.6925200448008198E-2</v>
      </c>
      <c r="H378" s="37">
        <f t="shared" ca="1" si="30"/>
        <v>1.6510995353906704E-3</v>
      </c>
      <c r="J378" s="38">
        <f t="shared" si="31"/>
        <v>4.0229965537196656E-3</v>
      </c>
      <c r="K378" s="38">
        <f t="shared" ca="1" si="32"/>
        <v>-1.697162901943677E-2</v>
      </c>
      <c r="L378" s="38">
        <f t="shared" ca="1" si="33"/>
        <v>1.604670963962099E-3</v>
      </c>
    </row>
    <row r="379" spans="1:12" ht="13.8" thickBot="1" x14ac:dyDescent="0.3">
      <c r="A379" s="12">
        <v>44361.666666666664</v>
      </c>
      <c r="B379" s="4">
        <v>41.36</v>
      </c>
      <c r="C379" s="2">
        <f ca="1">IFERROR(__xludf.DUMMYFUNCTION("""COMPUTED_VALUE"""),61.62)</f>
        <v>61.62</v>
      </c>
      <c r="D379" s="2">
        <f ca="1">IFERROR(__xludf.DUMMYFUNCTION("""COMPUTED_VALUE"""),425.26)</f>
        <v>425.26</v>
      </c>
      <c r="F379" s="37">
        <f t="shared" si="28"/>
        <v>-1.2016486817680022E-2</v>
      </c>
      <c r="G379" s="37">
        <f t="shared" ca="1" si="29"/>
        <v>-7.7594957709112974E-3</v>
      </c>
      <c r="H379" s="37">
        <f t="shared" ca="1" si="30"/>
        <v>2.2364264179766859E-3</v>
      </c>
      <c r="J379" s="38">
        <f t="shared" si="31"/>
        <v>-1.2062915389108595E-2</v>
      </c>
      <c r="K379" s="38">
        <f t="shared" ca="1" si="32"/>
        <v>-7.8059243423398688E-3</v>
      </c>
      <c r="L379" s="38">
        <f t="shared" ca="1" si="33"/>
        <v>2.1899978465481145E-3</v>
      </c>
    </row>
    <row r="380" spans="1:12" ht="13.8" thickBot="1" x14ac:dyDescent="0.3">
      <c r="A380" s="12">
        <v>44362.666666666664</v>
      </c>
      <c r="B380" s="4">
        <v>41.39</v>
      </c>
      <c r="C380" s="2">
        <f ca="1">IFERROR(__xludf.DUMMYFUNCTION("""COMPUTED_VALUE"""),58.66)</f>
        <v>58.66</v>
      </c>
      <c r="D380" s="2">
        <f ca="1">IFERROR(__xludf.DUMMYFUNCTION("""COMPUTED_VALUE"""),424.48)</f>
        <v>424.48</v>
      </c>
      <c r="F380" s="37">
        <f t="shared" si="28"/>
        <v>7.2507556046737525E-4</v>
      </c>
      <c r="G380" s="37">
        <f t="shared" ca="1" si="29"/>
        <v>-4.9228429619216856E-2</v>
      </c>
      <c r="H380" s="37">
        <f t="shared" ca="1" si="30"/>
        <v>-1.8358561891258481E-3</v>
      </c>
      <c r="J380" s="38">
        <f t="shared" si="31"/>
        <v>6.7864698903880385E-4</v>
      </c>
      <c r="K380" s="38">
        <f t="shared" ca="1" si="32"/>
        <v>-4.9274858190645428E-2</v>
      </c>
      <c r="L380" s="38">
        <f t="shared" ca="1" si="33"/>
        <v>-1.8822847605544195E-3</v>
      </c>
    </row>
    <row r="381" spans="1:12" ht="13.8" thickBot="1" x14ac:dyDescent="0.3">
      <c r="A381" s="12">
        <v>44363.666666666664</v>
      </c>
      <c r="B381" s="4">
        <v>41.62</v>
      </c>
      <c r="C381" s="2">
        <f ca="1">IFERROR(__xludf.DUMMYFUNCTION("""COMPUTED_VALUE"""),58.09)</f>
        <v>58.09</v>
      </c>
      <c r="D381" s="2">
        <f ca="1">IFERROR(__xludf.DUMMYFUNCTION("""COMPUTED_VALUE"""),422.11)</f>
        <v>422.11</v>
      </c>
      <c r="F381" s="37">
        <f t="shared" si="28"/>
        <v>5.5415152048473642E-3</v>
      </c>
      <c r="G381" s="37">
        <f t="shared" ca="1" si="29"/>
        <v>-9.7645315448636714E-3</v>
      </c>
      <c r="H381" s="37">
        <f t="shared" ca="1" si="30"/>
        <v>-5.5989468131381597E-3</v>
      </c>
      <c r="J381" s="38">
        <f t="shared" si="31"/>
        <v>5.4950866334187928E-3</v>
      </c>
      <c r="K381" s="38">
        <f t="shared" ca="1" si="32"/>
        <v>-9.8109601162922437E-3</v>
      </c>
      <c r="L381" s="38">
        <f t="shared" ca="1" si="33"/>
        <v>-5.6453753845667311E-3</v>
      </c>
    </row>
    <row r="382" spans="1:12" ht="13.8" thickBot="1" x14ac:dyDescent="0.3">
      <c r="A382" s="12">
        <v>44364.666666666664</v>
      </c>
      <c r="B382" s="4">
        <v>39.799999999999997</v>
      </c>
      <c r="C382" s="2">
        <f ca="1">IFERROR(__xludf.DUMMYFUNCTION("""COMPUTED_VALUE"""),57.15)</f>
        <v>57.15</v>
      </c>
      <c r="D382" s="2">
        <f ca="1">IFERROR(__xludf.DUMMYFUNCTION("""COMPUTED_VALUE"""),421.97)</f>
        <v>421.97</v>
      </c>
      <c r="F382" s="37">
        <f t="shared" si="28"/>
        <v>-4.4713908675096337E-2</v>
      </c>
      <c r="G382" s="37">
        <f t="shared" ca="1" si="29"/>
        <v>-1.6314141763621535E-2</v>
      </c>
      <c r="H382" s="37">
        <f t="shared" ca="1" si="30"/>
        <v>-3.3172211469007103E-4</v>
      </c>
      <c r="J382" s="38">
        <f t="shared" si="31"/>
        <v>-4.4760337246524909E-2</v>
      </c>
      <c r="K382" s="38">
        <f t="shared" ca="1" si="32"/>
        <v>-1.6360570335050107E-2</v>
      </c>
      <c r="L382" s="38">
        <f t="shared" ca="1" si="33"/>
        <v>-3.7815068611864243E-4</v>
      </c>
    </row>
    <row r="383" spans="1:12" ht="13.8" thickBot="1" x14ac:dyDescent="0.3">
      <c r="A383" s="12">
        <v>44365.666666666664</v>
      </c>
      <c r="B383" s="4">
        <v>38.78</v>
      </c>
      <c r="C383" s="2">
        <f ca="1">IFERROR(__xludf.DUMMYFUNCTION("""COMPUTED_VALUE"""),57.55)</f>
        <v>57.55</v>
      </c>
      <c r="D383" s="2">
        <f ca="1">IFERROR(__xludf.DUMMYFUNCTION("""COMPUTED_VALUE"""),414.92)</f>
        <v>414.92</v>
      </c>
      <c r="F383" s="37">
        <f t="shared" si="28"/>
        <v>-2.5962262475886171E-2</v>
      </c>
      <c r="G383" s="37">
        <f t="shared" ca="1" si="29"/>
        <v>6.9747449270719511E-3</v>
      </c>
      <c r="H383" s="37">
        <f t="shared" ca="1" si="30"/>
        <v>-1.6848490897973991E-2</v>
      </c>
      <c r="J383" s="38">
        <f t="shared" si="31"/>
        <v>-2.6008691047314743E-2</v>
      </c>
      <c r="K383" s="38">
        <f t="shared" ca="1" si="32"/>
        <v>6.9283163556433797E-3</v>
      </c>
      <c r="L383" s="38">
        <f t="shared" ca="1" si="33"/>
        <v>-1.6894919469402563E-2</v>
      </c>
    </row>
    <row r="384" spans="1:12" ht="13.8" thickBot="1" x14ac:dyDescent="0.3">
      <c r="A384" s="12">
        <v>44368.666666666664</v>
      </c>
      <c r="B384" s="4">
        <v>39.75</v>
      </c>
      <c r="C384" s="2">
        <f ca="1">IFERROR(__xludf.DUMMYFUNCTION("""COMPUTED_VALUE"""),57.7)</f>
        <v>57.7</v>
      </c>
      <c r="D384" s="2">
        <f ca="1">IFERROR(__xludf.DUMMYFUNCTION("""COMPUTED_VALUE"""),420.86)</f>
        <v>420.86</v>
      </c>
      <c r="F384" s="37">
        <f t="shared" si="28"/>
        <v>2.4705191285835166E-2</v>
      </c>
      <c r="G384" s="37">
        <f t="shared" ca="1" si="29"/>
        <v>2.6030383461624297E-3</v>
      </c>
      <c r="H384" s="37">
        <f t="shared" ca="1" si="30"/>
        <v>1.421450624684998E-2</v>
      </c>
      <c r="J384" s="38">
        <f t="shared" si="31"/>
        <v>2.4658762714406594E-2</v>
      </c>
      <c r="K384" s="38">
        <f t="shared" ca="1" si="32"/>
        <v>2.5566097747338583E-3</v>
      </c>
      <c r="L384" s="38">
        <f t="shared" ca="1" si="33"/>
        <v>1.4168077675421407E-2</v>
      </c>
    </row>
    <row r="385" spans="1:12" ht="13.8" thickBot="1" x14ac:dyDescent="0.3">
      <c r="A385" s="12">
        <v>44369.666666666664</v>
      </c>
      <c r="B385" s="4">
        <v>39.97</v>
      </c>
      <c r="C385" s="2">
        <f ca="1">IFERROR(__xludf.DUMMYFUNCTION("""COMPUTED_VALUE"""),57.95)</f>
        <v>57.95</v>
      </c>
      <c r="D385" s="2">
        <f ca="1">IFERROR(__xludf.DUMMYFUNCTION("""COMPUTED_VALUE"""),423.11)</f>
        <v>423.11</v>
      </c>
      <c r="F385" s="37">
        <f t="shared" si="28"/>
        <v>5.5193316228911576E-3</v>
      </c>
      <c r="G385" s="37">
        <f t="shared" ca="1" si="29"/>
        <v>4.3233962717068013E-3</v>
      </c>
      <c r="H385" s="37">
        <f t="shared" ca="1" si="30"/>
        <v>5.3319557106909976E-3</v>
      </c>
      <c r="J385" s="38">
        <f t="shared" si="31"/>
        <v>5.4729030514625862E-3</v>
      </c>
      <c r="K385" s="38">
        <f t="shared" ca="1" si="32"/>
        <v>4.2769677002782299E-3</v>
      </c>
      <c r="L385" s="38">
        <f t="shared" ca="1" si="33"/>
        <v>5.2855271392624262E-3</v>
      </c>
    </row>
    <row r="386" spans="1:12" ht="13.8" thickBot="1" x14ac:dyDescent="0.3">
      <c r="A386" s="12">
        <v>44370.666666666664</v>
      </c>
      <c r="B386" s="4">
        <v>40.200000000000003</v>
      </c>
      <c r="C386" s="2">
        <f ca="1">IFERROR(__xludf.DUMMYFUNCTION("""COMPUTED_VALUE"""),59.58)</f>
        <v>59.58</v>
      </c>
      <c r="D386" s="2">
        <f ca="1">IFERROR(__xludf.DUMMYFUNCTION("""COMPUTED_VALUE"""),422.6)</f>
        <v>422.6</v>
      </c>
      <c r="F386" s="37">
        <f t="shared" si="28"/>
        <v>5.7378229017433597E-3</v>
      </c>
      <c r="G386" s="37">
        <f t="shared" ca="1" si="29"/>
        <v>2.7739377499375498E-2</v>
      </c>
      <c r="H386" s="37">
        <f t="shared" ca="1" si="30"/>
        <v>-1.2060873392119639E-3</v>
      </c>
      <c r="J386" s="38">
        <f t="shared" si="31"/>
        <v>5.6913943303147883E-3</v>
      </c>
      <c r="K386" s="38">
        <f t="shared" ca="1" si="32"/>
        <v>2.7692948927946926E-2</v>
      </c>
      <c r="L386" s="38">
        <f t="shared" ca="1" si="33"/>
        <v>-1.2525159106405353E-3</v>
      </c>
    </row>
    <row r="387" spans="1:12" ht="13.8" thickBot="1" x14ac:dyDescent="0.3">
      <c r="A387" s="12">
        <v>44371.666666666664</v>
      </c>
      <c r="B387" s="4">
        <v>40.83</v>
      </c>
      <c r="C387" s="2">
        <f ca="1">IFERROR(__xludf.DUMMYFUNCTION("""COMPUTED_VALUE"""),59.71)</f>
        <v>59.71</v>
      </c>
      <c r="D387" s="2">
        <f ca="1">IFERROR(__xludf.DUMMYFUNCTION("""COMPUTED_VALUE"""),425.1)</f>
        <v>425.1</v>
      </c>
      <c r="F387" s="37">
        <f t="shared" si="28"/>
        <v>1.5550109706508986E-2</v>
      </c>
      <c r="G387" s="37">
        <f t="shared" ca="1" si="29"/>
        <v>2.1795632737648921E-3</v>
      </c>
      <c r="H387" s="37">
        <f t="shared" ca="1" si="30"/>
        <v>5.8983301827882266E-3</v>
      </c>
      <c r="J387" s="38">
        <f t="shared" si="31"/>
        <v>1.5503681135080414E-2</v>
      </c>
      <c r="K387" s="38">
        <f t="shared" ca="1" si="32"/>
        <v>2.1331347023363207E-3</v>
      </c>
      <c r="L387" s="38">
        <f t="shared" ca="1" si="33"/>
        <v>5.8519016113596552E-3</v>
      </c>
    </row>
    <row r="388" spans="1:12" ht="13.8" thickBot="1" x14ac:dyDescent="0.3">
      <c r="A388" s="12">
        <v>44372.666666666664</v>
      </c>
      <c r="B388" s="4">
        <v>41.62</v>
      </c>
      <c r="C388" s="2">
        <f ca="1">IFERROR(__xludf.DUMMYFUNCTION("""COMPUTED_VALUE"""),60.02)</f>
        <v>60.02</v>
      </c>
      <c r="D388" s="2">
        <f ca="1">IFERROR(__xludf.DUMMYFUNCTION("""COMPUTED_VALUE"""),426.61)</f>
        <v>426.61</v>
      </c>
      <c r="F388" s="37">
        <f t="shared" si="28"/>
        <v>1.9163715634004014E-2</v>
      </c>
      <c r="G388" s="37">
        <f t="shared" ca="1" si="29"/>
        <v>5.1783294533199299E-3</v>
      </c>
      <c r="H388" s="37">
        <f t="shared" ca="1" si="30"/>
        <v>3.5458115604477046E-3</v>
      </c>
      <c r="J388" s="38">
        <f t="shared" si="31"/>
        <v>1.9117287062575442E-2</v>
      </c>
      <c r="K388" s="38">
        <f t="shared" ca="1" si="32"/>
        <v>5.1319008818913586E-3</v>
      </c>
      <c r="L388" s="38">
        <f t="shared" ca="1" si="33"/>
        <v>3.4993829890191332E-3</v>
      </c>
    </row>
    <row r="389" spans="1:12" ht="13.8" thickBot="1" x14ac:dyDescent="0.3">
      <c r="A389" s="12">
        <v>44375.666666666664</v>
      </c>
      <c r="B389" s="4">
        <v>41.56</v>
      </c>
      <c r="C389" s="2">
        <f ca="1">IFERROR(__xludf.DUMMYFUNCTION("""COMPUTED_VALUE"""),59.83)</f>
        <v>59.83</v>
      </c>
      <c r="D389" s="2">
        <f ca="1">IFERROR(__xludf.DUMMYFUNCTION("""COMPUTED_VALUE"""),427.47)</f>
        <v>427.47</v>
      </c>
      <c r="F389" s="37">
        <f t="shared" si="28"/>
        <v>-1.4426547344615881E-3</v>
      </c>
      <c r="G389" s="37">
        <f t="shared" ca="1" si="29"/>
        <v>-3.1706326102806828E-3</v>
      </c>
      <c r="H389" s="37">
        <f t="shared" ca="1" si="30"/>
        <v>2.0138635506151423E-3</v>
      </c>
      <c r="J389" s="38">
        <f t="shared" si="31"/>
        <v>-1.4890833058901595E-3</v>
      </c>
      <c r="K389" s="38">
        <f t="shared" ca="1" si="32"/>
        <v>-3.2170611817092542E-3</v>
      </c>
      <c r="L389" s="38">
        <f t="shared" ca="1" si="33"/>
        <v>1.9674349791865709E-3</v>
      </c>
    </row>
    <row r="390" spans="1:12" ht="13.8" thickBot="1" x14ac:dyDescent="0.3">
      <c r="A390" s="12">
        <v>44376.666666666664</v>
      </c>
      <c r="B390" s="4">
        <v>40.89</v>
      </c>
      <c r="C390" s="2">
        <f ca="1">IFERROR(__xludf.DUMMYFUNCTION("""COMPUTED_VALUE"""),59.39)</f>
        <v>59.39</v>
      </c>
      <c r="D390" s="2">
        <f ca="1">IFERROR(__xludf.DUMMYFUNCTION("""COMPUTED_VALUE"""),427.7)</f>
        <v>427.7</v>
      </c>
      <c r="F390" s="37">
        <f t="shared" si="28"/>
        <v>-1.6252631854475789E-2</v>
      </c>
      <c r="G390" s="37">
        <f t="shared" ca="1" si="29"/>
        <v>-7.3813453741715133E-3</v>
      </c>
      <c r="H390" s="37">
        <f t="shared" ca="1" si="30"/>
        <v>5.3790475705577242E-4</v>
      </c>
      <c r="J390" s="38">
        <f t="shared" si="31"/>
        <v>-1.6299060425904361E-2</v>
      </c>
      <c r="K390" s="38">
        <f t="shared" ca="1" si="32"/>
        <v>-7.4277739456000847E-3</v>
      </c>
      <c r="L390" s="38">
        <f t="shared" ca="1" si="33"/>
        <v>4.9147618562720102E-4</v>
      </c>
    </row>
    <row r="391" spans="1:12" ht="13.8" thickBot="1" x14ac:dyDescent="0.3">
      <c r="A391" s="12">
        <v>44377.666666666664</v>
      </c>
      <c r="B391" s="4">
        <v>41.23</v>
      </c>
      <c r="C391" s="2">
        <f ca="1">IFERROR(__xludf.DUMMYFUNCTION("""COMPUTED_VALUE"""),59.65)</f>
        <v>59.65</v>
      </c>
      <c r="D391" s="2">
        <f ca="1">IFERROR(__xludf.DUMMYFUNCTION("""COMPUTED_VALUE"""),428.06)</f>
        <v>428.06</v>
      </c>
      <c r="F391" s="37">
        <f t="shared" si="28"/>
        <v>8.2806123422576108E-3</v>
      </c>
      <c r="G391" s="37">
        <f t="shared" ca="1" si="29"/>
        <v>4.3682865161562296E-3</v>
      </c>
      <c r="H391" s="37">
        <f t="shared" ca="1" si="30"/>
        <v>8.4135743955433557E-4</v>
      </c>
      <c r="J391" s="38">
        <f t="shared" si="31"/>
        <v>8.2341837708290386E-3</v>
      </c>
      <c r="K391" s="38">
        <f t="shared" ca="1" si="32"/>
        <v>4.3218579447276582E-3</v>
      </c>
      <c r="L391" s="38">
        <f t="shared" ca="1" si="33"/>
        <v>7.9492886812576418E-4</v>
      </c>
    </row>
    <row r="392" spans="1:12" ht="13.8" thickBot="1" x14ac:dyDescent="0.3">
      <c r="A392" s="12">
        <v>44378.666666666664</v>
      </c>
      <c r="B392" s="4">
        <v>41.54</v>
      </c>
      <c r="C392" s="2">
        <f ca="1">IFERROR(__xludf.DUMMYFUNCTION("""COMPUTED_VALUE"""),59.36)</f>
        <v>59.36</v>
      </c>
      <c r="D392" s="2">
        <f ca="1">IFERROR(__xludf.DUMMYFUNCTION("""COMPUTED_VALUE"""),430.43)</f>
        <v>430.43</v>
      </c>
      <c r="F392" s="37">
        <f t="shared" si="28"/>
        <v>7.4906717291576587E-3</v>
      </c>
      <c r="G392" s="37">
        <f t="shared" ca="1" si="29"/>
        <v>-4.8735496848001268E-3</v>
      </c>
      <c r="H392" s="37">
        <f t="shared" ca="1" si="30"/>
        <v>5.5213363482745159E-3</v>
      </c>
      <c r="J392" s="38">
        <f t="shared" si="31"/>
        <v>7.4442431577290873E-3</v>
      </c>
      <c r="K392" s="38">
        <f t="shared" ca="1" si="32"/>
        <v>-4.9199782562286982E-3</v>
      </c>
      <c r="L392" s="38">
        <f t="shared" ca="1" si="33"/>
        <v>5.4749077768459446E-3</v>
      </c>
    </row>
    <row r="393" spans="1:12" ht="13.8" thickBot="1" x14ac:dyDescent="0.3">
      <c r="A393" s="12">
        <v>44379.666666666664</v>
      </c>
      <c r="B393" s="4">
        <v>41.15</v>
      </c>
      <c r="C393" s="2">
        <f ca="1">IFERROR(__xludf.DUMMYFUNCTION("""COMPUTED_VALUE"""),59.79)</f>
        <v>59.79</v>
      </c>
      <c r="D393" s="2">
        <f ca="1">IFERROR(__xludf.DUMMYFUNCTION("""COMPUTED_VALUE"""),433.72)</f>
        <v>433.72</v>
      </c>
      <c r="F393" s="37">
        <f t="shared" si="28"/>
        <v>-9.4328913248874924E-3</v>
      </c>
      <c r="G393" s="37">
        <f t="shared" ca="1" si="29"/>
        <v>7.2178240336881238E-3</v>
      </c>
      <c r="H393" s="37">
        <f t="shared" ca="1" si="30"/>
        <v>7.6144555832896666E-3</v>
      </c>
      <c r="J393" s="38">
        <f t="shared" si="31"/>
        <v>-9.4793198963160647E-3</v>
      </c>
      <c r="K393" s="38">
        <f t="shared" ca="1" si="32"/>
        <v>7.1713954622595524E-3</v>
      </c>
      <c r="L393" s="38">
        <f t="shared" ca="1" si="33"/>
        <v>7.5680270118610952E-3</v>
      </c>
    </row>
    <row r="394" spans="1:12" ht="13.8" thickBot="1" x14ac:dyDescent="0.3">
      <c r="A394" s="12">
        <v>44383.666666666664</v>
      </c>
      <c r="B394" s="4">
        <v>40.07</v>
      </c>
      <c r="C394" s="2">
        <f ca="1">IFERROR(__xludf.DUMMYFUNCTION("""COMPUTED_VALUE"""),57.67)</f>
        <v>57.67</v>
      </c>
      <c r="D394" s="2">
        <f ca="1">IFERROR(__xludf.DUMMYFUNCTION("""COMPUTED_VALUE"""),432.93)</f>
        <v>432.93</v>
      </c>
      <c r="F394" s="37">
        <f t="shared" si="28"/>
        <v>-2.6596002475025558E-2</v>
      </c>
      <c r="G394" s="37">
        <f t="shared" ca="1" si="29"/>
        <v>-3.6101315265491693E-2</v>
      </c>
      <c r="H394" s="37">
        <f t="shared" ca="1" si="30"/>
        <v>-1.8231124878851778E-3</v>
      </c>
      <c r="J394" s="38">
        <f t="shared" si="31"/>
        <v>-2.664243104645413E-2</v>
      </c>
      <c r="K394" s="38">
        <f t="shared" ca="1" si="32"/>
        <v>-3.6147743836920265E-2</v>
      </c>
      <c r="L394" s="38">
        <f t="shared" ca="1" si="33"/>
        <v>-1.8695410593137492E-3</v>
      </c>
    </row>
    <row r="395" spans="1:12" ht="13.8" thickBot="1" x14ac:dyDescent="0.3">
      <c r="A395" s="12">
        <v>44384.666666666664</v>
      </c>
      <c r="B395" s="4">
        <v>39.75</v>
      </c>
      <c r="C395" s="2">
        <f ca="1">IFERROR(__xludf.DUMMYFUNCTION("""COMPUTED_VALUE"""),57.77)</f>
        <v>57.77</v>
      </c>
      <c r="D395" s="2">
        <f ca="1">IFERROR(__xludf.DUMMYFUNCTION("""COMPUTED_VALUE"""),434.46)</f>
        <v>434.46</v>
      </c>
      <c r="F395" s="37">
        <f t="shared" si="28"/>
        <v>-8.0180835477122493E-3</v>
      </c>
      <c r="G395" s="37">
        <f t="shared" ca="1" si="29"/>
        <v>1.7325021658528901E-3</v>
      </c>
      <c r="H395" s="37">
        <f t="shared" ca="1" si="30"/>
        <v>3.527828512688284E-3</v>
      </c>
      <c r="J395" s="38">
        <f t="shared" si="31"/>
        <v>-8.0645121191408216E-3</v>
      </c>
      <c r="K395" s="38">
        <f t="shared" ca="1" si="32"/>
        <v>1.6860735944243188E-3</v>
      </c>
      <c r="L395" s="38">
        <f t="shared" ca="1" si="33"/>
        <v>3.4813999412597126E-3</v>
      </c>
    </row>
    <row r="396" spans="1:12" ht="13.8" thickBot="1" x14ac:dyDescent="0.3">
      <c r="A396" s="12">
        <v>44385.666666666664</v>
      </c>
      <c r="B396" s="4">
        <v>38.78</v>
      </c>
      <c r="C396" s="2">
        <f ca="1">IFERROR(__xludf.DUMMYFUNCTION("""COMPUTED_VALUE"""),56.39)</f>
        <v>56.39</v>
      </c>
      <c r="D396" s="2">
        <f ca="1">IFERROR(__xludf.DUMMYFUNCTION("""COMPUTED_VALUE"""),430.92)</f>
        <v>430.92</v>
      </c>
      <c r="F396" s="37">
        <f t="shared" ref="F396:F459" si="34">LN(B396/B395)</f>
        <v>-2.4705191285835176E-2</v>
      </c>
      <c r="G396" s="37">
        <f t="shared" ref="G396:G459" ca="1" si="35">LN(C396/C395)</f>
        <v>-2.4177771974083509E-2</v>
      </c>
      <c r="H396" s="37">
        <f t="shared" ref="H396:H459" ca="1" si="36">LN(D396/D395)</f>
        <v>-8.1814226027924954E-3</v>
      </c>
      <c r="J396" s="38">
        <f t="shared" ref="J396:J459" si="37">F396-$B$9</f>
        <v>-2.4751619857263749E-2</v>
      </c>
      <c r="K396" s="38">
        <f t="shared" ref="K396:K459" ca="1" si="38">G396-$B$9</f>
        <v>-2.4224200545512081E-2</v>
      </c>
      <c r="L396" s="38">
        <f t="shared" ref="L396:L459" ca="1" si="39">H396-$B$9</f>
        <v>-8.2278511742210677E-3</v>
      </c>
    </row>
    <row r="397" spans="1:12" ht="13.8" thickBot="1" x14ac:dyDescent="0.3">
      <c r="A397" s="12">
        <v>44386.666666666664</v>
      </c>
      <c r="B397" s="4">
        <v>40.04</v>
      </c>
      <c r="C397" s="2">
        <f ca="1">IFERROR(__xludf.DUMMYFUNCTION("""COMPUTED_VALUE"""),57.36)</f>
        <v>57.36</v>
      </c>
      <c r="D397" s="2">
        <f ca="1">IFERROR(__xludf.DUMMYFUNCTION("""COMPUTED_VALUE"""),435.52)</f>
        <v>435.52</v>
      </c>
      <c r="F397" s="37">
        <f t="shared" si="34"/>
        <v>3.1974304632514106E-2</v>
      </c>
      <c r="G397" s="37">
        <f t="shared" ca="1" si="35"/>
        <v>1.7055358472274167E-2</v>
      </c>
      <c r="H397" s="37">
        <f t="shared" ca="1" si="36"/>
        <v>1.0618261437109413E-2</v>
      </c>
      <c r="J397" s="38">
        <f t="shared" si="37"/>
        <v>3.1927876061085533E-2</v>
      </c>
      <c r="K397" s="38">
        <f t="shared" ca="1" si="38"/>
        <v>1.7008929900845595E-2</v>
      </c>
      <c r="L397" s="38">
        <f t="shared" ca="1" si="39"/>
        <v>1.0571832865680841E-2</v>
      </c>
    </row>
    <row r="398" spans="1:12" ht="13.8" thickBot="1" x14ac:dyDescent="0.3">
      <c r="A398" s="12">
        <v>44389.666666666664</v>
      </c>
      <c r="B398" s="4">
        <v>40.630000000000003</v>
      </c>
      <c r="C398" s="2">
        <f ca="1">IFERROR(__xludf.DUMMYFUNCTION("""COMPUTED_VALUE"""),57.81)</f>
        <v>57.81</v>
      </c>
      <c r="D398" s="2">
        <f ca="1">IFERROR(__xludf.DUMMYFUNCTION("""COMPUTED_VALUE"""),437.08)</f>
        <v>437.08</v>
      </c>
      <c r="F398" s="37">
        <f t="shared" si="34"/>
        <v>1.4627755552615571E-2</v>
      </c>
      <c r="G398" s="37">
        <f t="shared" ca="1" si="35"/>
        <v>7.814574803019933E-3</v>
      </c>
      <c r="H398" s="37">
        <f t="shared" ca="1" si="36"/>
        <v>3.5755252394434013E-3</v>
      </c>
      <c r="J398" s="38">
        <f t="shared" si="37"/>
        <v>1.4581326981186998E-2</v>
      </c>
      <c r="K398" s="38">
        <f t="shared" ca="1" si="38"/>
        <v>7.7681462315913616E-3</v>
      </c>
      <c r="L398" s="38">
        <f t="shared" ca="1" si="39"/>
        <v>3.5290966680148299E-3</v>
      </c>
    </row>
    <row r="399" spans="1:12" ht="13.8" thickBot="1" x14ac:dyDescent="0.3">
      <c r="A399" s="12">
        <v>44390.666666666664</v>
      </c>
      <c r="B399" s="4">
        <v>39.86</v>
      </c>
      <c r="C399" s="2">
        <f ca="1">IFERROR(__xludf.DUMMYFUNCTION("""COMPUTED_VALUE"""),57.61)</f>
        <v>57.61</v>
      </c>
      <c r="D399" s="2">
        <f ca="1">IFERROR(__xludf.DUMMYFUNCTION("""COMPUTED_VALUE"""),435.59)</f>
        <v>435.59</v>
      </c>
      <c r="F399" s="37">
        <f t="shared" si="34"/>
        <v>-1.9133395214986838E-2</v>
      </c>
      <c r="G399" s="37">
        <f t="shared" ca="1" si="35"/>
        <v>-3.4656073500929675E-3</v>
      </c>
      <c r="H399" s="37">
        <f t="shared" ca="1" si="36"/>
        <v>-3.4148107483902199E-3</v>
      </c>
      <c r="J399" s="38">
        <f t="shared" si="37"/>
        <v>-1.9179823786415411E-2</v>
      </c>
      <c r="K399" s="38">
        <f t="shared" ca="1" si="38"/>
        <v>-3.5120359215215389E-3</v>
      </c>
      <c r="L399" s="38">
        <f t="shared" ca="1" si="39"/>
        <v>-3.4612393198187913E-3</v>
      </c>
    </row>
    <row r="400" spans="1:12" ht="13.8" thickBot="1" x14ac:dyDescent="0.3">
      <c r="A400" s="12">
        <v>44391.666666666664</v>
      </c>
      <c r="B400" s="4">
        <v>38.86</v>
      </c>
      <c r="C400" s="2">
        <f ca="1">IFERROR(__xludf.DUMMYFUNCTION("""COMPUTED_VALUE"""),57.52)</f>
        <v>57.52</v>
      </c>
      <c r="D400" s="2">
        <f ca="1">IFERROR(__xludf.DUMMYFUNCTION("""COMPUTED_VALUE"""),436.24)</f>
        <v>436.24</v>
      </c>
      <c r="F400" s="37">
        <f t="shared" si="34"/>
        <v>-2.5407870835354649E-2</v>
      </c>
      <c r="G400" s="37">
        <f t="shared" ca="1" si="35"/>
        <v>-1.5634503315004298E-3</v>
      </c>
      <c r="H400" s="37">
        <f t="shared" ca="1" si="36"/>
        <v>1.4911166636517453E-3</v>
      </c>
      <c r="J400" s="38">
        <f t="shared" si="37"/>
        <v>-2.5454299406783221E-2</v>
      </c>
      <c r="K400" s="38">
        <f t="shared" ca="1" si="38"/>
        <v>-1.6098789029290012E-3</v>
      </c>
      <c r="L400" s="38">
        <f t="shared" ca="1" si="39"/>
        <v>1.4446880922231739E-3</v>
      </c>
    </row>
    <row r="401" spans="1:12" ht="13.8" thickBot="1" x14ac:dyDescent="0.3">
      <c r="A401" s="12">
        <v>44392.666666666664</v>
      </c>
      <c r="B401" s="4">
        <v>38.83</v>
      </c>
      <c r="C401" s="2">
        <f ca="1">IFERROR(__xludf.DUMMYFUNCTION("""COMPUTED_VALUE"""),58.13)</f>
        <v>58.13</v>
      </c>
      <c r="D401" s="2">
        <f ca="1">IFERROR(__xludf.DUMMYFUNCTION("""COMPUTED_VALUE"""),434.75)</f>
        <v>434.75</v>
      </c>
      <c r="F401" s="37">
        <f t="shared" si="34"/>
        <v>-7.7230020571815601E-4</v>
      </c>
      <c r="G401" s="37">
        <f t="shared" ca="1" si="35"/>
        <v>1.0549168300467855E-2</v>
      </c>
      <c r="H401" s="37">
        <f t="shared" ca="1" si="36"/>
        <v>-3.4213973834137574E-3</v>
      </c>
      <c r="J401" s="38">
        <f t="shared" si="37"/>
        <v>-8.1872877714672741E-4</v>
      </c>
      <c r="K401" s="38">
        <f t="shared" ca="1" si="38"/>
        <v>1.0502739729039283E-2</v>
      </c>
      <c r="L401" s="38">
        <f t="shared" ca="1" si="39"/>
        <v>-3.4678259548423288E-3</v>
      </c>
    </row>
    <row r="402" spans="1:12" ht="13.8" thickBot="1" x14ac:dyDescent="0.3">
      <c r="A402" s="12">
        <v>44393.666666666664</v>
      </c>
      <c r="B402" s="4">
        <v>37.92</v>
      </c>
      <c r="C402" s="2">
        <f ca="1">IFERROR(__xludf.DUMMYFUNCTION("""COMPUTED_VALUE"""),57.02)</f>
        <v>57.02</v>
      </c>
      <c r="D402" s="2">
        <f ca="1">IFERROR(__xludf.DUMMYFUNCTION("""COMPUTED_VALUE"""),431.34)</f>
        <v>431.34</v>
      </c>
      <c r="F402" s="37">
        <f t="shared" si="34"/>
        <v>-2.3714466356754796E-2</v>
      </c>
      <c r="G402" s="37">
        <f t="shared" ca="1" si="35"/>
        <v>-1.9279798228733207E-2</v>
      </c>
      <c r="H402" s="37">
        <f t="shared" ca="1" si="36"/>
        <v>-7.8745110105572988E-3</v>
      </c>
      <c r="J402" s="38">
        <f t="shared" si="37"/>
        <v>-2.3760894928183368E-2</v>
      </c>
      <c r="K402" s="38">
        <f t="shared" ca="1" si="38"/>
        <v>-1.9326226800161779E-2</v>
      </c>
      <c r="L402" s="38">
        <f t="shared" ca="1" si="39"/>
        <v>-7.9209395819858711E-3</v>
      </c>
    </row>
    <row r="403" spans="1:12" ht="13.8" thickBot="1" x14ac:dyDescent="0.3">
      <c r="A403" s="12">
        <v>44396.666666666664</v>
      </c>
      <c r="B403" s="4">
        <v>36.93</v>
      </c>
      <c r="C403" s="2">
        <f ca="1">IFERROR(__xludf.DUMMYFUNCTION("""COMPUTED_VALUE"""),55.06)</f>
        <v>55.06</v>
      </c>
      <c r="D403" s="2">
        <f ca="1">IFERROR(__xludf.DUMMYFUNCTION("""COMPUTED_VALUE"""),424.97)</f>
        <v>424.97</v>
      </c>
      <c r="F403" s="37">
        <f t="shared" si="34"/>
        <v>-2.6454448522349249E-2</v>
      </c>
      <c r="G403" s="37">
        <f t="shared" ca="1" si="35"/>
        <v>-3.4978583770064742E-2</v>
      </c>
      <c r="H403" s="37">
        <f t="shared" ca="1" si="36"/>
        <v>-1.4878064026179113E-2</v>
      </c>
      <c r="J403" s="38">
        <f t="shared" si="37"/>
        <v>-2.6500877093777821E-2</v>
      </c>
      <c r="K403" s="38">
        <f t="shared" ca="1" si="38"/>
        <v>-3.5025012341493314E-2</v>
      </c>
      <c r="L403" s="38">
        <f t="shared" ca="1" si="39"/>
        <v>-1.4924492597607685E-2</v>
      </c>
    </row>
    <row r="404" spans="1:12" ht="13.8" thickBot="1" x14ac:dyDescent="0.3">
      <c r="A404" s="12">
        <v>44397.666666666664</v>
      </c>
      <c r="B404" s="4">
        <v>37.69</v>
      </c>
      <c r="C404" s="2">
        <f ca="1">IFERROR(__xludf.DUMMYFUNCTION("""COMPUTED_VALUE"""),56.47)</f>
        <v>56.47</v>
      </c>
      <c r="D404" s="2">
        <f ca="1">IFERROR(__xludf.DUMMYFUNCTION("""COMPUTED_VALUE"""),431.06)</f>
        <v>431.06</v>
      </c>
      <c r="F404" s="37">
        <f t="shared" si="34"/>
        <v>2.0370578414572151E-2</v>
      </c>
      <c r="G404" s="37">
        <f t="shared" ca="1" si="35"/>
        <v>2.528602397028407E-2</v>
      </c>
      <c r="H404" s="37">
        <f t="shared" ca="1" si="36"/>
        <v>1.4228713354011657E-2</v>
      </c>
      <c r="J404" s="38">
        <f t="shared" si="37"/>
        <v>2.0324149843143579E-2</v>
      </c>
      <c r="K404" s="38">
        <f t="shared" ca="1" si="38"/>
        <v>2.5239595398855497E-2</v>
      </c>
      <c r="L404" s="38">
        <f t="shared" ca="1" si="39"/>
        <v>1.4182284782583085E-2</v>
      </c>
    </row>
    <row r="405" spans="1:12" ht="13.8" thickBot="1" x14ac:dyDescent="0.3">
      <c r="A405" s="12">
        <v>44398.666666666664</v>
      </c>
      <c r="B405" s="4">
        <v>38.46</v>
      </c>
      <c r="C405" s="2">
        <f ca="1">IFERROR(__xludf.DUMMYFUNCTION("""COMPUTED_VALUE"""),57.16)</f>
        <v>57.16</v>
      </c>
      <c r="D405" s="2">
        <f ca="1">IFERROR(__xludf.DUMMYFUNCTION("""COMPUTED_VALUE"""),434.55)</f>
        <v>434.55</v>
      </c>
      <c r="F405" s="37">
        <f t="shared" si="34"/>
        <v>2.0223932881589742E-2</v>
      </c>
      <c r="G405" s="37">
        <f t="shared" ca="1" si="35"/>
        <v>1.2144829376921283E-2</v>
      </c>
      <c r="H405" s="37">
        <f t="shared" ca="1" si="36"/>
        <v>8.0637213318014173E-3</v>
      </c>
      <c r="J405" s="38">
        <f t="shared" si="37"/>
        <v>2.017750431016117E-2</v>
      </c>
      <c r="K405" s="38">
        <f t="shared" ca="1" si="38"/>
        <v>1.2098400805492711E-2</v>
      </c>
      <c r="L405" s="38">
        <f t="shared" ca="1" si="39"/>
        <v>8.0172927603728451E-3</v>
      </c>
    </row>
    <row r="406" spans="1:12" ht="13.8" thickBot="1" x14ac:dyDescent="0.3">
      <c r="A406" s="12">
        <v>44399.666666666664</v>
      </c>
      <c r="B406" s="4">
        <v>37.96</v>
      </c>
      <c r="C406" s="2">
        <f ca="1">IFERROR(__xludf.DUMMYFUNCTION("""COMPUTED_VALUE"""),56.69)</f>
        <v>56.69</v>
      </c>
      <c r="D406" s="2">
        <f ca="1">IFERROR(__xludf.DUMMYFUNCTION("""COMPUTED_VALUE"""),435.46)</f>
        <v>435.46</v>
      </c>
      <c r="F406" s="37">
        <f t="shared" si="34"/>
        <v>-1.3085766418906601E-2</v>
      </c>
      <c r="G406" s="37">
        <f t="shared" ca="1" si="35"/>
        <v>-8.2565247254543107E-3</v>
      </c>
      <c r="H406" s="37">
        <f t="shared" ca="1" si="36"/>
        <v>2.0919307407038026E-3</v>
      </c>
      <c r="J406" s="38">
        <f t="shared" si="37"/>
        <v>-1.3132194990335173E-2</v>
      </c>
      <c r="K406" s="38">
        <f t="shared" ca="1" si="38"/>
        <v>-8.3029532968828829E-3</v>
      </c>
      <c r="L406" s="38">
        <f t="shared" ca="1" si="39"/>
        <v>2.0455021692752312E-3</v>
      </c>
    </row>
    <row r="407" spans="1:12" ht="13.8" thickBot="1" x14ac:dyDescent="0.3">
      <c r="A407" s="12">
        <v>44400.666666666664</v>
      </c>
      <c r="B407" s="4">
        <v>37.700000000000003</v>
      </c>
      <c r="C407" s="2">
        <f ca="1">IFERROR(__xludf.DUMMYFUNCTION("""COMPUTED_VALUE"""),56.85)</f>
        <v>56.85</v>
      </c>
      <c r="D407" s="2">
        <f ca="1">IFERROR(__xludf.DUMMYFUNCTION("""COMPUTED_VALUE"""),439.94)</f>
        <v>439.94</v>
      </c>
      <c r="F407" s="37">
        <f t="shared" si="34"/>
        <v>-6.8728792877619524E-3</v>
      </c>
      <c r="G407" s="37">
        <f t="shared" ca="1" si="35"/>
        <v>2.8183918603327989E-3</v>
      </c>
      <c r="H407" s="37">
        <f t="shared" ca="1" si="36"/>
        <v>1.0235410353404478E-2</v>
      </c>
      <c r="J407" s="38">
        <f t="shared" si="37"/>
        <v>-6.9193078591905238E-3</v>
      </c>
      <c r="K407" s="38">
        <f t="shared" ca="1" si="38"/>
        <v>2.7719632889042275E-3</v>
      </c>
      <c r="L407" s="38">
        <f t="shared" ca="1" si="39"/>
        <v>1.0188981781975906E-2</v>
      </c>
    </row>
    <row r="408" spans="1:12" ht="13.8" thickBot="1" x14ac:dyDescent="0.3">
      <c r="A408" s="12">
        <v>44403.666666666664</v>
      </c>
      <c r="B408" s="4">
        <v>38.130000000000003</v>
      </c>
      <c r="C408" s="2">
        <f ca="1">IFERROR(__xludf.DUMMYFUNCTION("""COMPUTED_VALUE"""),57.1)</f>
        <v>57.1</v>
      </c>
      <c r="D408" s="2">
        <f ca="1">IFERROR(__xludf.DUMMYFUNCTION("""COMPUTED_VALUE"""),441.02)</f>
        <v>441.02</v>
      </c>
      <c r="F408" s="37">
        <f t="shared" si="34"/>
        <v>1.1341279415507223E-2</v>
      </c>
      <c r="G408" s="37">
        <f t="shared" ca="1" si="35"/>
        <v>4.3878964654194379E-3</v>
      </c>
      <c r="H408" s="37">
        <f t="shared" ca="1" si="36"/>
        <v>2.4518719148446753E-3</v>
      </c>
      <c r="J408" s="38">
        <f t="shared" si="37"/>
        <v>1.1294850844078651E-2</v>
      </c>
      <c r="K408" s="38">
        <f t="shared" ca="1" si="38"/>
        <v>4.3414678939908665E-3</v>
      </c>
      <c r="L408" s="38">
        <f t="shared" ca="1" si="39"/>
        <v>2.4054433434161039E-3</v>
      </c>
    </row>
    <row r="409" spans="1:12" ht="13.8" thickBot="1" x14ac:dyDescent="0.3">
      <c r="A409" s="12">
        <v>44404.666666666664</v>
      </c>
      <c r="B409" s="4">
        <v>37.979999999999997</v>
      </c>
      <c r="C409" s="2">
        <f ca="1">IFERROR(__xludf.DUMMYFUNCTION("""COMPUTED_VALUE"""),57.38)</f>
        <v>57.38</v>
      </c>
      <c r="D409" s="2">
        <f ca="1">IFERROR(__xludf.DUMMYFUNCTION("""COMPUTED_VALUE"""),439.01)</f>
        <v>439.01</v>
      </c>
      <c r="F409" s="37">
        <f t="shared" si="34"/>
        <v>-3.9416684853327512E-3</v>
      </c>
      <c r="G409" s="37">
        <f t="shared" ca="1" si="35"/>
        <v>4.8916938912541398E-3</v>
      </c>
      <c r="H409" s="37">
        <f t="shared" ca="1" si="36"/>
        <v>-4.5680340334088325E-3</v>
      </c>
      <c r="J409" s="38">
        <f t="shared" si="37"/>
        <v>-3.9880970567613225E-3</v>
      </c>
      <c r="K409" s="38">
        <f t="shared" ca="1" si="38"/>
        <v>4.8452653198255684E-3</v>
      </c>
      <c r="L409" s="38">
        <f t="shared" ca="1" si="39"/>
        <v>-4.6144626048374039E-3</v>
      </c>
    </row>
    <row r="410" spans="1:12" ht="13.8" thickBot="1" x14ac:dyDescent="0.3">
      <c r="A410" s="12">
        <v>44405.666666666664</v>
      </c>
      <c r="B410" s="4">
        <v>38.130000000000003</v>
      </c>
      <c r="C410" s="2">
        <f ca="1">IFERROR(__xludf.DUMMYFUNCTION("""COMPUTED_VALUE"""),57.72)</f>
        <v>57.72</v>
      </c>
      <c r="D410" s="2">
        <f ca="1">IFERROR(__xludf.DUMMYFUNCTION("""COMPUTED_VALUE"""),438.83)</f>
        <v>438.83</v>
      </c>
      <c r="F410" s="37">
        <f t="shared" si="34"/>
        <v>3.9416684853326861E-3</v>
      </c>
      <c r="G410" s="37">
        <f t="shared" ca="1" si="35"/>
        <v>5.9079233524514342E-3</v>
      </c>
      <c r="H410" s="37">
        <f t="shared" ca="1" si="36"/>
        <v>-4.1009751782265748E-4</v>
      </c>
      <c r="J410" s="38">
        <f t="shared" si="37"/>
        <v>3.8952399139041147E-3</v>
      </c>
      <c r="K410" s="38">
        <f t="shared" ca="1" si="38"/>
        <v>5.8614947810228628E-3</v>
      </c>
      <c r="L410" s="38">
        <f t="shared" ca="1" si="39"/>
        <v>-4.5652608925122887E-4</v>
      </c>
    </row>
    <row r="411" spans="1:12" ht="13.8" thickBot="1" x14ac:dyDescent="0.3">
      <c r="A411" s="12">
        <v>44406.666666666664</v>
      </c>
      <c r="B411" s="4">
        <v>38.68</v>
      </c>
      <c r="C411" s="2">
        <f ca="1">IFERROR(__xludf.DUMMYFUNCTION("""COMPUTED_VALUE"""),58.43)</f>
        <v>58.43</v>
      </c>
      <c r="D411" s="2">
        <f ca="1">IFERROR(__xludf.DUMMYFUNCTION("""COMPUTED_VALUE"""),440.65)</f>
        <v>440.65</v>
      </c>
      <c r="F411" s="37">
        <f t="shared" si="34"/>
        <v>1.4321296715621186E-2</v>
      </c>
      <c r="G411" s="37">
        <f t="shared" ca="1" si="35"/>
        <v>1.2225722660675509E-2</v>
      </c>
      <c r="H411" s="37">
        <f t="shared" ca="1" si="36"/>
        <v>4.1388152044790774E-3</v>
      </c>
      <c r="J411" s="38">
        <f t="shared" si="37"/>
        <v>1.4274868144192614E-2</v>
      </c>
      <c r="K411" s="38">
        <f t="shared" ca="1" si="38"/>
        <v>1.2179294089246936E-2</v>
      </c>
      <c r="L411" s="38">
        <f t="shared" ca="1" si="39"/>
        <v>4.0923866330505061E-3</v>
      </c>
    </row>
    <row r="412" spans="1:12" ht="13.8" thickBot="1" x14ac:dyDescent="0.3">
      <c r="A412" s="12">
        <v>44407.666666666664</v>
      </c>
      <c r="B412" s="4">
        <v>38.36</v>
      </c>
      <c r="C412" s="2">
        <f ca="1">IFERROR(__xludf.DUMMYFUNCTION("""COMPUTED_VALUE"""),57.21)</f>
        <v>57.21</v>
      </c>
      <c r="D412" s="2">
        <f ca="1">IFERROR(__xludf.DUMMYFUNCTION("""COMPUTED_VALUE"""),438.51)</f>
        <v>438.51</v>
      </c>
      <c r="F412" s="37">
        <f t="shared" si="34"/>
        <v>-8.3074205698561165E-3</v>
      </c>
      <c r="G412" s="37">
        <f t="shared" ca="1" si="35"/>
        <v>-2.1100748285908251E-2</v>
      </c>
      <c r="H412" s="37">
        <f t="shared" ca="1" si="36"/>
        <v>-4.8682929763584392E-3</v>
      </c>
      <c r="J412" s="38">
        <f t="shared" si="37"/>
        <v>-8.3538491412846888E-3</v>
      </c>
      <c r="K412" s="38">
        <f t="shared" ca="1" si="38"/>
        <v>-2.1147176857336823E-2</v>
      </c>
      <c r="L412" s="38">
        <f t="shared" ca="1" si="39"/>
        <v>-4.9147215477870106E-3</v>
      </c>
    </row>
    <row r="413" spans="1:12" ht="13.8" thickBot="1" x14ac:dyDescent="0.3">
      <c r="A413" s="12">
        <v>44410.666666666664</v>
      </c>
      <c r="B413" s="4">
        <v>37.96</v>
      </c>
      <c r="C413" s="2">
        <f ca="1">IFERROR(__xludf.DUMMYFUNCTION("""COMPUTED_VALUE"""),57.51)</f>
        <v>57.51</v>
      </c>
      <c r="D413" s="2">
        <f ca="1">IFERROR(__xludf.DUMMYFUNCTION("""COMPUTED_VALUE"""),437.59)</f>
        <v>437.59</v>
      </c>
      <c r="F413" s="37">
        <f t="shared" si="34"/>
        <v>-1.0482276273510342E-2</v>
      </c>
      <c r="G413" s="37">
        <f t="shared" ca="1" si="35"/>
        <v>5.230137445225303E-3</v>
      </c>
      <c r="H413" s="37">
        <f t="shared" ca="1" si="36"/>
        <v>-2.1002176422100205E-3</v>
      </c>
      <c r="J413" s="38">
        <f t="shared" si="37"/>
        <v>-1.0528704844938914E-2</v>
      </c>
      <c r="K413" s="38">
        <f t="shared" ca="1" si="38"/>
        <v>5.1837088737967316E-3</v>
      </c>
      <c r="L413" s="38">
        <f t="shared" ca="1" si="39"/>
        <v>-2.1466462136385919E-3</v>
      </c>
    </row>
    <row r="414" spans="1:12" ht="13.8" thickBot="1" x14ac:dyDescent="0.3">
      <c r="A414" s="12">
        <v>44411.666666666664</v>
      </c>
      <c r="B414" s="4">
        <v>38.549999999999997</v>
      </c>
      <c r="C414" s="2">
        <f ca="1">IFERROR(__xludf.DUMMYFUNCTION("""COMPUTED_VALUE"""),57.81)</f>
        <v>57.81</v>
      </c>
      <c r="D414" s="2">
        <f ca="1">IFERROR(__xludf.DUMMYFUNCTION("""COMPUTED_VALUE"""),441.15)</f>
        <v>441.15</v>
      </c>
      <c r="F414" s="37">
        <f t="shared" si="34"/>
        <v>1.5423126267611248E-2</v>
      </c>
      <c r="G414" s="37">
        <f t="shared" ca="1" si="35"/>
        <v>5.2029253687218965E-3</v>
      </c>
      <c r="H414" s="37">
        <f t="shared" ca="1" si="36"/>
        <v>8.1025547410126467E-3</v>
      </c>
      <c r="J414" s="38">
        <f t="shared" si="37"/>
        <v>1.5376697696182676E-2</v>
      </c>
      <c r="K414" s="38">
        <f t="shared" ca="1" si="38"/>
        <v>5.1564967972933251E-3</v>
      </c>
      <c r="L414" s="38">
        <f t="shared" ca="1" si="39"/>
        <v>8.0561261695840745E-3</v>
      </c>
    </row>
    <row r="415" spans="1:12" ht="13.8" thickBot="1" x14ac:dyDescent="0.3">
      <c r="A415" s="12">
        <v>44412.666666666664</v>
      </c>
      <c r="B415" s="4">
        <v>38.270000000000003</v>
      </c>
      <c r="C415" s="2">
        <f ca="1">IFERROR(__xludf.DUMMYFUNCTION("""COMPUTED_VALUE"""),58.43)</f>
        <v>58.43</v>
      </c>
      <c r="D415" s="2">
        <f ca="1">IFERROR(__xludf.DUMMYFUNCTION("""COMPUTED_VALUE"""),438.98)</f>
        <v>438.98</v>
      </c>
      <c r="F415" s="37">
        <f t="shared" si="34"/>
        <v>-7.2898005717274648E-3</v>
      </c>
      <c r="G415" s="37">
        <f t="shared" ca="1" si="35"/>
        <v>1.0667685471960857E-2</v>
      </c>
      <c r="H415" s="37">
        <f t="shared" ca="1" si="36"/>
        <v>-4.9310997173037437E-3</v>
      </c>
      <c r="J415" s="38">
        <f t="shared" si="37"/>
        <v>-7.3362291431560362E-3</v>
      </c>
      <c r="K415" s="38">
        <f t="shared" ca="1" si="38"/>
        <v>1.0621256900532285E-2</v>
      </c>
      <c r="L415" s="38">
        <f t="shared" ca="1" si="39"/>
        <v>-4.9775282887323151E-3</v>
      </c>
    </row>
    <row r="416" spans="1:12" ht="13.8" thickBot="1" x14ac:dyDescent="0.3">
      <c r="A416" s="12">
        <v>44413.666666666664</v>
      </c>
      <c r="B416" s="4">
        <v>39.020000000000003</v>
      </c>
      <c r="C416" s="2">
        <f ca="1">IFERROR(__xludf.DUMMYFUNCTION("""COMPUTED_VALUE"""),58.82)</f>
        <v>58.82</v>
      </c>
      <c r="D416" s="2">
        <f ca="1">IFERROR(__xludf.DUMMYFUNCTION("""COMPUTED_VALUE"""),441.76)</f>
        <v>441.76</v>
      </c>
      <c r="F416" s="37">
        <f t="shared" si="34"/>
        <v>1.940803575735436E-2</v>
      </c>
      <c r="G416" s="37">
        <f t="shared" ca="1" si="35"/>
        <v>6.6524765595032086E-3</v>
      </c>
      <c r="H416" s="37">
        <f t="shared" ca="1" si="36"/>
        <v>6.3128942310343482E-3</v>
      </c>
      <c r="J416" s="38">
        <f t="shared" si="37"/>
        <v>1.9361607185925788E-2</v>
      </c>
      <c r="K416" s="38">
        <f t="shared" ca="1" si="38"/>
        <v>6.6060479880746372E-3</v>
      </c>
      <c r="L416" s="38">
        <f t="shared" ca="1" si="39"/>
        <v>6.2664656596057768E-3</v>
      </c>
    </row>
    <row r="417" spans="1:12" ht="13.8" thickBot="1" x14ac:dyDescent="0.3">
      <c r="A417" s="12">
        <v>44414.666666666664</v>
      </c>
      <c r="B417" s="4">
        <v>40.15</v>
      </c>
      <c r="C417" s="2">
        <f ca="1">IFERROR(__xludf.DUMMYFUNCTION("""COMPUTED_VALUE"""),60.66)</f>
        <v>60.66</v>
      </c>
      <c r="D417" s="2">
        <f ca="1">IFERROR(__xludf.DUMMYFUNCTION("""COMPUTED_VALUE"""),442.49)</f>
        <v>442.49</v>
      </c>
      <c r="F417" s="37">
        <f t="shared" si="34"/>
        <v>2.8548105197805394E-2</v>
      </c>
      <c r="G417" s="37">
        <f t="shared" ca="1" si="35"/>
        <v>3.0802569134585962E-2</v>
      </c>
      <c r="H417" s="37">
        <f t="shared" ca="1" si="36"/>
        <v>1.651117140725153E-3</v>
      </c>
      <c r="J417" s="38">
        <f t="shared" si="37"/>
        <v>2.8501676626376822E-2</v>
      </c>
      <c r="K417" s="38">
        <f t="shared" ca="1" si="38"/>
        <v>3.075614056315739E-2</v>
      </c>
      <c r="L417" s="38">
        <f t="shared" ca="1" si="39"/>
        <v>1.6046885692965816E-3</v>
      </c>
    </row>
    <row r="418" spans="1:12" ht="13.8" thickBot="1" x14ac:dyDescent="0.3">
      <c r="A418" s="12">
        <v>44417.666666666664</v>
      </c>
      <c r="B418" s="4">
        <v>40.67</v>
      </c>
      <c r="C418" s="2">
        <f ca="1">IFERROR(__xludf.DUMMYFUNCTION("""COMPUTED_VALUE"""),61.09)</f>
        <v>61.09</v>
      </c>
      <c r="D418" s="2">
        <f ca="1">IFERROR(__xludf.DUMMYFUNCTION("""COMPUTED_VALUE"""),442.13)</f>
        <v>442.13</v>
      </c>
      <c r="F418" s="37">
        <f t="shared" si="34"/>
        <v>1.2868279526362493E-2</v>
      </c>
      <c r="G418" s="37">
        <f t="shared" ca="1" si="35"/>
        <v>7.0636844012406915E-3</v>
      </c>
      <c r="H418" s="37">
        <f t="shared" ca="1" si="36"/>
        <v>-8.1390884192863154E-4</v>
      </c>
      <c r="J418" s="38">
        <f t="shared" si="37"/>
        <v>1.2821850954933921E-2</v>
      </c>
      <c r="K418" s="38">
        <f t="shared" ca="1" si="38"/>
        <v>7.0172558298121201E-3</v>
      </c>
      <c r="L418" s="38">
        <f t="shared" ca="1" si="39"/>
        <v>-8.6033741335720293E-4</v>
      </c>
    </row>
    <row r="419" spans="1:12" ht="13.8" thickBot="1" x14ac:dyDescent="0.3">
      <c r="A419" s="12">
        <v>44418.666666666664</v>
      </c>
      <c r="B419" s="4">
        <v>41.43</v>
      </c>
      <c r="C419" s="2">
        <f ca="1">IFERROR(__xludf.DUMMYFUNCTION("""COMPUTED_VALUE"""),62.45)</f>
        <v>62.45</v>
      </c>
      <c r="D419" s="2">
        <f ca="1">IFERROR(__xludf.DUMMYFUNCTION("""COMPUTED_VALUE"""),442.68)</f>
        <v>442.68</v>
      </c>
      <c r="F419" s="37">
        <f t="shared" si="34"/>
        <v>1.8514536170177214E-2</v>
      </c>
      <c r="G419" s="37">
        <f t="shared" ca="1" si="35"/>
        <v>2.2018049909911047E-2</v>
      </c>
      <c r="H419" s="37">
        <f t="shared" ca="1" si="36"/>
        <v>1.2432049159437405E-3</v>
      </c>
      <c r="J419" s="38">
        <f t="shared" si="37"/>
        <v>1.8468107598748642E-2</v>
      </c>
      <c r="K419" s="38">
        <f t="shared" ca="1" si="38"/>
        <v>2.1971621338482475E-2</v>
      </c>
      <c r="L419" s="38">
        <f t="shared" ca="1" si="39"/>
        <v>1.1967763445151691E-3</v>
      </c>
    </row>
    <row r="420" spans="1:12" ht="13.8" thickBot="1" x14ac:dyDescent="0.3">
      <c r="A420" s="12">
        <v>44419.666666666664</v>
      </c>
      <c r="B420" s="4">
        <v>41.95</v>
      </c>
      <c r="C420" s="2">
        <f ca="1">IFERROR(__xludf.DUMMYFUNCTION("""COMPUTED_VALUE"""),62.95)</f>
        <v>62.95</v>
      </c>
      <c r="D420" s="2">
        <f ca="1">IFERROR(__xludf.DUMMYFUNCTION("""COMPUTED_VALUE"""),443.78)</f>
        <v>443.78</v>
      </c>
      <c r="F420" s="37">
        <f t="shared" si="34"/>
        <v>1.2473176823904794E-2</v>
      </c>
      <c r="G420" s="37">
        <f t="shared" ca="1" si="35"/>
        <v>7.9745239187695473E-3</v>
      </c>
      <c r="H420" s="37">
        <f t="shared" ca="1" si="36"/>
        <v>2.4817827416857606E-3</v>
      </c>
      <c r="J420" s="38">
        <f t="shared" si="37"/>
        <v>1.2426748252476222E-2</v>
      </c>
      <c r="K420" s="38">
        <f t="shared" ca="1" si="38"/>
        <v>7.928095347340975E-3</v>
      </c>
      <c r="L420" s="38">
        <f t="shared" ca="1" si="39"/>
        <v>2.4353541702571892E-3</v>
      </c>
    </row>
    <row r="421" spans="1:12" ht="13.8" thickBot="1" x14ac:dyDescent="0.3">
      <c r="A421" s="12">
        <v>44420.666666666664</v>
      </c>
      <c r="B421" s="4">
        <v>42.15</v>
      </c>
      <c r="C421" s="2">
        <f ca="1">IFERROR(__xludf.DUMMYFUNCTION("""COMPUTED_VALUE"""),62.94)</f>
        <v>62.94</v>
      </c>
      <c r="D421" s="2">
        <f ca="1">IFERROR(__xludf.DUMMYFUNCTION("""COMPUTED_VALUE"""),445.11)</f>
        <v>445.11</v>
      </c>
      <c r="F421" s="37">
        <f t="shared" si="34"/>
        <v>4.7562515346492758E-3</v>
      </c>
      <c r="G421" s="37">
        <f t="shared" ca="1" si="35"/>
        <v>-1.5886885409550024E-4</v>
      </c>
      <c r="H421" s="37">
        <f t="shared" ca="1" si="36"/>
        <v>2.9924984925414492E-3</v>
      </c>
      <c r="J421" s="38">
        <f t="shared" si="37"/>
        <v>4.7098229632207044E-3</v>
      </c>
      <c r="K421" s="38">
        <f t="shared" ca="1" si="38"/>
        <v>-2.0529742552407166E-4</v>
      </c>
      <c r="L421" s="38">
        <f t="shared" ca="1" si="39"/>
        <v>2.9460699211128778E-3</v>
      </c>
    </row>
    <row r="422" spans="1:12" ht="13.8" thickBot="1" x14ac:dyDescent="0.3">
      <c r="A422" s="12">
        <v>44421.666666666664</v>
      </c>
      <c r="B422" s="4">
        <v>41.63</v>
      </c>
      <c r="C422" s="2">
        <f ca="1">IFERROR(__xludf.DUMMYFUNCTION("""COMPUTED_VALUE"""),62.2)</f>
        <v>62.2</v>
      </c>
      <c r="D422" s="2">
        <f ca="1">IFERROR(__xludf.DUMMYFUNCTION("""COMPUTED_VALUE"""),445.92)</f>
        <v>445.92</v>
      </c>
      <c r="F422" s="37">
        <f t="shared" si="34"/>
        <v>-1.2413623240980309E-2</v>
      </c>
      <c r="G422" s="37">
        <f t="shared" ca="1" si="35"/>
        <v>-1.182689189112692E-2</v>
      </c>
      <c r="H422" s="37">
        <f t="shared" ca="1" si="36"/>
        <v>1.8181211028260626E-3</v>
      </c>
      <c r="J422" s="38">
        <f t="shared" si="37"/>
        <v>-1.2460051812408881E-2</v>
      </c>
      <c r="K422" s="38">
        <f t="shared" ca="1" si="38"/>
        <v>-1.1873320462555492E-2</v>
      </c>
      <c r="L422" s="38">
        <f t="shared" ca="1" si="39"/>
        <v>1.7716925313974912E-3</v>
      </c>
    </row>
    <row r="423" spans="1:12" ht="13.8" thickBot="1" x14ac:dyDescent="0.3">
      <c r="A423" s="12">
        <v>44424.666666666664</v>
      </c>
      <c r="B423" s="4">
        <v>41.29</v>
      </c>
      <c r="C423" s="2">
        <f ca="1">IFERROR(__xludf.DUMMYFUNCTION("""COMPUTED_VALUE"""),60.97)</f>
        <v>60.97</v>
      </c>
      <c r="D423" s="2">
        <f ca="1">IFERROR(__xludf.DUMMYFUNCTION("""COMPUTED_VALUE"""),446.97)</f>
        <v>446.97</v>
      </c>
      <c r="F423" s="37">
        <f t="shared" si="34"/>
        <v>-8.2007213088852882E-3</v>
      </c>
      <c r="G423" s="37">
        <f t="shared" ca="1" si="35"/>
        <v>-1.9973059825409131E-2</v>
      </c>
      <c r="H423" s="37">
        <f t="shared" ca="1" si="36"/>
        <v>2.3519145337195283E-3</v>
      </c>
      <c r="J423" s="38">
        <f t="shared" si="37"/>
        <v>-8.2471498803138605E-3</v>
      </c>
      <c r="K423" s="38">
        <f t="shared" ca="1" si="38"/>
        <v>-2.0019488396837704E-2</v>
      </c>
      <c r="L423" s="38">
        <f t="shared" ca="1" si="39"/>
        <v>2.3054859622909569E-3</v>
      </c>
    </row>
    <row r="424" spans="1:12" ht="13.8" thickBot="1" x14ac:dyDescent="0.3">
      <c r="A424" s="12">
        <v>44425.666666666664</v>
      </c>
      <c r="B424" s="4">
        <v>41.09</v>
      </c>
      <c r="C424" s="2">
        <f ca="1">IFERROR(__xludf.DUMMYFUNCTION("""COMPUTED_VALUE"""),61.18)</f>
        <v>61.18</v>
      </c>
      <c r="D424" s="2">
        <f ca="1">IFERROR(__xludf.DUMMYFUNCTION("""COMPUTED_VALUE"""),444.04)</f>
        <v>444.04</v>
      </c>
      <c r="F424" s="37">
        <f t="shared" si="34"/>
        <v>-4.8555570026803489E-3</v>
      </c>
      <c r="G424" s="37">
        <f t="shared" ca="1" si="35"/>
        <v>3.4383988030327085E-3</v>
      </c>
      <c r="H424" s="37">
        <f t="shared" ca="1" si="36"/>
        <v>-6.5768298029111431E-3</v>
      </c>
      <c r="J424" s="38">
        <f t="shared" si="37"/>
        <v>-4.9019855741089203E-3</v>
      </c>
      <c r="K424" s="38">
        <f t="shared" ca="1" si="38"/>
        <v>3.3919702316041371E-3</v>
      </c>
      <c r="L424" s="38">
        <f t="shared" ca="1" si="39"/>
        <v>-6.6232583743397145E-3</v>
      </c>
    </row>
    <row r="425" spans="1:12" ht="13.8" thickBot="1" x14ac:dyDescent="0.3">
      <c r="A425" s="12">
        <v>44426.666666666664</v>
      </c>
      <c r="B425" s="4">
        <v>40.79</v>
      </c>
      <c r="C425" s="2">
        <f ca="1">IFERROR(__xludf.DUMMYFUNCTION("""COMPUTED_VALUE"""),61.61)</f>
        <v>61.61</v>
      </c>
      <c r="D425" s="2">
        <f ca="1">IFERROR(__xludf.DUMMYFUNCTION("""COMPUTED_VALUE"""),439.18)</f>
        <v>439.18</v>
      </c>
      <c r="F425" s="37">
        <f t="shared" si="34"/>
        <v>-7.3278295658514344E-3</v>
      </c>
      <c r="G425" s="37">
        <f t="shared" ca="1" si="35"/>
        <v>7.0038563037219037E-3</v>
      </c>
      <c r="H425" s="37">
        <f t="shared" ca="1" si="36"/>
        <v>-1.1005296646600982E-2</v>
      </c>
      <c r="J425" s="38">
        <f t="shared" si="37"/>
        <v>-7.3742581372800058E-3</v>
      </c>
      <c r="K425" s="38">
        <f t="shared" ca="1" si="38"/>
        <v>6.9574277322933323E-3</v>
      </c>
      <c r="L425" s="38">
        <f t="shared" ca="1" si="39"/>
        <v>-1.1051725218029555E-2</v>
      </c>
    </row>
    <row r="426" spans="1:12" ht="13.8" thickBot="1" x14ac:dyDescent="0.3">
      <c r="A426" s="12">
        <v>44427.666666666664</v>
      </c>
      <c r="B426" s="4">
        <v>40.19</v>
      </c>
      <c r="C426" s="2">
        <f ca="1">IFERROR(__xludf.DUMMYFUNCTION("""COMPUTED_VALUE"""),59.66)</f>
        <v>59.66</v>
      </c>
      <c r="D426" s="2">
        <f ca="1">IFERROR(__xludf.DUMMYFUNCTION("""COMPUTED_VALUE"""),439.86)</f>
        <v>439.86</v>
      </c>
      <c r="F426" s="37">
        <f t="shared" si="34"/>
        <v>-1.4818744868357384E-2</v>
      </c>
      <c r="G426" s="37">
        <f t="shared" ca="1" si="35"/>
        <v>-3.2162415939876947E-2</v>
      </c>
      <c r="H426" s="37">
        <f t="shared" ca="1" si="36"/>
        <v>1.5471426457048332E-3</v>
      </c>
      <c r="J426" s="38">
        <f t="shared" si="37"/>
        <v>-1.4865173439785957E-2</v>
      </c>
      <c r="K426" s="38">
        <f t="shared" ca="1" si="38"/>
        <v>-3.2208844511305519E-2</v>
      </c>
      <c r="L426" s="38">
        <f t="shared" ca="1" si="39"/>
        <v>1.5007140742762618E-3</v>
      </c>
    </row>
    <row r="427" spans="1:12" ht="13.8" thickBot="1" x14ac:dyDescent="0.3">
      <c r="A427" s="12">
        <v>44428.666666666664</v>
      </c>
      <c r="B427" s="4">
        <v>40.369999999999997</v>
      </c>
      <c r="C427" s="2">
        <f ca="1">IFERROR(__xludf.DUMMYFUNCTION("""COMPUTED_VALUE"""),59.78)</f>
        <v>59.78</v>
      </c>
      <c r="D427" s="2">
        <f ca="1">IFERROR(__xludf.DUMMYFUNCTION("""COMPUTED_VALUE"""),443.36)</f>
        <v>443.36</v>
      </c>
      <c r="F427" s="37">
        <f t="shared" si="34"/>
        <v>4.4687264037396078E-3</v>
      </c>
      <c r="G427" s="37">
        <f t="shared" ca="1" si="35"/>
        <v>2.0093777691893295E-3</v>
      </c>
      <c r="H427" s="37">
        <f t="shared" ca="1" si="36"/>
        <v>7.9255866511181144E-3</v>
      </c>
      <c r="J427" s="38">
        <f t="shared" si="37"/>
        <v>4.4222978323110364E-3</v>
      </c>
      <c r="K427" s="38">
        <f t="shared" ca="1" si="38"/>
        <v>1.9629491977607581E-3</v>
      </c>
      <c r="L427" s="38">
        <f t="shared" ca="1" si="39"/>
        <v>7.8791580796895421E-3</v>
      </c>
    </row>
    <row r="428" spans="1:12" ht="13.8" thickBot="1" x14ac:dyDescent="0.3">
      <c r="A428" s="12">
        <v>44431.666666666664</v>
      </c>
      <c r="B428" s="4">
        <v>40.909999999999997</v>
      </c>
      <c r="C428" s="2">
        <f ca="1">IFERROR(__xludf.DUMMYFUNCTION("""COMPUTED_VALUE"""),60.39)</f>
        <v>60.39</v>
      </c>
      <c r="D428" s="2">
        <f ca="1">IFERROR(__xludf.DUMMYFUNCTION("""COMPUTED_VALUE"""),447.26)</f>
        <v>447.26</v>
      </c>
      <c r="F428" s="37">
        <f t="shared" si="34"/>
        <v>1.3287597076457665E-2</v>
      </c>
      <c r="G428" s="37">
        <f t="shared" ca="1" si="35"/>
        <v>1.0152371464017908E-2</v>
      </c>
      <c r="H428" s="37">
        <f t="shared" ca="1" si="36"/>
        <v>8.7579998839028526E-3</v>
      </c>
      <c r="J428" s="38">
        <f t="shared" si="37"/>
        <v>1.3241168505029093E-2</v>
      </c>
      <c r="K428" s="38">
        <f t="shared" ca="1" si="38"/>
        <v>1.0105942892589335E-2</v>
      </c>
      <c r="L428" s="38">
        <f t="shared" ca="1" si="39"/>
        <v>8.7115713124742804E-3</v>
      </c>
    </row>
    <row r="429" spans="1:12" ht="13.8" thickBot="1" x14ac:dyDescent="0.3">
      <c r="A429" s="12">
        <v>44432.666666666664</v>
      </c>
      <c r="B429" s="4">
        <v>41.48</v>
      </c>
      <c r="C429" s="2">
        <f ca="1">IFERROR(__xludf.DUMMYFUNCTION("""COMPUTED_VALUE"""),61.13)</f>
        <v>61.13</v>
      </c>
      <c r="D429" s="2">
        <f ca="1">IFERROR(__xludf.DUMMYFUNCTION("""COMPUTED_VALUE"""),447.97)</f>
        <v>447.97</v>
      </c>
      <c r="F429" s="37">
        <f t="shared" si="34"/>
        <v>1.383685142001931E-2</v>
      </c>
      <c r="G429" s="37">
        <f t="shared" ca="1" si="35"/>
        <v>1.2179215720824284E-2</v>
      </c>
      <c r="H429" s="37">
        <f t="shared" ca="1" si="36"/>
        <v>1.5861848884918582E-3</v>
      </c>
      <c r="J429" s="38">
        <f t="shared" si="37"/>
        <v>1.3790422848590738E-2</v>
      </c>
      <c r="K429" s="38">
        <f t="shared" ca="1" si="38"/>
        <v>1.2132787149395712E-2</v>
      </c>
      <c r="L429" s="38">
        <f t="shared" ca="1" si="39"/>
        <v>1.5397563170632868E-3</v>
      </c>
    </row>
    <row r="430" spans="1:12" ht="13.8" thickBot="1" x14ac:dyDescent="0.3">
      <c r="A430" s="12">
        <v>44433.666666666664</v>
      </c>
      <c r="B430" s="4">
        <v>42.15</v>
      </c>
      <c r="C430" s="2">
        <f ca="1">IFERROR(__xludf.DUMMYFUNCTION("""COMPUTED_VALUE"""),62.56)</f>
        <v>62.56</v>
      </c>
      <c r="D430" s="2">
        <f ca="1">IFERROR(__xludf.DUMMYFUNCTION("""COMPUTED_VALUE"""),448.91)</f>
        <v>448.91</v>
      </c>
      <c r="F430" s="37">
        <f t="shared" si="34"/>
        <v>1.6023301086537892E-2</v>
      </c>
      <c r="G430" s="37">
        <f t="shared" ca="1" si="35"/>
        <v>2.3123352196421691E-2</v>
      </c>
      <c r="H430" s="37">
        <f t="shared" ca="1" si="36"/>
        <v>2.0961563290218389E-3</v>
      </c>
      <c r="J430" s="38">
        <f t="shared" si="37"/>
        <v>1.5976872515109319E-2</v>
      </c>
      <c r="K430" s="38">
        <f t="shared" ca="1" si="38"/>
        <v>2.3076923624993119E-2</v>
      </c>
      <c r="L430" s="38">
        <f t="shared" ca="1" si="39"/>
        <v>2.0497277575932675E-3</v>
      </c>
    </row>
    <row r="431" spans="1:12" ht="13.8" thickBot="1" x14ac:dyDescent="0.3">
      <c r="A431" s="12">
        <v>44434.666666666664</v>
      </c>
      <c r="B431" s="4">
        <v>42.04</v>
      </c>
      <c r="C431" s="2">
        <f ca="1">IFERROR(__xludf.DUMMYFUNCTION("""COMPUTED_VALUE"""),62.08)</f>
        <v>62.08</v>
      </c>
      <c r="D431" s="2">
        <f ca="1">IFERROR(__xludf.DUMMYFUNCTION("""COMPUTED_VALUE"""),446.26)</f>
        <v>446.26</v>
      </c>
      <c r="F431" s="37">
        <f t="shared" si="34"/>
        <v>-2.613138439114056E-3</v>
      </c>
      <c r="G431" s="37">
        <f t="shared" ca="1" si="35"/>
        <v>-7.702220362092351E-3</v>
      </c>
      <c r="H431" s="37">
        <f t="shared" ca="1" si="36"/>
        <v>-5.9206804097277901E-3</v>
      </c>
      <c r="J431" s="38">
        <f t="shared" si="37"/>
        <v>-2.6595670105426274E-3</v>
      </c>
      <c r="K431" s="38">
        <f t="shared" ca="1" si="38"/>
        <v>-7.7486489335209224E-3</v>
      </c>
      <c r="L431" s="38">
        <f t="shared" ca="1" si="39"/>
        <v>-5.9671089811563615E-3</v>
      </c>
    </row>
    <row r="432" spans="1:12" ht="13.8" thickBot="1" x14ac:dyDescent="0.3">
      <c r="A432" s="12">
        <v>44435.666666666664</v>
      </c>
      <c r="B432" s="4">
        <v>42.49</v>
      </c>
      <c r="C432" s="2">
        <f ca="1">IFERROR(__xludf.DUMMYFUNCTION("""COMPUTED_VALUE"""),61.88)</f>
        <v>61.88</v>
      </c>
      <c r="D432" s="2">
        <f ca="1">IFERROR(__xludf.DUMMYFUNCTION("""COMPUTED_VALUE"""),450.25)</f>
        <v>450.25</v>
      </c>
      <c r="F432" s="37">
        <f t="shared" si="34"/>
        <v>1.0647208117969832E-2</v>
      </c>
      <c r="G432" s="37">
        <f t="shared" ca="1" si="35"/>
        <v>-3.2268501700978155E-3</v>
      </c>
      <c r="H432" s="37">
        <f t="shared" ca="1" si="36"/>
        <v>8.9012422497082022E-3</v>
      </c>
      <c r="J432" s="38">
        <f t="shared" si="37"/>
        <v>1.060077954654126E-2</v>
      </c>
      <c r="K432" s="38">
        <f t="shared" ca="1" si="38"/>
        <v>-3.2732787415263869E-3</v>
      </c>
      <c r="L432" s="38">
        <f t="shared" ca="1" si="39"/>
        <v>8.85481367827963E-3</v>
      </c>
    </row>
    <row r="433" spans="1:12" ht="13.8" thickBot="1" x14ac:dyDescent="0.3">
      <c r="A433" s="12">
        <v>44438.666666666664</v>
      </c>
      <c r="B433" s="4">
        <v>41.66</v>
      </c>
      <c r="C433" s="2">
        <f ca="1">IFERROR(__xludf.DUMMYFUNCTION("""COMPUTED_VALUE"""),61.17)</f>
        <v>61.17</v>
      </c>
      <c r="D433" s="2">
        <f ca="1">IFERROR(__xludf.DUMMYFUNCTION("""COMPUTED_VALUE"""),452.23)</f>
        <v>452.23</v>
      </c>
      <c r="F433" s="37">
        <f t="shared" si="34"/>
        <v>-1.9727318293894344E-2</v>
      </c>
      <c r="G433" s="37">
        <f t="shared" ca="1" si="35"/>
        <v>-1.1540152450391831E-2</v>
      </c>
      <c r="H433" s="37">
        <f t="shared" ca="1" si="36"/>
        <v>4.3879159136535227E-3</v>
      </c>
      <c r="J433" s="38">
        <f t="shared" si="37"/>
        <v>-1.9773746865322916E-2</v>
      </c>
      <c r="K433" s="38">
        <f t="shared" ca="1" si="38"/>
        <v>-1.1586581021820403E-2</v>
      </c>
      <c r="L433" s="38">
        <f t="shared" ca="1" si="39"/>
        <v>4.3414873422249513E-3</v>
      </c>
    </row>
    <row r="434" spans="1:12" ht="13.8" thickBot="1" x14ac:dyDescent="0.3">
      <c r="A434" s="12">
        <v>44439.666666666664</v>
      </c>
      <c r="B434" s="4">
        <v>41.75</v>
      </c>
      <c r="C434" s="2">
        <f ca="1">IFERROR(__xludf.DUMMYFUNCTION("""COMPUTED_VALUE"""),61.36)</f>
        <v>61.36</v>
      </c>
      <c r="D434" s="2">
        <f ca="1">IFERROR(__xludf.DUMMYFUNCTION("""COMPUTED_VALUE"""),451.56)</f>
        <v>451.56</v>
      </c>
      <c r="F434" s="37">
        <f t="shared" si="34"/>
        <v>2.1580154640386891E-3</v>
      </c>
      <c r="G434" s="37">
        <f t="shared" ca="1" si="35"/>
        <v>3.10128380452731E-3</v>
      </c>
      <c r="H434" s="37">
        <f t="shared" ca="1" si="36"/>
        <v>-1.4826455763727044E-3</v>
      </c>
      <c r="J434" s="38">
        <f t="shared" si="37"/>
        <v>2.1115868926101177E-3</v>
      </c>
      <c r="K434" s="38">
        <f t="shared" ca="1" si="38"/>
        <v>3.0548552330987386E-3</v>
      </c>
      <c r="L434" s="38">
        <f t="shared" ca="1" si="39"/>
        <v>-1.5290741478012758E-3</v>
      </c>
    </row>
    <row r="435" spans="1:12" ht="13.8" thickBot="1" x14ac:dyDescent="0.3">
      <c r="A435" s="12">
        <v>44440.666666666664</v>
      </c>
      <c r="B435" s="4">
        <v>41.19</v>
      </c>
      <c r="C435" s="2">
        <f ca="1">IFERROR(__xludf.DUMMYFUNCTION("""COMPUTED_VALUE"""),60.44)</f>
        <v>60.44</v>
      </c>
      <c r="D435" s="2">
        <f ca="1">IFERROR(__xludf.DUMMYFUNCTION("""COMPUTED_VALUE"""),451.8)</f>
        <v>451.8</v>
      </c>
      <c r="F435" s="37">
        <f t="shared" si="34"/>
        <v>-1.3503942848875182E-2</v>
      </c>
      <c r="G435" s="37">
        <f t="shared" ca="1" si="35"/>
        <v>-1.5107019654461982E-2</v>
      </c>
      <c r="H435" s="37">
        <f t="shared" ca="1" si="36"/>
        <v>5.3134964055682164E-4</v>
      </c>
      <c r="J435" s="38">
        <f t="shared" si="37"/>
        <v>-1.3550371420303754E-2</v>
      </c>
      <c r="K435" s="38">
        <f t="shared" ca="1" si="38"/>
        <v>-1.5153448225890554E-2</v>
      </c>
      <c r="L435" s="38">
        <f t="shared" ca="1" si="39"/>
        <v>4.8492106912825024E-4</v>
      </c>
    </row>
    <row r="436" spans="1:12" ht="13.8" thickBot="1" x14ac:dyDescent="0.3">
      <c r="A436" s="12">
        <v>44441.666666666664</v>
      </c>
      <c r="B436" s="4">
        <v>41.02</v>
      </c>
      <c r="C436" s="2">
        <f ca="1">IFERROR(__xludf.DUMMYFUNCTION("""COMPUTED_VALUE"""),60.59)</f>
        <v>60.59</v>
      </c>
      <c r="D436" s="2">
        <f ca="1">IFERROR(__xludf.DUMMYFUNCTION("""COMPUTED_VALUE"""),453.19)</f>
        <v>453.19</v>
      </c>
      <c r="F436" s="37">
        <f t="shared" si="34"/>
        <v>-4.1357558037547256E-3</v>
      </c>
      <c r="G436" s="37">
        <f t="shared" ca="1" si="35"/>
        <v>2.4787255523589565E-3</v>
      </c>
      <c r="H436" s="37">
        <f t="shared" ca="1" si="36"/>
        <v>3.071859563178311E-3</v>
      </c>
      <c r="J436" s="38">
        <f t="shared" si="37"/>
        <v>-4.182184375183297E-3</v>
      </c>
      <c r="K436" s="38">
        <f t="shared" ca="1" si="38"/>
        <v>2.4322969809303851E-3</v>
      </c>
      <c r="L436" s="38">
        <f t="shared" ca="1" si="39"/>
        <v>3.0254309917497396E-3</v>
      </c>
    </row>
    <row r="437" spans="1:12" ht="13.8" thickBot="1" x14ac:dyDescent="0.3">
      <c r="A437" s="12">
        <v>44442.666666666664</v>
      </c>
      <c r="B437" s="4">
        <v>41.05</v>
      </c>
      <c r="C437" s="2">
        <f ca="1">IFERROR(__xludf.DUMMYFUNCTION("""COMPUTED_VALUE"""),59.74)</f>
        <v>59.74</v>
      </c>
      <c r="D437" s="2">
        <f ca="1">IFERROR(__xludf.DUMMYFUNCTION("""COMPUTED_VALUE"""),453.08)</f>
        <v>453.08</v>
      </c>
      <c r="F437" s="37">
        <f t="shared" si="34"/>
        <v>7.3108325420263907E-4</v>
      </c>
      <c r="G437" s="37">
        <f t="shared" ca="1" si="35"/>
        <v>-1.4128050168933913E-2</v>
      </c>
      <c r="H437" s="37">
        <f t="shared" ca="1" si="36"/>
        <v>-2.4275326456844163E-4</v>
      </c>
      <c r="J437" s="38">
        <f t="shared" si="37"/>
        <v>6.8465468277406768E-4</v>
      </c>
      <c r="K437" s="38">
        <f t="shared" ca="1" si="38"/>
        <v>-1.4174478740362486E-2</v>
      </c>
      <c r="L437" s="38">
        <f t="shared" ca="1" si="39"/>
        <v>-2.8918183599701305E-4</v>
      </c>
    </row>
    <row r="438" spans="1:12" ht="13.8" thickBot="1" x14ac:dyDescent="0.3">
      <c r="A438" s="12">
        <v>44446.666666666664</v>
      </c>
      <c r="B438" s="4">
        <v>41.32</v>
      </c>
      <c r="C438" s="2">
        <f ca="1">IFERROR(__xludf.DUMMYFUNCTION("""COMPUTED_VALUE"""),60.04)</f>
        <v>60.04</v>
      </c>
      <c r="D438" s="2">
        <f ca="1">IFERROR(__xludf.DUMMYFUNCTION("""COMPUTED_VALUE"""),451.46)</f>
        <v>451.46</v>
      </c>
      <c r="F438" s="37">
        <f t="shared" si="34"/>
        <v>6.5558083530006875E-3</v>
      </c>
      <c r="G438" s="37">
        <f t="shared" ca="1" si="35"/>
        <v>5.0091939772974178E-3</v>
      </c>
      <c r="H438" s="37">
        <f t="shared" ca="1" si="36"/>
        <v>-3.5819349770811436E-3</v>
      </c>
      <c r="J438" s="38">
        <f t="shared" si="37"/>
        <v>6.5093797815721161E-3</v>
      </c>
      <c r="K438" s="38">
        <f t="shared" ca="1" si="38"/>
        <v>4.9627654058688464E-3</v>
      </c>
      <c r="L438" s="38">
        <f t="shared" ca="1" si="39"/>
        <v>-3.628363548509715E-3</v>
      </c>
    </row>
    <row r="439" spans="1:12" ht="13.8" thickBot="1" x14ac:dyDescent="0.3">
      <c r="A439" s="12">
        <v>44447.666666666664</v>
      </c>
      <c r="B439" s="4">
        <v>40.78</v>
      </c>
      <c r="C439" s="2">
        <f ca="1">IFERROR(__xludf.DUMMYFUNCTION("""COMPUTED_VALUE"""),60.41)</f>
        <v>60.41</v>
      </c>
      <c r="D439" s="2">
        <f ca="1">IFERROR(__xludf.DUMMYFUNCTION("""COMPUTED_VALUE"""),450.91)</f>
        <v>450.91</v>
      </c>
      <c r="F439" s="37">
        <f t="shared" si="34"/>
        <v>-1.3154879105128631E-2</v>
      </c>
      <c r="G439" s="37">
        <f t="shared" ca="1" si="35"/>
        <v>6.1436473853885357E-3</v>
      </c>
      <c r="H439" s="37">
        <f t="shared" ca="1" si="36"/>
        <v>-1.2190123078291487E-3</v>
      </c>
      <c r="J439" s="38">
        <f t="shared" si="37"/>
        <v>-1.3201307676557203E-2</v>
      </c>
      <c r="K439" s="38">
        <f t="shared" ca="1" si="38"/>
        <v>6.0972188139599643E-3</v>
      </c>
      <c r="L439" s="38">
        <f t="shared" ca="1" si="39"/>
        <v>-1.2654408792577201E-3</v>
      </c>
    </row>
    <row r="440" spans="1:12" ht="13.8" thickBot="1" x14ac:dyDescent="0.3">
      <c r="A440" s="12">
        <v>44448.666666666664</v>
      </c>
      <c r="B440" s="4">
        <v>40.93</v>
      </c>
      <c r="C440" s="2">
        <f ca="1">IFERROR(__xludf.DUMMYFUNCTION("""COMPUTED_VALUE"""),59.34)</f>
        <v>59.34</v>
      </c>
      <c r="D440" s="2">
        <f ca="1">IFERROR(__xludf.DUMMYFUNCTION("""COMPUTED_VALUE"""),448.98)</f>
        <v>448.98</v>
      </c>
      <c r="F440" s="37">
        <f t="shared" si="34"/>
        <v>3.6715253580024976E-3</v>
      </c>
      <c r="G440" s="37">
        <f t="shared" ca="1" si="35"/>
        <v>-1.787103928797399E-2</v>
      </c>
      <c r="H440" s="37">
        <f t="shared" ca="1" si="36"/>
        <v>-4.2894197272803575E-3</v>
      </c>
      <c r="J440" s="38">
        <f t="shared" si="37"/>
        <v>3.6250967865739262E-3</v>
      </c>
      <c r="K440" s="38">
        <f t="shared" ca="1" si="38"/>
        <v>-1.7917467859402562E-2</v>
      </c>
      <c r="L440" s="38">
        <f t="shared" ca="1" si="39"/>
        <v>-4.3358482987089289E-3</v>
      </c>
    </row>
    <row r="441" spans="1:12" ht="13.8" thickBot="1" x14ac:dyDescent="0.3">
      <c r="A441" s="12">
        <v>44449.666666666664</v>
      </c>
      <c r="B441" s="4">
        <v>40.270000000000003</v>
      </c>
      <c r="C441" s="2">
        <f ca="1">IFERROR(__xludf.DUMMYFUNCTION("""COMPUTED_VALUE"""),59.7)</f>
        <v>59.7</v>
      </c>
      <c r="D441" s="2">
        <f ca="1">IFERROR(__xludf.DUMMYFUNCTION("""COMPUTED_VALUE"""),445.44)</f>
        <v>445.44</v>
      </c>
      <c r="F441" s="37">
        <f t="shared" si="34"/>
        <v>-1.6256515640948745E-2</v>
      </c>
      <c r="G441" s="37">
        <f t="shared" ca="1" si="35"/>
        <v>6.0484055358806564E-3</v>
      </c>
      <c r="H441" s="37">
        <f t="shared" ca="1" si="36"/>
        <v>-7.9157856143220236E-3</v>
      </c>
      <c r="J441" s="38">
        <f t="shared" si="37"/>
        <v>-1.6302944212377317E-2</v>
      </c>
      <c r="K441" s="38">
        <f t="shared" ca="1" si="38"/>
        <v>6.001976964452085E-3</v>
      </c>
      <c r="L441" s="38">
        <f t="shared" ca="1" si="39"/>
        <v>-7.9622141857505959E-3</v>
      </c>
    </row>
    <row r="442" spans="1:12" ht="13.8" thickBot="1" x14ac:dyDescent="0.3">
      <c r="A442" s="12">
        <v>44452.666666666664</v>
      </c>
      <c r="B442" s="4">
        <v>40.94</v>
      </c>
      <c r="C442" s="2">
        <f ca="1">IFERROR(__xludf.DUMMYFUNCTION("""COMPUTED_VALUE"""),59.1)</f>
        <v>59.1</v>
      </c>
      <c r="D442" s="2">
        <f ca="1">IFERROR(__xludf.DUMMYFUNCTION("""COMPUTED_VALUE"""),446.58)</f>
        <v>446.58</v>
      </c>
      <c r="F442" s="37">
        <f t="shared" si="34"/>
        <v>1.6500805369780554E-2</v>
      </c>
      <c r="G442" s="37">
        <f t="shared" ca="1" si="35"/>
        <v>-1.0101095986503933E-2</v>
      </c>
      <c r="H442" s="37">
        <f t="shared" ca="1" si="36"/>
        <v>2.5559978938741105E-3</v>
      </c>
      <c r="J442" s="38">
        <f t="shared" si="37"/>
        <v>1.6454376798351981E-2</v>
      </c>
      <c r="K442" s="38">
        <f t="shared" ca="1" si="38"/>
        <v>-1.0147524557932506E-2</v>
      </c>
      <c r="L442" s="38">
        <f t="shared" ca="1" si="39"/>
        <v>2.5095693224455391E-3</v>
      </c>
    </row>
    <row r="443" spans="1:12" ht="13.8" thickBot="1" x14ac:dyDescent="0.3">
      <c r="A443" s="12">
        <v>44453.666666666664</v>
      </c>
      <c r="B443" s="4">
        <v>39.840000000000003</v>
      </c>
      <c r="C443" s="2">
        <f ca="1">IFERROR(__xludf.DUMMYFUNCTION("""COMPUTED_VALUE"""),59.62)</f>
        <v>59.62</v>
      </c>
      <c r="D443" s="2">
        <f ca="1">IFERROR(__xludf.DUMMYFUNCTION("""COMPUTED_VALUE"""),444.17)</f>
        <v>444.17</v>
      </c>
      <c r="F443" s="37">
        <f t="shared" si="34"/>
        <v>-2.7236147516745898E-2</v>
      </c>
      <c r="G443" s="37">
        <f t="shared" ca="1" si="35"/>
        <v>8.7601638378728836E-3</v>
      </c>
      <c r="H443" s="37">
        <f t="shared" ca="1" si="36"/>
        <v>-5.4111835657128897E-3</v>
      </c>
      <c r="J443" s="38">
        <f t="shared" si="37"/>
        <v>-2.7282576088174471E-2</v>
      </c>
      <c r="K443" s="38">
        <f t="shared" ca="1" si="38"/>
        <v>8.7137352664443113E-3</v>
      </c>
      <c r="L443" s="38">
        <f t="shared" ca="1" si="39"/>
        <v>-5.4576121371414611E-3</v>
      </c>
    </row>
    <row r="444" spans="1:12" ht="13.8" thickBot="1" x14ac:dyDescent="0.3">
      <c r="A444" s="12">
        <v>44454.666666666664</v>
      </c>
      <c r="B444" s="4">
        <v>40.14</v>
      </c>
      <c r="C444" s="2">
        <f ca="1">IFERROR(__xludf.DUMMYFUNCTION("""COMPUTED_VALUE"""),58.94)</f>
        <v>58.94</v>
      </c>
      <c r="D444" s="2">
        <f ca="1">IFERROR(__xludf.DUMMYFUNCTION("""COMPUTED_VALUE"""),447.88)</f>
        <v>447.88</v>
      </c>
      <c r="F444" s="37">
        <f t="shared" si="34"/>
        <v>7.5019106517944705E-3</v>
      </c>
      <c r="G444" s="37">
        <f t="shared" ca="1" si="35"/>
        <v>-1.1471110940376667E-2</v>
      </c>
      <c r="H444" s="37">
        <f t="shared" ca="1" si="36"/>
        <v>8.3179673578347817E-3</v>
      </c>
      <c r="J444" s="38">
        <f t="shared" si="37"/>
        <v>7.4554820803658991E-3</v>
      </c>
      <c r="K444" s="38">
        <f t="shared" ca="1" si="38"/>
        <v>-1.1517539511805239E-2</v>
      </c>
      <c r="L444" s="38">
        <f t="shared" ca="1" si="39"/>
        <v>8.2715387864062094E-3</v>
      </c>
    </row>
    <row r="445" spans="1:12" ht="13.8" thickBot="1" x14ac:dyDescent="0.3">
      <c r="A445" s="12">
        <v>44455.666666666664</v>
      </c>
      <c r="B445" s="4">
        <v>40.450000000000003</v>
      </c>
      <c r="C445" s="2">
        <f ca="1">IFERROR(__xludf.DUMMYFUNCTION("""COMPUTED_VALUE"""),59.55)</f>
        <v>59.55</v>
      </c>
      <c r="D445" s="2">
        <f ca="1">IFERROR(__xludf.DUMMYFUNCTION("""COMPUTED_VALUE"""),447.17)</f>
        <v>447.17</v>
      </c>
      <c r="F445" s="37">
        <f t="shared" si="34"/>
        <v>7.6933001363085739E-3</v>
      </c>
      <c r="G445" s="37">
        <f t="shared" ca="1" si="35"/>
        <v>1.0296318491760466E-2</v>
      </c>
      <c r="H445" s="37">
        <f t="shared" ca="1" si="36"/>
        <v>-1.5865038800562123E-3</v>
      </c>
      <c r="J445" s="38">
        <f t="shared" si="37"/>
        <v>7.6468715648800025E-3</v>
      </c>
      <c r="K445" s="38">
        <f t="shared" ca="1" si="38"/>
        <v>1.0249889920331894E-2</v>
      </c>
      <c r="L445" s="38">
        <f t="shared" ca="1" si="39"/>
        <v>-1.6329324514847837E-3</v>
      </c>
    </row>
    <row r="446" spans="1:12" ht="13.8" thickBot="1" x14ac:dyDescent="0.3">
      <c r="A446" s="12">
        <v>44456.666666666664</v>
      </c>
      <c r="B446" s="4">
        <v>40.5</v>
      </c>
      <c r="C446" s="2">
        <f ca="1">IFERROR(__xludf.DUMMYFUNCTION("""COMPUTED_VALUE"""),59.87)</f>
        <v>59.87</v>
      </c>
      <c r="D446" s="2">
        <f ca="1">IFERROR(__xludf.DUMMYFUNCTION("""COMPUTED_VALUE"""),441.4)</f>
        <v>441.4</v>
      </c>
      <c r="F446" s="37">
        <f t="shared" si="34"/>
        <v>1.2353306079925864E-3</v>
      </c>
      <c r="G446" s="37">
        <f t="shared" ca="1" si="35"/>
        <v>5.3592491359514844E-3</v>
      </c>
      <c r="H446" s="37">
        <f t="shared" ca="1" si="36"/>
        <v>-1.2987341689304007E-2</v>
      </c>
      <c r="J446" s="38">
        <f t="shared" si="37"/>
        <v>1.188902036564015E-3</v>
      </c>
      <c r="K446" s="38">
        <f t="shared" ca="1" si="38"/>
        <v>5.312820564522913E-3</v>
      </c>
      <c r="L446" s="38">
        <f t="shared" ca="1" si="39"/>
        <v>-1.303377026073258E-2</v>
      </c>
    </row>
    <row r="447" spans="1:12" ht="13.8" thickBot="1" x14ac:dyDescent="0.3">
      <c r="A447" s="12">
        <v>44459.666666666664</v>
      </c>
      <c r="B447" s="4">
        <v>39.11</v>
      </c>
      <c r="C447" s="2">
        <f ca="1">IFERROR(__xludf.DUMMYFUNCTION("""COMPUTED_VALUE"""),59.9)</f>
        <v>59.9</v>
      </c>
      <c r="D447" s="2">
        <f ca="1">IFERROR(__xludf.DUMMYFUNCTION("""COMPUTED_VALUE"""),434.04)</f>
        <v>434.04</v>
      </c>
      <c r="F447" s="37">
        <f t="shared" si="34"/>
        <v>-3.4923785345070728E-2</v>
      </c>
      <c r="G447" s="37">
        <f t="shared" ca="1" si="35"/>
        <v>5.009601841429542E-4</v>
      </c>
      <c r="H447" s="37">
        <f t="shared" ca="1" si="36"/>
        <v>-1.6814798070629022E-2</v>
      </c>
      <c r="J447" s="38">
        <f t="shared" si="37"/>
        <v>-3.49702139164993E-2</v>
      </c>
      <c r="K447" s="38">
        <f t="shared" ca="1" si="38"/>
        <v>4.545316127143828E-4</v>
      </c>
      <c r="L447" s="38">
        <f t="shared" ca="1" si="39"/>
        <v>-1.6861226642057595E-2</v>
      </c>
    </row>
    <row r="448" spans="1:12" ht="13.8" thickBot="1" x14ac:dyDescent="0.3">
      <c r="A448" s="12">
        <v>44460.666666666664</v>
      </c>
      <c r="B448" s="4">
        <v>39.130000000000003</v>
      </c>
      <c r="C448" s="2">
        <f ca="1">IFERROR(__xludf.DUMMYFUNCTION("""COMPUTED_VALUE"""),56.84)</f>
        <v>56.84</v>
      </c>
      <c r="D448" s="2">
        <f ca="1">IFERROR(__xludf.DUMMYFUNCTION("""COMPUTED_VALUE"""),433.63)</f>
        <v>433.63</v>
      </c>
      <c r="F448" s="37">
        <f t="shared" si="34"/>
        <v>5.1124745489831969E-4</v>
      </c>
      <c r="G448" s="37">
        <f t="shared" ca="1" si="35"/>
        <v>-5.2436201892503746E-2</v>
      </c>
      <c r="H448" s="37">
        <f t="shared" ca="1" si="36"/>
        <v>-9.4505982808117095E-4</v>
      </c>
      <c r="J448" s="38">
        <f t="shared" si="37"/>
        <v>4.6481888346974829E-4</v>
      </c>
      <c r="K448" s="38">
        <f t="shared" ca="1" si="38"/>
        <v>-5.2482630463932319E-2</v>
      </c>
      <c r="L448" s="38">
        <f t="shared" ca="1" si="39"/>
        <v>-9.9148839950974235E-4</v>
      </c>
    </row>
    <row r="449" spans="1:12" ht="13.8" thickBot="1" x14ac:dyDescent="0.3">
      <c r="A449" s="12">
        <v>44461.666666666664</v>
      </c>
      <c r="B449" s="4">
        <v>40.14</v>
      </c>
      <c r="C449" s="2">
        <f ca="1">IFERROR(__xludf.DUMMYFUNCTION("""COMPUTED_VALUE"""),57)</f>
        <v>57</v>
      </c>
      <c r="D449" s="2">
        <f ca="1">IFERROR(__xludf.DUMMYFUNCTION("""COMPUTED_VALUE"""),437.86)</f>
        <v>437.86</v>
      </c>
      <c r="F449" s="37">
        <f t="shared" si="34"/>
        <v>2.5483907145871044E-2</v>
      </c>
      <c r="G449" s="37">
        <f t="shared" ca="1" si="35"/>
        <v>2.8109646056502283E-3</v>
      </c>
      <c r="H449" s="37">
        <f t="shared" ca="1" si="36"/>
        <v>9.707588655264391E-3</v>
      </c>
      <c r="J449" s="38">
        <f t="shared" si="37"/>
        <v>2.5437478574442472E-2</v>
      </c>
      <c r="K449" s="38">
        <f t="shared" ca="1" si="38"/>
        <v>2.7645360342216569E-3</v>
      </c>
      <c r="L449" s="38">
        <f t="shared" ca="1" si="39"/>
        <v>9.6611600838358187E-3</v>
      </c>
    </row>
    <row r="450" spans="1:12" ht="13.8" thickBot="1" x14ac:dyDescent="0.3">
      <c r="A450" s="12">
        <v>44462.666666666664</v>
      </c>
      <c r="B450" s="4">
        <v>41.69</v>
      </c>
      <c r="C450" s="2">
        <f ca="1">IFERROR(__xludf.DUMMYFUNCTION("""COMPUTED_VALUE"""),58.6)</f>
        <v>58.6</v>
      </c>
      <c r="D450" s="2">
        <f ca="1">IFERROR(__xludf.DUMMYFUNCTION("""COMPUTED_VALUE"""),443.18)</f>
        <v>443.18</v>
      </c>
      <c r="F450" s="37">
        <f t="shared" si="34"/>
        <v>3.7887948524513465E-2</v>
      </c>
      <c r="G450" s="37">
        <f t="shared" ca="1" si="35"/>
        <v>2.7683428748416866E-2</v>
      </c>
      <c r="H450" s="37">
        <f t="shared" ca="1" si="36"/>
        <v>1.2076783481868766E-2</v>
      </c>
      <c r="J450" s="38">
        <f t="shared" si="37"/>
        <v>3.7841519953084893E-2</v>
      </c>
      <c r="K450" s="38">
        <f t="shared" ca="1" si="38"/>
        <v>2.7637000176988294E-2</v>
      </c>
      <c r="L450" s="38">
        <f t="shared" ca="1" si="39"/>
        <v>1.2030354910440194E-2</v>
      </c>
    </row>
    <row r="451" spans="1:12" ht="13.8" thickBot="1" x14ac:dyDescent="0.3">
      <c r="A451" s="12">
        <v>44463.666666666664</v>
      </c>
      <c r="B451" s="4">
        <v>42.14</v>
      </c>
      <c r="C451" s="2">
        <f ca="1">IFERROR(__xludf.DUMMYFUNCTION("""COMPUTED_VALUE"""),60.28)</f>
        <v>60.28</v>
      </c>
      <c r="D451" s="2">
        <f ca="1">IFERROR(__xludf.DUMMYFUNCTION("""COMPUTED_VALUE"""),443.91)</f>
        <v>443.91</v>
      </c>
      <c r="F451" s="37">
        <f t="shared" si="34"/>
        <v>1.0736116483337553E-2</v>
      </c>
      <c r="G451" s="37">
        <f t="shared" ca="1" si="35"/>
        <v>2.8265677175327675E-2</v>
      </c>
      <c r="H451" s="37">
        <f t="shared" ca="1" si="36"/>
        <v>1.6458311214935907E-3</v>
      </c>
      <c r="J451" s="38">
        <f t="shared" si="37"/>
        <v>1.068968791190898E-2</v>
      </c>
      <c r="K451" s="38">
        <f t="shared" ca="1" si="38"/>
        <v>2.8219248603899103E-2</v>
      </c>
      <c r="L451" s="38">
        <f t="shared" ca="1" si="39"/>
        <v>1.5994025500650193E-3</v>
      </c>
    </row>
    <row r="452" spans="1:12" ht="13.8" thickBot="1" x14ac:dyDescent="0.3">
      <c r="A452" s="12">
        <v>44466.666666666664</v>
      </c>
      <c r="B452" s="4">
        <v>43.26</v>
      </c>
      <c r="C452" s="2">
        <f ca="1">IFERROR(__xludf.DUMMYFUNCTION("""COMPUTED_VALUE"""),60.62)</f>
        <v>60.62</v>
      </c>
      <c r="D452" s="2">
        <f ca="1">IFERROR(__xludf.DUMMYFUNCTION("""COMPUTED_VALUE"""),442.64)</f>
        <v>442.64</v>
      </c>
      <c r="F452" s="37">
        <f t="shared" si="34"/>
        <v>2.6231012148869685E-2</v>
      </c>
      <c r="G452" s="37">
        <f t="shared" ca="1" si="35"/>
        <v>5.6244978713622506E-3</v>
      </c>
      <c r="H452" s="37">
        <f t="shared" ca="1" si="36"/>
        <v>-2.8650405926983272E-3</v>
      </c>
      <c r="J452" s="38">
        <f t="shared" si="37"/>
        <v>2.6184583577441113E-2</v>
      </c>
      <c r="K452" s="38">
        <f t="shared" ca="1" si="38"/>
        <v>5.5780692999336792E-3</v>
      </c>
      <c r="L452" s="38">
        <f t="shared" ca="1" si="39"/>
        <v>-2.9114691641268986E-3</v>
      </c>
    </row>
    <row r="453" spans="1:12" ht="13.8" thickBot="1" x14ac:dyDescent="0.3">
      <c r="A453" s="12">
        <v>44467.666666666664</v>
      </c>
      <c r="B453" s="4">
        <v>43.16</v>
      </c>
      <c r="C453" s="2">
        <f ca="1">IFERROR(__xludf.DUMMYFUNCTION("""COMPUTED_VALUE"""),61.75)</f>
        <v>61.75</v>
      </c>
      <c r="D453" s="2">
        <f ca="1">IFERROR(__xludf.DUMMYFUNCTION("""COMPUTED_VALUE"""),433.72)</f>
        <v>433.72</v>
      </c>
      <c r="F453" s="37">
        <f t="shared" si="34"/>
        <v>-2.3142801349788343E-3</v>
      </c>
      <c r="G453" s="37">
        <f t="shared" ca="1" si="35"/>
        <v>1.8469103878429469E-2</v>
      </c>
      <c r="H453" s="37">
        <f t="shared" ca="1" si="36"/>
        <v>-2.0357633985873001E-2</v>
      </c>
      <c r="J453" s="38">
        <f t="shared" si="37"/>
        <v>-2.3607087064074057E-3</v>
      </c>
      <c r="K453" s="38">
        <f t="shared" ca="1" si="38"/>
        <v>1.8422675307000896E-2</v>
      </c>
      <c r="L453" s="38">
        <f t="shared" ca="1" si="39"/>
        <v>-2.0404062557301574E-2</v>
      </c>
    </row>
    <row r="454" spans="1:12" ht="13.8" thickBot="1" x14ac:dyDescent="0.3">
      <c r="A454" s="12">
        <v>44468.666666666664</v>
      </c>
      <c r="B454" s="4">
        <v>43.07</v>
      </c>
      <c r="C454" s="2">
        <f ca="1">IFERROR(__xludf.DUMMYFUNCTION("""COMPUTED_VALUE"""),61.55)</f>
        <v>61.55</v>
      </c>
      <c r="D454" s="2">
        <f ca="1">IFERROR(__xludf.DUMMYFUNCTION("""COMPUTED_VALUE"""),434.45)</f>
        <v>434.45</v>
      </c>
      <c r="F454" s="37">
        <f t="shared" si="34"/>
        <v>-2.0874413239145707E-3</v>
      </c>
      <c r="G454" s="37">
        <f t="shared" ca="1" si="35"/>
        <v>-3.2441228776241135E-3</v>
      </c>
      <c r="H454" s="37">
        <f t="shared" ca="1" si="36"/>
        <v>1.6816986812337234E-3</v>
      </c>
      <c r="J454" s="38">
        <f t="shared" si="37"/>
        <v>-2.1338698953431421E-3</v>
      </c>
      <c r="K454" s="38">
        <f t="shared" ca="1" si="38"/>
        <v>-3.2905514490526849E-3</v>
      </c>
      <c r="L454" s="38">
        <f t="shared" ca="1" si="39"/>
        <v>1.635270109805152E-3</v>
      </c>
    </row>
    <row r="455" spans="1:12" ht="13.8" thickBot="1" x14ac:dyDescent="0.3">
      <c r="A455" s="12">
        <v>44469.666666666664</v>
      </c>
      <c r="B455" s="4">
        <v>42.45</v>
      </c>
      <c r="C455" s="2">
        <f ca="1">IFERROR(__xludf.DUMMYFUNCTION("""COMPUTED_VALUE"""),61.56)</f>
        <v>61.56</v>
      </c>
      <c r="D455" s="2">
        <f ca="1">IFERROR(__xludf.DUMMYFUNCTION("""COMPUTED_VALUE"""),429.14)</f>
        <v>429.14</v>
      </c>
      <c r="F455" s="37">
        <f t="shared" si="34"/>
        <v>-1.4499786308662842E-2</v>
      </c>
      <c r="G455" s="37">
        <f t="shared" ca="1" si="35"/>
        <v>1.624563402161131E-4</v>
      </c>
      <c r="H455" s="37">
        <f t="shared" ca="1" si="36"/>
        <v>-1.2297657268279926E-2</v>
      </c>
      <c r="J455" s="38">
        <f t="shared" si="37"/>
        <v>-1.4546214880091415E-2</v>
      </c>
      <c r="K455" s="38">
        <f t="shared" ca="1" si="38"/>
        <v>1.1602776878754168E-4</v>
      </c>
      <c r="L455" s="38">
        <f t="shared" ca="1" si="39"/>
        <v>-1.2344085839708498E-2</v>
      </c>
    </row>
    <row r="456" spans="1:12" ht="13.8" thickBot="1" x14ac:dyDescent="0.3">
      <c r="A456" s="12">
        <v>44470.666666666664</v>
      </c>
      <c r="B456" s="4">
        <v>43.08</v>
      </c>
      <c r="C456" s="2">
        <f ca="1">IFERROR(__xludf.DUMMYFUNCTION("""COMPUTED_VALUE"""),61.36)</f>
        <v>61.36</v>
      </c>
      <c r="D456" s="2">
        <f ca="1">IFERROR(__xludf.DUMMYFUNCTION("""COMPUTED_VALUE"""),434.24)</f>
        <v>434.24</v>
      </c>
      <c r="F456" s="37">
        <f t="shared" si="34"/>
        <v>1.4731939530831333E-2</v>
      </c>
      <c r="G456" s="37">
        <f t="shared" ca="1" si="35"/>
        <v>-3.2541519116777852E-3</v>
      </c>
      <c r="H456" s="37">
        <f t="shared" ca="1" si="36"/>
        <v>1.1814170629569253E-2</v>
      </c>
      <c r="J456" s="38">
        <f t="shared" si="37"/>
        <v>1.4685510959402761E-2</v>
      </c>
      <c r="K456" s="38">
        <f t="shared" ca="1" si="38"/>
        <v>-3.3005804831063566E-3</v>
      </c>
      <c r="L456" s="38">
        <f t="shared" ca="1" si="39"/>
        <v>1.1767742058140681E-2</v>
      </c>
    </row>
    <row r="457" spans="1:12" ht="13.8" thickBot="1" x14ac:dyDescent="0.3">
      <c r="A457" s="12">
        <v>44473.666666666664</v>
      </c>
      <c r="B457" s="4">
        <v>43.34</v>
      </c>
      <c r="C457" s="2">
        <f ca="1">IFERROR(__xludf.DUMMYFUNCTION("""COMPUTED_VALUE"""),61.12)</f>
        <v>61.12</v>
      </c>
      <c r="D457" s="2">
        <f ca="1">IFERROR(__xludf.DUMMYFUNCTION("""COMPUTED_VALUE"""),428.64)</f>
        <v>428.64</v>
      </c>
      <c r="F457" s="37">
        <f t="shared" si="34"/>
        <v>6.0171438200253809E-3</v>
      </c>
      <c r="G457" s="37">
        <f t="shared" ca="1" si="35"/>
        <v>-3.9190122007357192E-3</v>
      </c>
      <c r="H457" s="37">
        <f t="shared" ca="1" si="36"/>
        <v>-1.2979970850205805E-2</v>
      </c>
      <c r="J457" s="38">
        <f t="shared" si="37"/>
        <v>5.9707152485968095E-3</v>
      </c>
      <c r="K457" s="38">
        <f t="shared" ca="1" si="38"/>
        <v>-3.9654407721642906E-3</v>
      </c>
      <c r="L457" s="38">
        <f t="shared" ca="1" si="39"/>
        <v>-1.3026399421634378E-2</v>
      </c>
    </row>
    <row r="458" spans="1:12" ht="13.8" thickBot="1" x14ac:dyDescent="0.3">
      <c r="A458" s="12">
        <v>44474.666666666664</v>
      </c>
      <c r="B458" s="4">
        <v>44.22</v>
      </c>
      <c r="C458" s="2">
        <f ca="1">IFERROR(__xludf.DUMMYFUNCTION("""COMPUTED_VALUE"""),61.45)</f>
        <v>61.45</v>
      </c>
      <c r="D458" s="2">
        <f ca="1">IFERROR(__xludf.DUMMYFUNCTION("""COMPUTED_VALUE"""),433.1)</f>
        <v>433.1</v>
      </c>
      <c r="F458" s="37">
        <f t="shared" si="34"/>
        <v>2.0101179321087088E-2</v>
      </c>
      <c r="G458" s="37">
        <f t="shared" ca="1" si="35"/>
        <v>5.3846911537788695E-3</v>
      </c>
      <c r="H458" s="37">
        <f t="shared" ca="1" si="36"/>
        <v>1.0351242424282498E-2</v>
      </c>
      <c r="J458" s="38">
        <f t="shared" si="37"/>
        <v>2.0054750749658515E-2</v>
      </c>
      <c r="K458" s="38">
        <f t="shared" ca="1" si="38"/>
        <v>5.3382625823502981E-3</v>
      </c>
      <c r="L458" s="38">
        <f t="shared" ca="1" si="39"/>
        <v>1.0304813852853926E-2</v>
      </c>
    </row>
    <row r="459" spans="1:12" ht="13.8" thickBot="1" x14ac:dyDescent="0.3">
      <c r="A459" s="12">
        <v>44475.666666666664</v>
      </c>
      <c r="B459" s="4">
        <v>44.24</v>
      </c>
      <c r="C459" s="2">
        <f ca="1">IFERROR(__xludf.DUMMYFUNCTION("""COMPUTED_VALUE"""),62.54)</f>
        <v>62.54</v>
      </c>
      <c r="D459" s="2">
        <f ca="1">IFERROR(__xludf.DUMMYFUNCTION("""COMPUTED_VALUE"""),434.9)</f>
        <v>434.9</v>
      </c>
      <c r="F459" s="37">
        <f t="shared" si="34"/>
        <v>4.521817847792319E-4</v>
      </c>
      <c r="G459" s="37">
        <f t="shared" ca="1" si="35"/>
        <v>1.7582516017651355E-2</v>
      </c>
      <c r="H459" s="37">
        <f t="shared" ca="1" si="36"/>
        <v>4.1474713830116205E-3</v>
      </c>
      <c r="J459" s="38">
        <f t="shared" si="37"/>
        <v>4.0575321335066051E-4</v>
      </c>
      <c r="K459" s="38">
        <f t="shared" ca="1" si="38"/>
        <v>1.7536087446222783E-2</v>
      </c>
      <c r="L459" s="38">
        <f t="shared" ca="1" si="39"/>
        <v>4.1010428115830491E-3</v>
      </c>
    </row>
    <row r="460" spans="1:12" ht="13.8" thickBot="1" x14ac:dyDescent="0.3">
      <c r="A460" s="12">
        <v>44476.666666666664</v>
      </c>
      <c r="B460" s="4">
        <v>44.12</v>
      </c>
      <c r="C460" s="2">
        <f ca="1">IFERROR(__xludf.DUMMYFUNCTION("""COMPUTED_VALUE"""),61.76)</f>
        <v>61.76</v>
      </c>
      <c r="D460" s="2">
        <f ca="1">IFERROR(__xludf.DUMMYFUNCTION("""COMPUTED_VALUE"""),438.66)</f>
        <v>438.66</v>
      </c>
      <c r="F460" s="37">
        <f t="shared" ref="F460:F519" si="40">LN(B460/B459)</f>
        <v>-2.7161628287777004E-3</v>
      </c>
      <c r="G460" s="37">
        <f t="shared" ref="G460:G519" ca="1" si="41">LN(C460/C459)</f>
        <v>-1.255044631317454E-2</v>
      </c>
      <c r="H460" s="37">
        <f t="shared" ref="H460:H519" ca="1" si="42">LN(D460/D459)</f>
        <v>8.6085059296869462E-3</v>
      </c>
      <c r="J460" s="38">
        <f t="shared" ref="J460:J519" si="43">F460-$B$9</f>
        <v>-2.7625914002062718E-3</v>
      </c>
      <c r="K460" s="38">
        <f t="shared" ref="K460:K519" ca="1" si="44">G460-$B$9</f>
        <v>-1.2596874884603112E-2</v>
      </c>
      <c r="L460" s="38">
        <f t="shared" ref="L460:L519" ca="1" si="45">H460-$B$9</f>
        <v>8.5620773582583739E-3</v>
      </c>
    </row>
    <row r="461" spans="1:12" ht="13.8" thickBot="1" x14ac:dyDescent="0.3">
      <c r="A461" s="12">
        <v>44477.666666666664</v>
      </c>
      <c r="B461" s="4">
        <v>44.34</v>
      </c>
      <c r="C461" s="2">
        <f ca="1">IFERROR(__xludf.DUMMYFUNCTION("""COMPUTED_VALUE"""),63.23)</f>
        <v>63.23</v>
      </c>
      <c r="D461" s="2">
        <f ca="1">IFERROR(__xludf.DUMMYFUNCTION("""COMPUTED_VALUE"""),437.86)</f>
        <v>437.86</v>
      </c>
      <c r="F461" s="37">
        <f t="shared" si="40"/>
        <v>4.9740098028639148E-3</v>
      </c>
      <c r="G461" s="37">
        <f t="shared" ca="1" si="41"/>
        <v>2.3522966354001081E-2</v>
      </c>
      <c r="H461" s="37">
        <f t="shared" ca="1" si="42"/>
        <v>-1.8254009540894956E-3</v>
      </c>
      <c r="J461" s="38">
        <f t="shared" si="43"/>
        <v>4.9275812314353434E-3</v>
      </c>
      <c r="K461" s="38">
        <f t="shared" ca="1" si="44"/>
        <v>2.3476537782572509E-2</v>
      </c>
      <c r="L461" s="38">
        <f t="shared" ca="1" si="45"/>
        <v>-1.871829525518067E-3</v>
      </c>
    </row>
    <row r="462" spans="1:12" ht="13.8" thickBot="1" x14ac:dyDescent="0.3">
      <c r="A462" s="12">
        <v>44480.666666666664</v>
      </c>
      <c r="B462" s="4">
        <v>43.78</v>
      </c>
      <c r="C462" s="2">
        <f ca="1">IFERROR(__xludf.DUMMYFUNCTION("""COMPUTED_VALUE"""),62.65)</f>
        <v>62.65</v>
      </c>
      <c r="D462" s="2">
        <f ca="1">IFERROR(__xludf.DUMMYFUNCTION("""COMPUTED_VALUE"""),434.69)</f>
        <v>434.69</v>
      </c>
      <c r="F462" s="37">
        <f t="shared" si="40"/>
        <v>-1.2710112093448597E-2</v>
      </c>
      <c r="G462" s="37">
        <f t="shared" ca="1" si="41"/>
        <v>-9.2151907284445493E-3</v>
      </c>
      <c r="H462" s="37">
        <f t="shared" ca="1" si="42"/>
        <v>-7.2660912198788544E-3</v>
      </c>
      <c r="J462" s="38">
        <f t="shared" si="43"/>
        <v>-1.2756540664877169E-2</v>
      </c>
      <c r="K462" s="38">
        <f t="shared" ca="1" si="44"/>
        <v>-9.2616192998731216E-3</v>
      </c>
      <c r="L462" s="38">
        <f t="shared" ca="1" si="45"/>
        <v>-7.3125197913074258E-3</v>
      </c>
    </row>
    <row r="463" spans="1:12" ht="13.8" thickBot="1" x14ac:dyDescent="0.3">
      <c r="A463" s="12">
        <v>44481.666666666664</v>
      </c>
      <c r="B463" s="4">
        <v>43.54</v>
      </c>
      <c r="C463" s="2">
        <f ca="1">IFERROR(__xludf.DUMMYFUNCTION("""COMPUTED_VALUE"""),63.35)</f>
        <v>63.35</v>
      </c>
      <c r="D463" s="2">
        <f ca="1">IFERROR(__xludf.DUMMYFUNCTION("""COMPUTED_VALUE"""),433.62)</f>
        <v>433.62</v>
      </c>
      <c r="F463" s="37">
        <f t="shared" si="40"/>
        <v>-5.4970362883154933E-3</v>
      </c>
      <c r="G463" s="37">
        <f t="shared" ca="1" si="41"/>
        <v>1.1111225425070849E-2</v>
      </c>
      <c r="H463" s="37">
        <f t="shared" ca="1" si="42"/>
        <v>-2.4645588363665784E-3</v>
      </c>
      <c r="J463" s="38">
        <f t="shared" si="43"/>
        <v>-5.5434648597440647E-3</v>
      </c>
      <c r="K463" s="38">
        <f t="shared" ca="1" si="44"/>
        <v>1.1064796853642277E-2</v>
      </c>
      <c r="L463" s="38">
        <f t="shared" ca="1" si="45"/>
        <v>-2.5109874077951498E-3</v>
      </c>
    </row>
    <row r="464" spans="1:12" ht="13.8" thickBot="1" x14ac:dyDescent="0.3">
      <c r="A464" s="12">
        <v>44482.666666666664</v>
      </c>
      <c r="B464" s="4">
        <v>43.14</v>
      </c>
      <c r="C464" s="2">
        <f ca="1">IFERROR(__xludf.DUMMYFUNCTION("""COMPUTED_VALUE"""),61.91)</f>
        <v>61.91</v>
      </c>
      <c r="D464" s="2">
        <f ca="1">IFERROR(__xludf.DUMMYFUNCTION("""COMPUTED_VALUE"""),435.18)</f>
        <v>435.18</v>
      </c>
      <c r="F464" s="37">
        <f t="shared" si="40"/>
        <v>-9.2294148453910315E-3</v>
      </c>
      <c r="G464" s="37">
        <f t="shared" ca="1" si="41"/>
        <v>-2.2993189236007329E-2</v>
      </c>
      <c r="H464" s="37">
        <f t="shared" ca="1" si="42"/>
        <v>3.591164080431317E-3</v>
      </c>
      <c r="J464" s="38">
        <f t="shared" si="43"/>
        <v>-9.2758434168196038E-3</v>
      </c>
      <c r="K464" s="38">
        <f t="shared" ca="1" si="44"/>
        <v>-2.3039617807435901E-2</v>
      </c>
      <c r="L464" s="38">
        <f t="shared" ca="1" si="45"/>
        <v>3.5447355090027456E-3</v>
      </c>
    </row>
    <row r="465" spans="1:12" ht="13.8" thickBot="1" x14ac:dyDescent="0.3">
      <c r="A465" s="12">
        <v>44483.666666666664</v>
      </c>
      <c r="B465" s="4">
        <v>45.07</v>
      </c>
      <c r="C465" s="2">
        <f ca="1">IFERROR(__xludf.DUMMYFUNCTION("""COMPUTED_VALUE"""),60.35)</f>
        <v>60.35</v>
      </c>
      <c r="D465" s="2">
        <f ca="1">IFERROR(__xludf.DUMMYFUNCTION("""COMPUTED_VALUE"""),442.5)</f>
        <v>442.5</v>
      </c>
      <c r="F465" s="37">
        <f t="shared" si="40"/>
        <v>4.3766195741546485E-2</v>
      </c>
      <c r="G465" s="37">
        <f t="shared" ca="1" si="41"/>
        <v>-2.5520769987600174E-2</v>
      </c>
      <c r="H465" s="37">
        <f t="shared" ca="1" si="42"/>
        <v>1.6680725844608141E-2</v>
      </c>
      <c r="J465" s="38">
        <f t="shared" si="43"/>
        <v>4.3719767170117912E-2</v>
      </c>
      <c r="K465" s="38">
        <f t="shared" ca="1" si="44"/>
        <v>-2.5567198559028746E-2</v>
      </c>
      <c r="L465" s="38">
        <f t="shared" ca="1" si="45"/>
        <v>1.6634297273179569E-2</v>
      </c>
    </row>
    <row r="466" spans="1:12" ht="13.8" thickBot="1" x14ac:dyDescent="0.3">
      <c r="A466" s="12">
        <v>44484.666666666664</v>
      </c>
      <c r="B466" s="4">
        <v>46.37</v>
      </c>
      <c r="C466" s="2">
        <f ca="1">IFERROR(__xludf.DUMMYFUNCTION("""COMPUTED_VALUE"""),60.58)</f>
        <v>60.58</v>
      </c>
      <c r="D466" s="2">
        <f ca="1">IFERROR(__xludf.DUMMYFUNCTION("""COMPUTED_VALUE"""),445.87)</f>
        <v>445.87</v>
      </c>
      <c r="F466" s="37">
        <f t="shared" si="40"/>
        <v>2.8435861700812592E-2</v>
      </c>
      <c r="G466" s="37">
        <f t="shared" ca="1" si="41"/>
        <v>3.8038580555506776E-3</v>
      </c>
      <c r="H466" s="37">
        <f t="shared" ca="1" si="42"/>
        <v>7.5869652629526746E-3</v>
      </c>
      <c r="J466" s="38">
        <f t="shared" si="43"/>
        <v>2.8389433129384019E-2</v>
      </c>
      <c r="K466" s="38">
        <f t="shared" ca="1" si="44"/>
        <v>3.7574294841221062E-3</v>
      </c>
      <c r="L466" s="38">
        <f t="shared" ca="1" si="45"/>
        <v>7.5405366915241032E-3</v>
      </c>
    </row>
    <row r="467" spans="1:12" ht="13.8" thickBot="1" x14ac:dyDescent="0.3">
      <c r="A467" s="12">
        <v>44487.666666666664</v>
      </c>
      <c r="B467" s="4">
        <v>46.28</v>
      </c>
      <c r="C467" s="2">
        <f ca="1">IFERROR(__xludf.DUMMYFUNCTION("""COMPUTED_VALUE"""),62.57)</f>
        <v>62.57</v>
      </c>
      <c r="D467" s="2">
        <f ca="1">IFERROR(__xludf.DUMMYFUNCTION("""COMPUTED_VALUE"""),447.19)</f>
        <v>447.19</v>
      </c>
      <c r="F467" s="37">
        <f t="shared" si="40"/>
        <v>-1.9427960778935244E-3</v>
      </c>
      <c r="G467" s="37">
        <f t="shared" ca="1" si="41"/>
        <v>3.2321124411180867E-2</v>
      </c>
      <c r="H467" s="37">
        <f t="shared" ca="1" si="42"/>
        <v>2.9561305203630209E-3</v>
      </c>
      <c r="J467" s="38">
        <f t="shared" si="43"/>
        <v>-1.989224649322096E-3</v>
      </c>
      <c r="K467" s="38">
        <f t="shared" ca="1" si="44"/>
        <v>3.2274695839752295E-2</v>
      </c>
      <c r="L467" s="38">
        <f t="shared" ca="1" si="45"/>
        <v>2.9097019489344495E-3</v>
      </c>
    </row>
    <row r="468" spans="1:12" ht="13.8" thickBot="1" x14ac:dyDescent="0.3">
      <c r="A468" s="12">
        <v>44488.666666666664</v>
      </c>
      <c r="B468" s="4">
        <v>46.48</v>
      </c>
      <c r="C468" s="2">
        <f ca="1">IFERROR(__xludf.DUMMYFUNCTION("""COMPUTED_VALUE"""),62.2)</f>
        <v>62.2</v>
      </c>
      <c r="D468" s="2">
        <f ca="1">IFERROR(__xludf.DUMMYFUNCTION("""COMPUTED_VALUE"""),450.64)</f>
        <v>450.64</v>
      </c>
      <c r="F468" s="37">
        <f t="shared" si="40"/>
        <v>4.3122102181799059E-3</v>
      </c>
      <c r="G468" s="37">
        <f t="shared" ca="1" si="41"/>
        <v>-5.9309302651383141E-3</v>
      </c>
      <c r="H468" s="37">
        <f t="shared" ca="1" si="42"/>
        <v>7.6852343551587722E-3</v>
      </c>
      <c r="J468" s="38">
        <f t="shared" si="43"/>
        <v>4.2657816467513345E-3</v>
      </c>
      <c r="K468" s="38">
        <f t="shared" ca="1" si="44"/>
        <v>-5.9773588365668855E-3</v>
      </c>
      <c r="L468" s="38">
        <f t="shared" ca="1" si="45"/>
        <v>7.6388057837302008E-3</v>
      </c>
    </row>
    <row r="469" spans="1:12" ht="13.8" thickBot="1" x14ac:dyDescent="0.3">
      <c r="A469" s="12">
        <v>44489.666666666664</v>
      </c>
      <c r="B469" s="4">
        <v>47.09</v>
      </c>
      <c r="C469" s="2">
        <f ca="1">IFERROR(__xludf.DUMMYFUNCTION("""COMPUTED_VALUE"""),61.69)</f>
        <v>61.69</v>
      </c>
      <c r="D469" s="2">
        <f ca="1">IFERROR(__xludf.DUMMYFUNCTION("""COMPUTED_VALUE"""),452.41)</f>
        <v>452.41</v>
      </c>
      <c r="F469" s="37">
        <f t="shared" si="40"/>
        <v>1.3038551711807459E-2</v>
      </c>
      <c r="G469" s="37">
        <f t="shared" ca="1" si="41"/>
        <v>-8.2331565235866169E-3</v>
      </c>
      <c r="H469" s="37">
        <f t="shared" ca="1" si="42"/>
        <v>3.9200537436590039E-3</v>
      </c>
      <c r="J469" s="38">
        <f t="shared" si="43"/>
        <v>1.2992123140378887E-2</v>
      </c>
      <c r="K469" s="38">
        <f t="shared" ca="1" si="44"/>
        <v>-8.2795850950151892E-3</v>
      </c>
      <c r="L469" s="38">
        <f t="shared" ca="1" si="45"/>
        <v>3.8736251722304325E-3</v>
      </c>
    </row>
    <row r="470" spans="1:12" ht="13.8" thickBot="1" x14ac:dyDescent="0.3">
      <c r="A470" s="12">
        <v>44490.666666666664</v>
      </c>
      <c r="B470" s="4">
        <v>46.83</v>
      </c>
      <c r="C470" s="2">
        <f ca="1">IFERROR(__xludf.DUMMYFUNCTION("""COMPUTED_VALUE"""),61.93)</f>
        <v>61.93</v>
      </c>
      <c r="D470" s="2">
        <f ca="1">IFERROR(__xludf.DUMMYFUNCTION("""COMPUTED_VALUE"""),453.59)</f>
        <v>453.59</v>
      </c>
      <c r="F470" s="37">
        <f t="shared" si="40"/>
        <v>-5.5366410600129106E-3</v>
      </c>
      <c r="G470" s="37">
        <f t="shared" ca="1" si="41"/>
        <v>3.8828717284222301E-3</v>
      </c>
      <c r="H470" s="37">
        <f t="shared" ca="1" si="42"/>
        <v>2.6048579850322519E-3</v>
      </c>
      <c r="J470" s="38">
        <f t="shared" si="43"/>
        <v>-5.583069631441482E-3</v>
      </c>
      <c r="K470" s="38">
        <f t="shared" ca="1" si="44"/>
        <v>3.8364431569936587E-3</v>
      </c>
      <c r="L470" s="38">
        <f t="shared" ca="1" si="45"/>
        <v>2.5584294136036805E-3</v>
      </c>
    </row>
    <row r="471" spans="1:12" ht="13.8" thickBot="1" x14ac:dyDescent="0.3">
      <c r="A471" s="12">
        <v>44491.666666666664</v>
      </c>
      <c r="B471" s="4">
        <v>47.57</v>
      </c>
      <c r="C471" s="2">
        <f ca="1">IFERROR(__xludf.DUMMYFUNCTION("""COMPUTED_VALUE"""),60.6)</f>
        <v>60.6</v>
      </c>
      <c r="D471" s="2">
        <f ca="1">IFERROR(__xludf.DUMMYFUNCTION("""COMPUTED_VALUE"""),453.12)</f>
        <v>453.12</v>
      </c>
      <c r="F471" s="37">
        <f t="shared" si="40"/>
        <v>1.5678287248739667E-2</v>
      </c>
      <c r="G471" s="37">
        <f t="shared" ca="1" si="41"/>
        <v>-2.1709821874700785E-2</v>
      </c>
      <c r="H471" s="37">
        <f t="shared" ca="1" si="42"/>
        <v>-1.0367152498493223E-3</v>
      </c>
      <c r="J471" s="38">
        <f t="shared" si="43"/>
        <v>1.5631858677311095E-2</v>
      </c>
      <c r="K471" s="38">
        <f t="shared" ca="1" si="44"/>
        <v>-2.1756250446129357E-2</v>
      </c>
      <c r="L471" s="38">
        <f t="shared" ca="1" si="45"/>
        <v>-1.0831438212778937E-3</v>
      </c>
    </row>
    <row r="472" spans="1:12" ht="13.8" thickBot="1" x14ac:dyDescent="0.3">
      <c r="A472" s="12">
        <v>44494.666666666664</v>
      </c>
      <c r="B472" s="4">
        <v>47.51</v>
      </c>
      <c r="C472" s="2">
        <f ca="1">IFERROR(__xludf.DUMMYFUNCTION("""COMPUTED_VALUE"""),61.35)</f>
        <v>61.35</v>
      </c>
      <c r="D472" s="2">
        <f ca="1">IFERROR(__xludf.DUMMYFUNCTION("""COMPUTED_VALUE"""),455.55)</f>
        <v>455.55</v>
      </c>
      <c r="F472" s="37">
        <f t="shared" si="40"/>
        <v>-1.2620952453602492E-3</v>
      </c>
      <c r="G472" s="37">
        <f t="shared" ca="1" si="41"/>
        <v>1.2300278081651687E-2</v>
      </c>
      <c r="H472" s="37">
        <f t="shared" ca="1" si="42"/>
        <v>5.348489094567122E-3</v>
      </c>
      <c r="J472" s="38">
        <f t="shared" si="43"/>
        <v>-1.3085238167888206E-3</v>
      </c>
      <c r="K472" s="38">
        <f t="shared" ca="1" si="44"/>
        <v>1.2253849510223114E-2</v>
      </c>
      <c r="L472" s="38">
        <f t="shared" ca="1" si="45"/>
        <v>5.3020605231385506E-3</v>
      </c>
    </row>
    <row r="473" spans="1:12" ht="13.8" thickBot="1" x14ac:dyDescent="0.3">
      <c r="A473" s="12">
        <v>44495.666666666664</v>
      </c>
      <c r="B473" s="4">
        <v>47.96</v>
      </c>
      <c r="C473" s="2">
        <f ca="1">IFERROR(__xludf.DUMMYFUNCTION("""COMPUTED_VALUE"""),60.95)</f>
        <v>60.95</v>
      </c>
      <c r="D473" s="2">
        <f ca="1">IFERROR(__xludf.DUMMYFUNCTION("""COMPUTED_VALUE"""),455.96)</f>
        <v>455.96</v>
      </c>
      <c r="F473" s="37">
        <f t="shared" si="40"/>
        <v>9.4271149604836582E-3</v>
      </c>
      <c r="G473" s="37">
        <f t="shared" ca="1" si="41"/>
        <v>-6.5413152296399423E-3</v>
      </c>
      <c r="H473" s="37">
        <f t="shared" ca="1" si="42"/>
        <v>8.9960620871029422E-4</v>
      </c>
      <c r="J473" s="38">
        <f t="shared" si="43"/>
        <v>9.3806863890550859E-3</v>
      </c>
      <c r="K473" s="38">
        <f t="shared" ca="1" si="44"/>
        <v>-6.5877438010685137E-3</v>
      </c>
      <c r="L473" s="38">
        <f t="shared" ca="1" si="45"/>
        <v>8.5317763728172283E-4</v>
      </c>
    </row>
    <row r="474" spans="1:12" ht="13.8" thickBot="1" x14ac:dyDescent="0.3">
      <c r="A474" s="12">
        <v>44496.666666666664</v>
      </c>
      <c r="B474" s="4">
        <v>47.04</v>
      </c>
      <c r="C474" s="2">
        <f ca="1">IFERROR(__xludf.DUMMYFUNCTION("""COMPUTED_VALUE"""),60.12)</f>
        <v>60.12</v>
      </c>
      <c r="D474" s="2">
        <f ca="1">IFERROR(__xludf.DUMMYFUNCTION("""COMPUTED_VALUE"""),453.94)</f>
        <v>453.94</v>
      </c>
      <c r="F474" s="37">
        <f t="shared" si="40"/>
        <v>-1.9369026568942103E-2</v>
      </c>
      <c r="G474" s="37">
        <f t="shared" ca="1" si="41"/>
        <v>-1.3711291042506915E-2</v>
      </c>
      <c r="H474" s="37">
        <f t="shared" ca="1" si="42"/>
        <v>-4.4400556512541826E-3</v>
      </c>
      <c r="J474" s="38">
        <f t="shared" si="43"/>
        <v>-1.9415455140370675E-2</v>
      </c>
      <c r="K474" s="38">
        <f t="shared" ca="1" si="44"/>
        <v>-1.3757719613935487E-2</v>
      </c>
      <c r="L474" s="38">
        <f t="shared" ca="1" si="45"/>
        <v>-4.486484222682754E-3</v>
      </c>
    </row>
    <row r="475" spans="1:12" ht="13.8" thickBot="1" x14ac:dyDescent="0.3">
      <c r="A475" s="12">
        <v>44497.666666666664</v>
      </c>
      <c r="B475" s="4">
        <v>47.78</v>
      </c>
      <c r="C475" s="2">
        <f ca="1">IFERROR(__xludf.DUMMYFUNCTION("""COMPUTED_VALUE"""),60.5)</f>
        <v>60.5</v>
      </c>
      <c r="D475" s="2">
        <f ca="1">IFERROR(__xludf.DUMMYFUNCTION("""COMPUTED_VALUE"""),458.32)</f>
        <v>458.32</v>
      </c>
      <c r="F475" s="37">
        <f t="shared" si="40"/>
        <v>1.5608838307291971E-2</v>
      </c>
      <c r="G475" s="37">
        <f t="shared" ca="1" si="41"/>
        <v>6.3008001520220933E-3</v>
      </c>
      <c r="H475" s="37">
        <f t="shared" ca="1" si="42"/>
        <v>9.6025993829987246E-3</v>
      </c>
      <c r="J475" s="38">
        <f t="shared" si="43"/>
        <v>1.5562409735863399E-2</v>
      </c>
      <c r="K475" s="38">
        <f t="shared" ca="1" si="44"/>
        <v>6.2543715805935219E-3</v>
      </c>
      <c r="L475" s="38">
        <f t="shared" ca="1" si="45"/>
        <v>9.5561708115701523E-3</v>
      </c>
    </row>
    <row r="476" spans="1:12" ht="13.8" thickBot="1" x14ac:dyDescent="0.3">
      <c r="A476" s="12">
        <v>44498.666666666664</v>
      </c>
      <c r="B476" s="4">
        <v>47.78</v>
      </c>
      <c r="C476" s="2">
        <f ca="1">IFERROR(__xludf.DUMMYFUNCTION("""COMPUTED_VALUE"""),60.54)</f>
        <v>60.54</v>
      </c>
      <c r="D476" s="2">
        <f ca="1">IFERROR(__xludf.DUMMYFUNCTION("""COMPUTED_VALUE"""),459.25)</f>
        <v>459.25</v>
      </c>
      <c r="F476" s="37">
        <f t="shared" si="40"/>
        <v>0</v>
      </c>
      <c r="G476" s="37">
        <f t="shared" ca="1" si="41"/>
        <v>6.6093855677683494E-4</v>
      </c>
      <c r="H476" s="37">
        <f t="shared" ca="1" si="42"/>
        <v>2.0270939949127023E-3</v>
      </c>
      <c r="J476" s="38">
        <f t="shared" si="43"/>
        <v>-4.6428571428571423E-5</v>
      </c>
      <c r="K476" s="38">
        <f t="shared" ca="1" si="44"/>
        <v>6.1450998534826355E-4</v>
      </c>
      <c r="L476" s="38">
        <f t="shared" ca="1" si="45"/>
        <v>1.980665423484131E-3</v>
      </c>
    </row>
    <row r="477" spans="1:12" ht="13.8" thickBot="1" x14ac:dyDescent="0.3">
      <c r="A477" s="12">
        <v>44501.666666666664</v>
      </c>
      <c r="B477" s="4">
        <v>47.85</v>
      </c>
      <c r="C477" s="2">
        <f ca="1">IFERROR(__xludf.DUMMYFUNCTION("""COMPUTED_VALUE"""),60.1)</f>
        <v>60.1</v>
      </c>
      <c r="D477" s="2">
        <f ca="1">IFERROR(__xludf.DUMMYFUNCTION("""COMPUTED_VALUE"""),460.04)</f>
        <v>460.04</v>
      </c>
      <c r="F477" s="37">
        <f t="shared" si="40"/>
        <v>1.4639760012998312E-3</v>
      </c>
      <c r="G477" s="37">
        <f t="shared" ca="1" si="41"/>
        <v>-7.2944620524106616E-3</v>
      </c>
      <c r="H477" s="37">
        <f t="shared" ca="1" si="42"/>
        <v>1.718718129145665E-3</v>
      </c>
      <c r="J477" s="38">
        <f t="shared" si="43"/>
        <v>1.4175474298712598E-3</v>
      </c>
      <c r="K477" s="38">
        <f t="shared" ca="1" si="44"/>
        <v>-7.340890623839233E-3</v>
      </c>
      <c r="L477" s="38">
        <f t="shared" ca="1" si="45"/>
        <v>1.6722895577170936E-3</v>
      </c>
    </row>
    <row r="478" spans="1:12" ht="13.8" thickBot="1" x14ac:dyDescent="0.3">
      <c r="A478" s="12">
        <v>44502.666666666664</v>
      </c>
      <c r="B478" s="4">
        <v>47.88</v>
      </c>
      <c r="C478" s="2">
        <f ca="1">IFERROR(__xludf.DUMMYFUNCTION("""COMPUTED_VALUE"""),59.58)</f>
        <v>59.58</v>
      </c>
      <c r="D478" s="2">
        <f ca="1">IFERROR(__xludf.DUMMYFUNCTION("""COMPUTED_VALUE"""),461.9)</f>
        <v>461.9</v>
      </c>
      <c r="F478" s="37">
        <f t="shared" si="40"/>
        <v>6.2676279080911058E-4</v>
      </c>
      <c r="G478" s="37">
        <f t="shared" ca="1" si="41"/>
        <v>-8.6898942560256851E-3</v>
      </c>
      <c r="H478" s="37">
        <f t="shared" ca="1" si="42"/>
        <v>4.0349752121790821E-3</v>
      </c>
      <c r="J478" s="38">
        <f t="shared" si="43"/>
        <v>5.8033421938053918E-4</v>
      </c>
      <c r="K478" s="38">
        <f t="shared" ca="1" si="44"/>
        <v>-8.7363228274542574E-3</v>
      </c>
      <c r="L478" s="38">
        <f t="shared" ca="1" si="45"/>
        <v>3.9885466407505107E-3</v>
      </c>
    </row>
    <row r="479" spans="1:12" ht="13.8" thickBot="1" x14ac:dyDescent="0.3">
      <c r="A479" s="12">
        <v>44503.666666666664</v>
      </c>
      <c r="B479" s="4">
        <v>48.37</v>
      </c>
      <c r="C479" s="2">
        <f ca="1">IFERROR(__xludf.DUMMYFUNCTION("""COMPUTED_VALUE"""),59.49)</f>
        <v>59.49</v>
      </c>
      <c r="D479" s="2">
        <f ca="1">IFERROR(__xludf.DUMMYFUNCTION("""COMPUTED_VALUE"""),464.72)</f>
        <v>464.72</v>
      </c>
      <c r="F479" s="37">
        <f t="shared" si="40"/>
        <v>1.0181906145119284E-2</v>
      </c>
      <c r="G479" s="37">
        <f t="shared" ca="1" si="41"/>
        <v>-1.5117160853218561E-3</v>
      </c>
      <c r="H479" s="37">
        <f t="shared" ca="1" si="42"/>
        <v>6.0866562477175203E-3</v>
      </c>
      <c r="J479" s="38">
        <f t="shared" si="43"/>
        <v>1.0135477573690712E-2</v>
      </c>
      <c r="K479" s="38">
        <f t="shared" ca="1" si="44"/>
        <v>-1.5581446567504275E-3</v>
      </c>
      <c r="L479" s="38">
        <f t="shared" ca="1" si="45"/>
        <v>6.0402276762889489E-3</v>
      </c>
    </row>
    <row r="480" spans="1:12" ht="13.8" thickBot="1" x14ac:dyDescent="0.3">
      <c r="A480" s="12">
        <v>44504.666666666664</v>
      </c>
      <c r="B480" s="4">
        <v>47.33</v>
      </c>
      <c r="C480" s="2">
        <f ca="1">IFERROR(__xludf.DUMMYFUNCTION("""COMPUTED_VALUE"""),58)</f>
        <v>58</v>
      </c>
      <c r="D480" s="2">
        <f ca="1">IFERROR(__xludf.DUMMYFUNCTION("""COMPUTED_VALUE"""),466.91)</f>
        <v>466.91</v>
      </c>
      <c r="F480" s="37">
        <f t="shared" si="40"/>
        <v>-2.1735442916735209E-2</v>
      </c>
      <c r="G480" s="37">
        <f t="shared" ca="1" si="41"/>
        <v>-2.5365220653395026E-2</v>
      </c>
      <c r="H480" s="37">
        <f t="shared" ca="1" si="42"/>
        <v>4.701445925752468E-3</v>
      </c>
      <c r="J480" s="38">
        <f t="shared" si="43"/>
        <v>-2.1781871488163781E-2</v>
      </c>
      <c r="K480" s="38">
        <f t="shared" ca="1" si="44"/>
        <v>-2.5411649224823599E-2</v>
      </c>
      <c r="L480" s="38">
        <f t="shared" ca="1" si="45"/>
        <v>4.6550173543238966E-3</v>
      </c>
    </row>
    <row r="481" spans="1:12" ht="13.8" thickBot="1" x14ac:dyDescent="0.3">
      <c r="A481" s="12">
        <v>44505.666666666664</v>
      </c>
      <c r="B481" s="4">
        <v>46.97</v>
      </c>
      <c r="C481" s="2">
        <f ca="1">IFERROR(__xludf.DUMMYFUNCTION("""COMPUTED_VALUE"""),58.39)</f>
        <v>58.39</v>
      </c>
      <c r="D481" s="2">
        <f ca="1">IFERROR(__xludf.DUMMYFUNCTION("""COMPUTED_VALUE"""),468.53)</f>
        <v>468.53</v>
      </c>
      <c r="F481" s="37">
        <f t="shared" si="40"/>
        <v>-7.6352438792529186E-3</v>
      </c>
      <c r="G481" s="37">
        <f t="shared" ca="1" si="41"/>
        <v>6.7016317490269667E-3</v>
      </c>
      <c r="H481" s="37">
        <f t="shared" ca="1" si="42"/>
        <v>3.4636141698959014E-3</v>
      </c>
      <c r="J481" s="38">
        <f t="shared" si="43"/>
        <v>-7.68167245068149E-3</v>
      </c>
      <c r="K481" s="38">
        <f t="shared" ca="1" si="44"/>
        <v>6.6552031775983954E-3</v>
      </c>
      <c r="L481" s="38">
        <f t="shared" ca="1" si="45"/>
        <v>3.41718559846733E-3</v>
      </c>
    </row>
    <row r="482" spans="1:12" ht="13.8" thickBot="1" x14ac:dyDescent="0.3">
      <c r="A482" s="12">
        <v>44508.666666666664</v>
      </c>
      <c r="B482" s="4">
        <v>47.34</v>
      </c>
      <c r="C482" s="2">
        <f ca="1">IFERROR(__xludf.DUMMYFUNCTION("""COMPUTED_VALUE"""),59.5)</f>
        <v>59.5</v>
      </c>
      <c r="D482" s="2">
        <f ca="1">IFERROR(__xludf.DUMMYFUNCTION("""COMPUTED_VALUE"""),468.93)</f>
        <v>468.93</v>
      </c>
      <c r="F482" s="37">
        <f t="shared" si="40"/>
        <v>7.8465040469342939E-3</v>
      </c>
      <c r="G482" s="37">
        <f t="shared" ca="1" si="41"/>
        <v>1.8831670256137908E-2</v>
      </c>
      <c r="H482" s="37">
        <f t="shared" ca="1" si="42"/>
        <v>8.5336979556390087E-4</v>
      </c>
      <c r="J482" s="38">
        <f t="shared" si="43"/>
        <v>7.8000754755057225E-3</v>
      </c>
      <c r="K482" s="38">
        <f t="shared" ca="1" si="44"/>
        <v>1.8785241684709336E-2</v>
      </c>
      <c r="L482" s="38">
        <f t="shared" ca="1" si="45"/>
        <v>8.0694122413532948E-4</v>
      </c>
    </row>
    <row r="483" spans="1:12" ht="13.8" thickBot="1" x14ac:dyDescent="0.3">
      <c r="A483" s="12">
        <v>44509.666666666664</v>
      </c>
      <c r="B483" s="4">
        <v>46.88</v>
      </c>
      <c r="C483" s="2">
        <f ca="1">IFERROR(__xludf.DUMMYFUNCTION("""COMPUTED_VALUE"""),58.58)</f>
        <v>58.58</v>
      </c>
      <c r="D483" s="2">
        <f ca="1">IFERROR(__xludf.DUMMYFUNCTION("""COMPUTED_VALUE"""),467.38)</f>
        <v>467.38</v>
      </c>
      <c r="F483" s="37">
        <f t="shared" si="40"/>
        <v>-9.7644588170806967E-3</v>
      </c>
      <c r="G483" s="37">
        <f t="shared" ca="1" si="41"/>
        <v>-1.5582971151996645E-2</v>
      </c>
      <c r="H483" s="37">
        <f t="shared" ca="1" si="42"/>
        <v>-3.3108722878290829E-3</v>
      </c>
      <c r="J483" s="38">
        <f t="shared" si="43"/>
        <v>-9.8108873885092689E-3</v>
      </c>
      <c r="K483" s="38">
        <f t="shared" ca="1" si="44"/>
        <v>-1.5629399723425218E-2</v>
      </c>
      <c r="L483" s="38">
        <f t="shared" ca="1" si="45"/>
        <v>-3.3573008592576543E-3</v>
      </c>
    </row>
    <row r="484" spans="1:12" ht="13.8" thickBot="1" x14ac:dyDescent="0.3">
      <c r="A484" s="12">
        <v>44510.666666666664</v>
      </c>
      <c r="B484" s="4">
        <v>47.23</v>
      </c>
      <c r="C484" s="2">
        <f ca="1">IFERROR(__xludf.DUMMYFUNCTION("""COMPUTED_VALUE"""),59.12)</f>
        <v>59.12</v>
      </c>
      <c r="D484" s="2">
        <f ca="1">IFERROR(__xludf.DUMMYFUNCTION("""COMPUTED_VALUE"""),463.62)</f>
        <v>463.62</v>
      </c>
      <c r="F484" s="37">
        <f t="shared" si="40"/>
        <v>7.4381386392683903E-3</v>
      </c>
      <c r="G484" s="37">
        <f t="shared" ca="1" si="41"/>
        <v>9.175935240358854E-3</v>
      </c>
      <c r="H484" s="37">
        <f t="shared" ca="1" si="42"/>
        <v>-8.0773801141128185E-3</v>
      </c>
      <c r="J484" s="38">
        <f t="shared" si="43"/>
        <v>7.391710067839819E-3</v>
      </c>
      <c r="K484" s="38">
        <f t="shared" ca="1" si="44"/>
        <v>9.1295066689302817E-3</v>
      </c>
      <c r="L484" s="38">
        <f t="shared" ca="1" si="45"/>
        <v>-8.1238086855413907E-3</v>
      </c>
    </row>
    <row r="485" spans="1:12" ht="13.8" thickBot="1" x14ac:dyDescent="0.3">
      <c r="A485" s="12">
        <v>44511.666666666664</v>
      </c>
      <c r="B485" s="4">
        <v>47.49</v>
      </c>
      <c r="C485" s="2">
        <f ca="1">IFERROR(__xludf.DUMMYFUNCTION("""COMPUTED_VALUE"""),60.25)</f>
        <v>60.25</v>
      </c>
      <c r="D485" s="2">
        <f ca="1">IFERROR(__xludf.DUMMYFUNCTION("""COMPUTED_VALUE"""),463.77)</f>
        <v>463.77</v>
      </c>
      <c r="F485" s="37">
        <f t="shared" si="40"/>
        <v>5.4898786530049332E-3</v>
      </c>
      <c r="G485" s="37">
        <f t="shared" ca="1" si="41"/>
        <v>1.8933295730818155E-2</v>
      </c>
      <c r="H485" s="37">
        <f t="shared" ca="1" si="42"/>
        <v>3.234885028047634E-4</v>
      </c>
      <c r="J485" s="38">
        <f t="shared" si="43"/>
        <v>5.4434500815763618E-3</v>
      </c>
      <c r="K485" s="38">
        <f t="shared" ca="1" si="44"/>
        <v>1.8886867159389583E-2</v>
      </c>
      <c r="L485" s="38">
        <f t="shared" ca="1" si="45"/>
        <v>2.7705993137619195E-4</v>
      </c>
    </row>
    <row r="486" spans="1:12" ht="13.8" thickBot="1" x14ac:dyDescent="0.3">
      <c r="A486" s="12">
        <v>44512.666666666664</v>
      </c>
      <c r="B486" s="4">
        <v>46.91</v>
      </c>
      <c r="C486" s="2">
        <f ca="1">IFERROR(__xludf.DUMMYFUNCTION("""COMPUTED_VALUE"""),59.92)</f>
        <v>59.92</v>
      </c>
      <c r="D486" s="2">
        <f ca="1">IFERROR(__xludf.DUMMYFUNCTION("""COMPUTED_VALUE"""),467.27)</f>
        <v>467.27</v>
      </c>
      <c r="F486" s="37">
        <f t="shared" si="40"/>
        <v>-1.2288290220663906E-2</v>
      </c>
      <c r="G486" s="37">
        <f t="shared" ca="1" si="41"/>
        <v>-5.4922331618002963E-3</v>
      </c>
      <c r="H486" s="37">
        <f t="shared" ca="1" si="42"/>
        <v>7.5185093815795054E-3</v>
      </c>
      <c r="J486" s="38">
        <f t="shared" si="43"/>
        <v>-1.2334718792092478E-2</v>
      </c>
      <c r="K486" s="38">
        <f t="shared" ca="1" si="44"/>
        <v>-5.5386617332288677E-3</v>
      </c>
      <c r="L486" s="38">
        <f t="shared" ca="1" si="45"/>
        <v>7.4720808101509341E-3</v>
      </c>
    </row>
    <row r="487" spans="1:12" ht="13.8" thickBot="1" x14ac:dyDescent="0.3">
      <c r="A487" s="12">
        <v>44515.666666666664</v>
      </c>
      <c r="B487" s="4">
        <v>47.05</v>
      </c>
      <c r="C487" s="2">
        <f ca="1">IFERROR(__xludf.DUMMYFUNCTION("""COMPUTED_VALUE"""),60.16)</f>
        <v>60.16</v>
      </c>
      <c r="D487" s="2">
        <f ca="1">IFERROR(__xludf.DUMMYFUNCTION("""COMPUTED_VALUE"""),467.43)</f>
        <v>467.43</v>
      </c>
      <c r="F487" s="37">
        <f t="shared" si="40"/>
        <v>2.9799936910220024E-3</v>
      </c>
      <c r="G487" s="37">
        <f t="shared" ca="1" si="41"/>
        <v>3.9973404326201726E-3</v>
      </c>
      <c r="H487" s="37">
        <f t="shared" ca="1" si="42"/>
        <v>3.4235583944105321E-4</v>
      </c>
      <c r="J487" s="38">
        <f t="shared" si="43"/>
        <v>2.933565119593431E-3</v>
      </c>
      <c r="K487" s="38">
        <f t="shared" ca="1" si="44"/>
        <v>3.9509118611916012E-3</v>
      </c>
      <c r="L487" s="38">
        <f t="shared" ca="1" si="45"/>
        <v>2.9592726801248176E-4</v>
      </c>
    </row>
    <row r="488" spans="1:12" ht="13.8" thickBot="1" x14ac:dyDescent="0.3">
      <c r="A488" s="12">
        <v>44516.666666666664</v>
      </c>
      <c r="B488" s="4">
        <v>47.08</v>
      </c>
      <c r="C488" s="2">
        <f ca="1">IFERROR(__xludf.DUMMYFUNCTION("""COMPUTED_VALUE"""),59.57)</f>
        <v>59.57</v>
      </c>
      <c r="D488" s="2">
        <f ca="1">IFERROR(__xludf.DUMMYFUNCTION("""COMPUTED_VALUE"""),469.28)</f>
        <v>469.28</v>
      </c>
      <c r="F488" s="37">
        <f t="shared" si="40"/>
        <v>6.3741636068738298E-4</v>
      </c>
      <c r="G488" s="37">
        <f t="shared" ca="1" si="41"/>
        <v>-9.8555880009882843E-3</v>
      </c>
      <c r="H488" s="37">
        <f t="shared" ca="1" si="42"/>
        <v>3.9500003317678037E-3</v>
      </c>
      <c r="J488" s="38">
        <f t="shared" si="43"/>
        <v>5.9098778925881158E-4</v>
      </c>
      <c r="K488" s="38">
        <f t="shared" ca="1" si="44"/>
        <v>-9.9020165724168566E-3</v>
      </c>
      <c r="L488" s="38">
        <f t="shared" ca="1" si="45"/>
        <v>3.9035717603392323E-3</v>
      </c>
    </row>
    <row r="489" spans="1:12" ht="13.8" thickBot="1" x14ac:dyDescent="0.3">
      <c r="A489" s="12">
        <v>44517.666666666664</v>
      </c>
      <c r="B489" s="4">
        <v>46.51</v>
      </c>
      <c r="C489" s="2">
        <f ca="1">IFERROR(__xludf.DUMMYFUNCTION("""COMPUTED_VALUE"""),59.36)</f>
        <v>59.36</v>
      </c>
      <c r="D489" s="2">
        <f ca="1">IFERROR(__xludf.DUMMYFUNCTION("""COMPUTED_VALUE"""),468.14)</f>
        <v>468.14</v>
      </c>
      <c r="F489" s="37">
        <f t="shared" si="40"/>
        <v>-1.2180939156070367E-2</v>
      </c>
      <c r="G489" s="37">
        <f t="shared" ca="1" si="41"/>
        <v>-3.531492781471037E-3</v>
      </c>
      <c r="H489" s="37">
        <f t="shared" ca="1" si="42"/>
        <v>-2.4322087473825599E-3</v>
      </c>
      <c r="J489" s="38">
        <f t="shared" si="43"/>
        <v>-1.2227367727498939E-2</v>
      </c>
      <c r="K489" s="38">
        <f t="shared" ca="1" si="44"/>
        <v>-3.5779213528996084E-3</v>
      </c>
      <c r="L489" s="38">
        <f t="shared" ca="1" si="45"/>
        <v>-2.4786373188111313E-3</v>
      </c>
    </row>
    <row r="490" spans="1:12" ht="13.8" thickBot="1" x14ac:dyDescent="0.3">
      <c r="A490" s="12">
        <v>44518.666666666664</v>
      </c>
      <c r="B490" s="4">
        <v>46.32</v>
      </c>
      <c r="C490" s="2">
        <f ca="1">IFERROR(__xludf.DUMMYFUNCTION("""COMPUTED_VALUE"""),58.82)</f>
        <v>58.82</v>
      </c>
      <c r="D490" s="2">
        <f ca="1">IFERROR(__xludf.DUMMYFUNCTION("""COMPUTED_VALUE"""),469.73)</f>
        <v>469.73</v>
      </c>
      <c r="F490" s="37">
        <f t="shared" si="40"/>
        <v>-4.0935099712658286E-3</v>
      </c>
      <c r="G490" s="37">
        <f t="shared" ca="1" si="41"/>
        <v>-9.1386657332760187E-3</v>
      </c>
      <c r="H490" s="37">
        <f t="shared" ca="1" si="42"/>
        <v>3.3906650672278155E-3</v>
      </c>
      <c r="J490" s="38">
        <f t="shared" si="43"/>
        <v>-4.1399385426944E-3</v>
      </c>
      <c r="K490" s="38">
        <f t="shared" ca="1" si="44"/>
        <v>-9.185094304704591E-3</v>
      </c>
      <c r="L490" s="38">
        <f t="shared" ca="1" si="45"/>
        <v>3.3442364957992441E-3</v>
      </c>
    </row>
    <row r="491" spans="1:12" ht="13.8" thickBot="1" x14ac:dyDescent="0.3">
      <c r="A491" s="12">
        <v>44519.666666666664</v>
      </c>
      <c r="B491" s="4">
        <v>45.4</v>
      </c>
      <c r="C491" s="2">
        <f ca="1">IFERROR(__xludf.DUMMYFUNCTION("""COMPUTED_VALUE"""),58.36)</f>
        <v>58.36</v>
      </c>
      <c r="D491" s="2">
        <f ca="1">IFERROR(__xludf.DUMMYFUNCTION("""COMPUTED_VALUE"""),468.89)</f>
        <v>468.89</v>
      </c>
      <c r="F491" s="37">
        <f t="shared" si="40"/>
        <v>-2.0061728217437538E-2</v>
      </c>
      <c r="G491" s="37">
        <f t="shared" ca="1" si="41"/>
        <v>-7.8512094712640968E-3</v>
      </c>
      <c r="H491" s="37">
        <f t="shared" ca="1" si="42"/>
        <v>-1.7898621897092797E-3</v>
      </c>
      <c r="J491" s="38">
        <f t="shared" si="43"/>
        <v>-2.010815678886611E-2</v>
      </c>
      <c r="K491" s="38">
        <f t="shared" ca="1" si="44"/>
        <v>-7.8976380426926691E-3</v>
      </c>
      <c r="L491" s="38">
        <f t="shared" ca="1" si="45"/>
        <v>-1.8362907611378511E-3</v>
      </c>
    </row>
    <row r="492" spans="1:12" ht="13.8" thickBot="1" x14ac:dyDescent="0.3">
      <c r="A492" s="12">
        <v>44522.666666666664</v>
      </c>
      <c r="B492" s="4">
        <v>46.28</v>
      </c>
      <c r="C492" s="2">
        <f ca="1">IFERROR(__xludf.DUMMYFUNCTION("""COMPUTED_VALUE"""),60.11)</f>
        <v>60.11</v>
      </c>
      <c r="D492" s="2">
        <f ca="1">IFERROR(__xludf.DUMMYFUNCTION("""COMPUTED_VALUE"""),467.57)</f>
        <v>467.57</v>
      </c>
      <c r="F492" s="37">
        <f t="shared" si="40"/>
        <v>1.9197797278173629E-2</v>
      </c>
      <c r="G492" s="37">
        <f t="shared" ca="1" si="41"/>
        <v>2.9545493396485718E-2</v>
      </c>
      <c r="H492" s="37">
        <f t="shared" ca="1" si="42"/>
        <v>-2.8191292190243014E-3</v>
      </c>
      <c r="J492" s="38">
        <f t="shared" si="43"/>
        <v>1.9151368706745057E-2</v>
      </c>
      <c r="K492" s="38">
        <f t="shared" ca="1" si="44"/>
        <v>2.9499064825057146E-2</v>
      </c>
      <c r="L492" s="38">
        <f t="shared" ca="1" si="45"/>
        <v>-2.8655577904528728E-3</v>
      </c>
    </row>
    <row r="493" spans="1:12" ht="13.8" thickBot="1" x14ac:dyDescent="0.3">
      <c r="A493" s="12">
        <v>44523.666666666664</v>
      </c>
      <c r="B493" s="4">
        <v>47.5</v>
      </c>
      <c r="C493" s="2">
        <f ca="1">IFERROR(__xludf.DUMMYFUNCTION("""COMPUTED_VALUE"""),60.25)</f>
        <v>60.25</v>
      </c>
      <c r="D493" s="2">
        <f ca="1">IFERROR(__xludf.DUMMYFUNCTION("""COMPUTED_VALUE"""),468.19)</f>
        <v>468.19</v>
      </c>
      <c r="F493" s="37">
        <f t="shared" si="40"/>
        <v>2.6019808715119639E-2</v>
      </c>
      <c r="G493" s="37">
        <f t="shared" ca="1" si="41"/>
        <v>2.3263553196937849E-3</v>
      </c>
      <c r="H493" s="37">
        <f t="shared" ca="1" si="42"/>
        <v>1.3251262946152691E-3</v>
      </c>
      <c r="J493" s="38">
        <f t="shared" si="43"/>
        <v>2.5973380143691067E-2</v>
      </c>
      <c r="K493" s="38">
        <f t="shared" ca="1" si="44"/>
        <v>2.2799267482652135E-3</v>
      </c>
      <c r="L493" s="38">
        <f t="shared" ca="1" si="45"/>
        <v>1.2786977231866977E-3</v>
      </c>
    </row>
    <row r="494" spans="1:12" ht="13.8" thickBot="1" x14ac:dyDescent="0.3">
      <c r="A494" s="12">
        <v>44524.666666666664</v>
      </c>
      <c r="B494" s="4">
        <v>47.63</v>
      </c>
      <c r="C494" s="2">
        <f ca="1">IFERROR(__xludf.DUMMYFUNCTION("""COMPUTED_VALUE"""),60.39)</f>
        <v>60.39</v>
      </c>
      <c r="D494" s="2">
        <f ca="1">IFERROR(__xludf.DUMMYFUNCTION("""COMPUTED_VALUE"""),469.44)</f>
        <v>469.44</v>
      </c>
      <c r="F494" s="37">
        <f t="shared" si="40"/>
        <v>2.7331037721734885E-3</v>
      </c>
      <c r="G494" s="37">
        <f t="shared" ca="1" si="41"/>
        <v>2.3209559490454672E-3</v>
      </c>
      <c r="H494" s="37">
        <f t="shared" ca="1" si="42"/>
        <v>2.6662985197490018E-3</v>
      </c>
      <c r="J494" s="38">
        <f t="shared" si="43"/>
        <v>2.6866752007449171E-3</v>
      </c>
      <c r="K494" s="38">
        <f t="shared" ca="1" si="44"/>
        <v>2.2745273776168958E-3</v>
      </c>
      <c r="L494" s="38">
        <f t="shared" ca="1" si="45"/>
        <v>2.6198699483204304E-3</v>
      </c>
    </row>
    <row r="495" spans="1:12" ht="13.8" thickBot="1" x14ac:dyDescent="0.3">
      <c r="A495" s="12">
        <v>44526.541666666664</v>
      </c>
      <c r="B495" s="4">
        <v>45.76</v>
      </c>
      <c r="C495" s="2">
        <f ca="1">IFERROR(__xludf.DUMMYFUNCTION("""COMPUTED_VALUE"""),60.07)</f>
        <v>60.07</v>
      </c>
      <c r="D495" s="2">
        <f ca="1">IFERROR(__xludf.DUMMYFUNCTION("""COMPUTED_VALUE"""),458.97)</f>
        <v>458.97</v>
      </c>
      <c r="F495" s="37">
        <f t="shared" si="40"/>
        <v>-4.0052467741226679E-2</v>
      </c>
      <c r="G495" s="37">
        <f t="shared" ca="1" si="41"/>
        <v>-5.3129794577397201E-3</v>
      </c>
      <c r="H495" s="37">
        <f t="shared" ca="1" si="42"/>
        <v>-2.2555646507219543E-2</v>
      </c>
      <c r="J495" s="38">
        <f t="shared" si="43"/>
        <v>-4.0098896312655251E-2</v>
      </c>
      <c r="K495" s="38">
        <f t="shared" ca="1" si="44"/>
        <v>-5.3594080291682914E-3</v>
      </c>
      <c r="L495" s="38">
        <f t="shared" ca="1" si="45"/>
        <v>-2.2602075078648115E-2</v>
      </c>
    </row>
    <row r="496" spans="1:12" ht="13.8" thickBot="1" x14ac:dyDescent="0.3">
      <c r="A496" s="12">
        <v>44529.666666666664</v>
      </c>
      <c r="B496" s="4">
        <v>45.59</v>
      </c>
      <c r="C496" s="2">
        <f ca="1">IFERROR(__xludf.DUMMYFUNCTION("""COMPUTED_VALUE"""),56.7)</f>
        <v>56.7</v>
      </c>
      <c r="D496" s="2">
        <f ca="1">IFERROR(__xludf.DUMMYFUNCTION("""COMPUTED_VALUE"""),464.6)</f>
        <v>464.6</v>
      </c>
      <c r="F496" s="37">
        <f t="shared" si="40"/>
        <v>-3.7219528461923442E-3</v>
      </c>
      <c r="G496" s="37">
        <f t="shared" ca="1" si="41"/>
        <v>-5.7736338128363596E-2</v>
      </c>
      <c r="H496" s="37">
        <f t="shared" ca="1" si="42"/>
        <v>1.2191971888911539E-2</v>
      </c>
      <c r="J496" s="38">
        <f t="shared" si="43"/>
        <v>-3.7683814176209156E-3</v>
      </c>
      <c r="K496" s="38">
        <f t="shared" ca="1" si="44"/>
        <v>-5.7782766699792168E-2</v>
      </c>
      <c r="L496" s="38">
        <f t="shared" ca="1" si="45"/>
        <v>1.2145543317482967E-2</v>
      </c>
    </row>
    <row r="497" spans="1:12" ht="13.8" thickBot="1" x14ac:dyDescent="0.3">
      <c r="A497" s="12">
        <v>44530.666666666664</v>
      </c>
      <c r="B497" s="4">
        <v>44.47</v>
      </c>
      <c r="C497" s="2">
        <f ca="1">IFERROR(__xludf.DUMMYFUNCTION("""COMPUTED_VALUE"""),57.38)</f>
        <v>57.38</v>
      </c>
      <c r="D497" s="2">
        <f ca="1">IFERROR(__xludf.DUMMYFUNCTION("""COMPUTED_VALUE"""),455.56)</f>
        <v>455.56</v>
      </c>
      <c r="F497" s="37">
        <f t="shared" si="40"/>
        <v>-2.4873589702745069E-2</v>
      </c>
      <c r="G497" s="37">
        <f t="shared" ca="1" si="41"/>
        <v>1.1921599819512277E-2</v>
      </c>
      <c r="H497" s="37">
        <f t="shared" ca="1" si="42"/>
        <v>-1.9649388930158496E-2</v>
      </c>
      <c r="J497" s="38">
        <f t="shared" si="43"/>
        <v>-2.4920018274173641E-2</v>
      </c>
      <c r="K497" s="38">
        <f t="shared" ca="1" si="44"/>
        <v>1.1875171248083705E-2</v>
      </c>
      <c r="L497" s="38">
        <f t="shared" ca="1" si="45"/>
        <v>-1.9695817501587068E-2</v>
      </c>
    </row>
    <row r="498" spans="1:12" ht="13.8" thickBot="1" x14ac:dyDescent="0.3">
      <c r="A498" s="12">
        <v>44531.666666666664</v>
      </c>
      <c r="B498" s="4">
        <v>43.84</v>
      </c>
      <c r="C498" s="2">
        <f ca="1">IFERROR(__xludf.DUMMYFUNCTION("""COMPUTED_VALUE"""),56.73)</f>
        <v>56.73</v>
      </c>
      <c r="D498" s="2">
        <f ca="1">IFERROR(__xludf.DUMMYFUNCTION("""COMPUTED_VALUE"""),450.5)</f>
        <v>450.5</v>
      </c>
      <c r="F498" s="37">
        <f t="shared" si="40"/>
        <v>-1.4268161882844906E-2</v>
      </c>
      <c r="G498" s="37">
        <f t="shared" ca="1" si="41"/>
        <v>-1.139263921474306E-2</v>
      </c>
      <c r="H498" s="37">
        <f t="shared" ca="1" si="42"/>
        <v>-1.1169354357757736E-2</v>
      </c>
      <c r="J498" s="38">
        <f t="shared" si="43"/>
        <v>-1.4314590454273479E-2</v>
      </c>
      <c r="K498" s="38">
        <f t="shared" ca="1" si="44"/>
        <v>-1.1439067786171632E-2</v>
      </c>
      <c r="L498" s="38">
        <f t="shared" ca="1" si="45"/>
        <v>-1.1215782929186308E-2</v>
      </c>
    </row>
    <row r="499" spans="1:12" ht="13.8" thickBot="1" x14ac:dyDescent="0.3">
      <c r="A499" s="12">
        <v>44532.666666666664</v>
      </c>
      <c r="B499" s="4">
        <v>44.89</v>
      </c>
      <c r="C499" s="2">
        <f ca="1">IFERROR(__xludf.DUMMYFUNCTION("""COMPUTED_VALUE"""),57.25)</f>
        <v>57.25</v>
      </c>
      <c r="D499" s="2">
        <f ca="1">IFERROR(__xludf.DUMMYFUNCTION("""COMPUTED_VALUE"""),457.4)</f>
        <v>457.4</v>
      </c>
      <c r="F499" s="37">
        <f t="shared" si="40"/>
        <v>2.3668410154080558E-2</v>
      </c>
      <c r="G499" s="37">
        <f t="shared" ca="1" si="41"/>
        <v>9.1244710958732281E-3</v>
      </c>
      <c r="H499" s="37">
        <f t="shared" ca="1" si="42"/>
        <v>1.5200204540288028E-2</v>
      </c>
      <c r="J499" s="38">
        <f t="shared" si="43"/>
        <v>2.3621981582651986E-2</v>
      </c>
      <c r="K499" s="38">
        <f t="shared" ca="1" si="44"/>
        <v>9.0780425244446558E-3</v>
      </c>
      <c r="L499" s="38">
        <f t="shared" ca="1" si="45"/>
        <v>1.5153775968859456E-2</v>
      </c>
    </row>
    <row r="500" spans="1:12" ht="13.8" thickBot="1" x14ac:dyDescent="0.3">
      <c r="A500" s="12">
        <v>44533.666666666664</v>
      </c>
      <c r="B500" s="4">
        <v>43.87</v>
      </c>
      <c r="C500" s="2">
        <f ca="1">IFERROR(__xludf.DUMMYFUNCTION("""COMPUTED_VALUE"""),56.31)</f>
        <v>56.31</v>
      </c>
      <c r="D500" s="2">
        <f ca="1">IFERROR(__xludf.DUMMYFUNCTION("""COMPUTED_VALUE"""),453.42)</f>
        <v>453.42</v>
      </c>
      <c r="F500" s="37">
        <f t="shared" si="40"/>
        <v>-2.2984337615718241E-2</v>
      </c>
      <c r="G500" s="37">
        <f t="shared" ca="1" si="41"/>
        <v>-1.6555503167821846E-2</v>
      </c>
      <c r="H500" s="37">
        <f t="shared" ca="1" si="42"/>
        <v>-8.7394333279971308E-3</v>
      </c>
      <c r="J500" s="38">
        <f t="shared" si="43"/>
        <v>-2.3030766187146813E-2</v>
      </c>
      <c r="K500" s="38">
        <f t="shared" ca="1" si="44"/>
        <v>-1.6601931739250418E-2</v>
      </c>
      <c r="L500" s="38">
        <f t="shared" ca="1" si="45"/>
        <v>-8.785861899425703E-3</v>
      </c>
    </row>
    <row r="501" spans="1:12" ht="13.8" thickBot="1" x14ac:dyDescent="0.3">
      <c r="A501" s="12">
        <v>44536.666666666664</v>
      </c>
      <c r="B501" s="4">
        <v>44.15</v>
      </c>
      <c r="C501" s="2">
        <f ca="1">IFERROR(__xludf.DUMMYFUNCTION("""COMPUTED_VALUE"""),56.16)</f>
        <v>56.16</v>
      </c>
      <c r="D501" s="2">
        <f ca="1">IFERROR(__xludf.DUMMYFUNCTION("""COMPUTED_VALUE"""),458.79)</f>
        <v>458.79</v>
      </c>
      <c r="F501" s="37">
        <f t="shared" si="40"/>
        <v>6.3622118718464063E-3</v>
      </c>
      <c r="G501" s="37">
        <f t="shared" ca="1" si="41"/>
        <v>-2.6673795489715866E-3</v>
      </c>
      <c r="H501" s="37">
        <f t="shared" ca="1" si="42"/>
        <v>1.1773740767458187E-2</v>
      </c>
      <c r="J501" s="38">
        <f t="shared" si="43"/>
        <v>6.3157833004178349E-3</v>
      </c>
      <c r="K501" s="38">
        <f t="shared" ca="1" si="44"/>
        <v>-2.713808120400158E-3</v>
      </c>
      <c r="L501" s="38">
        <f t="shared" ca="1" si="45"/>
        <v>1.1727312196029615E-2</v>
      </c>
    </row>
    <row r="502" spans="1:12" ht="13.8" thickBot="1" x14ac:dyDescent="0.3">
      <c r="A502" s="12">
        <v>44537.666666666664</v>
      </c>
      <c r="B502" s="4">
        <v>44.71</v>
      </c>
      <c r="C502" s="2">
        <f ca="1">IFERROR(__xludf.DUMMYFUNCTION("""COMPUTED_VALUE"""),56.05)</f>
        <v>56.05</v>
      </c>
      <c r="D502" s="2">
        <f ca="1">IFERROR(__xludf.DUMMYFUNCTION("""COMPUTED_VALUE"""),468.28)</f>
        <v>468.28</v>
      </c>
      <c r="F502" s="37">
        <f t="shared" si="40"/>
        <v>1.2604263195920335E-2</v>
      </c>
      <c r="G502" s="37">
        <f t="shared" ca="1" si="41"/>
        <v>-1.9606101993867929E-3</v>
      </c>
      <c r="H502" s="37">
        <f t="shared" ca="1" si="42"/>
        <v>2.0473818583329997E-2</v>
      </c>
      <c r="J502" s="38">
        <f t="shared" si="43"/>
        <v>1.2557834624491762E-2</v>
      </c>
      <c r="K502" s="38">
        <f t="shared" ca="1" si="44"/>
        <v>-2.0070387708153643E-3</v>
      </c>
      <c r="L502" s="38">
        <f t="shared" ca="1" si="45"/>
        <v>2.0427390011901424E-2</v>
      </c>
    </row>
    <row r="503" spans="1:12" ht="13.8" thickBot="1" x14ac:dyDescent="0.3">
      <c r="A503" s="12">
        <v>44538.666666666664</v>
      </c>
      <c r="B503" s="4">
        <v>44.16</v>
      </c>
      <c r="C503" s="2">
        <f ca="1">IFERROR(__xludf.DUMMYFUNCTION("""COMPUTED_VALUE"""),55.95)</f>
        <v>55.95</v>
      </c>
      <c r="D503" s="2">
        <f ca="1">IFERROR(__xludf.DUMMYFUNCTION("""COMPUTED_VALUE"""),469.52)</f>
        <v>469.52</v>
      </c>
      <c r="F503" s="37">
        <f t="shared" si="40"/>
        <v>-1.2377788277049532E-2</v>
      </c>
      <c r="G503" s="37">
        <f t="shared" ca="1" si="41"/>
        <v>-1.7857147602345325E-3</v>
      </c>
      <c r="H503" s="37">
        <f t="shared" ca="1" si="42"/>
        <v>2.6444886386074984E-3</v>
      </c>
      <c r="J503" s="38">
        <f t="shared" si="43"/>
        <v>-1.2424216848478104E-2</v>
      </c>
      <c r="K503" s="38">
        <f t="shared" ca="1" si="44"/>
        <v>-1.8321433316631039E-3</v>
      </c>
      <c r="L503" s="38">
        <f t="shared" ca="1" si="45"/>
        <v>2.598060067178927E-3</v>
      </c>
    </row>
    <row r="504" spans="1:12" ht="13.8" thickBot="1" x14ac:dyDescent="0.3">
      <c r="A504" s="12">
        <v>44539.666666666664</v>
      </c>
      <c r="B504" s="4">
        <v>44.49</v>
      </c>
      <c r="C504" s="2">
        <f ca="1">IFERROR(__xludf.DUMMYFUNCTION("""COMPUTED_VALUE"""),55.24)</f>
        <v>55.24</v>
      </c>
      <c r="D504" s="2">
        <f ca="1">IFERROR(__xludf.DUMMYFUNCTION("""COMPUTED_VALUE"""),466.35)</f>
        <v>466.35</v>
      </c>
      <c r="F504" s="37">
        <f t="shared" si="40"/>
        <v>7.4450428491105673E-3</v>
      </c>
      <c r="G504" s="37">
        <f t="shared" ca="1" si="41"/>
        <v>-1.2771106216842871E-2</v>
      </c>
      <c r="H504" s="37">
        <f t="shared" ca="1" si="42"/>
        <v>-6.7744710772064554E-3</v>
      </c>
      <c r="J504" s="38">
        <f t="shared" si="43"/>
        <v>7.3986142776819959E-3</v>
      </c>
      <c r="K504" s="38">
        <f t="shared" ca="1" si="44"/>
        <v>-1.2817534788271443E-2</v>
      </c>
      <c r="L504" s="38">
        <f t="shared" ca="1" si="45"/>
        <v>-6.8208996486350268E-3</v>
      </c>
    </row>
    <row r="505" spans="1:12" ht="13.8" thickBot="1" x14ac:dyDescent="0.3">
      <c r="A505" s="12">
        <v>44540.666666666664</v>
      </c>
      <c r="B505" s="4">
        <v>44.52</v>
      </c>
      <c r="C505" s="2">
        <f ca="1">IFERROR(__xludf.DUMMYFUNCTION("""COMPUTED_VALUE"""),54.68)</f>
        <v>54.68</v>
      </c>
      <c r="D505" s="2">
        <f ca="1">IFERROR(__xludf.DUMMYFUNCTION("""COMPUTED_VALUE"""),470.74)</f>
        <v>470.74</v>
      </c>
      <c r="F505" s="37">
        <f t="shared" si="40"/>
        <v>6.7408158939371383E-4</v>
      </c>
      <c r="G505" s="37">
        <f t="shared" ca="1" si="41"/>
        <v>-1.0189316685342644E-2</v>
      </c>
      <c r="H505" s="37">
        <f t="shared" ca="1" si="42"/>
        <v>9.3694994409374305E-3</v>
      </c>
      <c r="J505" s="38">
        <f t="shared" si="43"/>
        <v>6.2765301796514244E-4</v>
      </c>
      <c r="K505" s="38">
        <f t="shared" ca="1" si="44"/>
        <v>-1.0235745256771216E-2</v>
      </c>
      <c r="L505" s="38">
        <f t="shared" ca="1" si="45"/>
        <v>9.3230708695088583E-3</v>
      </c>
    </row>
    <row r="506" spans="1:12" ht="13.8" thickBot="1" x14ac:dyDescent="0.3">
      <c r="A506" s="12">
        <v>44543.666666666664</v>
      </c>
      <c r="B506" s="4">
        <v>43.58</v>
      </c>
      <c r="C506" s="2">
        <f ca="1">IFERROR(__xludf.DUMMYFUNCTION("""COMPUTED_VALUE"""),53.65)</f>
        <v>53.65</v>
      </c>
      <c r="D506" s="2">
        <f ca="1">IFERROR(__xludf.DUMMYFUNCTION("""COMPUTED_VALUE"""),466.57)</f>
        <v>466.57</v>
      </c>
      <c r="F506" s="37">
        <f t="shared" si="40"/>
        <v>-2.1340196890870355E-2</v>
      </c>
      <c r="G506" s="37">
        <f t="shared" ca="1" si="41"/>
        <v>-1.9016542779041364E-2</v>
      </c>
      <c r="H506" s="37">
        <f t="shared" ca="1" si="42"/>
        <v>-8.8978619927572288E-3</v>
      </c>
      <c r="J506" s="38">
        <f t="shared" si="43"/>
        <v>-2.1386625462298928E-2</v>
      </c>
      <c r="K506" s="38">
        <f t="shared" ca="1" si="44"/>
        <v>-1.9062971350469936E-2</v>
      </c>
      <c r="L506" s="38">
        <f t="shared" ca="1" si="45"/>
        <v>-8.9442905641858011E-3</v>
      </c>
    </row>
    <row r="507" spans="1:12" ht="13.8" thickBot="1" x14ac:dyDescent="0.3">
      <c r="A507" s="12">
        <v>44544.666666666664</v>
      </c>
      <c r="B507" s="4">
        <v>44.13</v>
      </c>
      <c r="C507" s="2">
        <f ca="1">IFERROR(__xludf.DUMMYFUNCTION("""COMPUTED_VALUE"""),52.95)</f>
        <v>52.95</v>
      </c>
      <c r="D507" s="2">
        <f ca="1">IFERROR(__xludf.DUMMYFUNCTION("""COMPUTED_VALUE"""),463.36)</f>
        <v>463.36</v>
      </c>
      <c r="F507" s="37">
        <f t="shared" si="40"/>
        <v>1.2541493764982221E-2</v>
      </c>
      <c r="G507" s="37">
        <f t="shared" ca="1" si="41"/>
        <v>-1.3133397029291893E-2</v>
      </c>
      <c r="H507" s="37">
        <f t="shared" ca="1" si="42"/>
        <v>-6.9037728637556988E-3</v>
      </c>
      <c r="J507" s="38">
        <f t="shared" si="43"/>
        <v>1.2495065193553648E-2</v>
      </c>
      <c r="K507" s="38">
        <f t="shared" ca="1" si="44"/>
        <v>-1.3179825600720466E-2</v>
      </c>
      <c r="L507" s="38">
        <f t="shared" ca="1" si="45"/>
        <v>-6.9502014351842702E-3</v>
      </c>
    </row>
    <row r="508" spans="1:12" ht="13.8" thickBot="1" x14ac:dyDescent="0.3">
      <c r="A508" s="12">
        <v>44545.666666666664</v>
      </c>
      <c r="B508" s="4">
        <v>43.94</v>
      </c>
      <c r="C508" s="2">
        <f ca="1">IFERROR(__xludf.DUMMYFUNCTION("""COMPUTED_VALUE"""),53.79)</f>
        <v>53.79</v>
      </c>
      <c r="D508" s="2">
        <f ca="1">IFERROR(__xludf.DUMMYFUNCTION("""COMPUTED_VALUE"""),470.6)</f>
        <v>470.6</v>
      </c>
      <c r="F508" s="37">
        <f t="shared" si="40"/>
        <v>-4.3147563249918003E-3</v>
      </c>
      <c r="G508" s="37">
        <f t="shared" ca="1" si="41"/>
        <v>1.5739504237735662E-2</v>
      </c>
      <c r="H508" s="37">
        <f t="shared" ca="1" si="42"/>
        <v>1.5504186535965254E-2</v>
      </c>
      <c r="J508" s="38">
        <f t="shared" si="43"/>
        <v>-4.3611848964203717E-3</v>
      </c>
      <c r="K508" s="38">
        <f t="shared" ca="1" si="44"/>
        <v>1.569307566630709E-2</v>
      </c>
      <c r="L508" s="38">
        <f t="shared" ca="1" si="45"/>
        <v>1.5457757964536682E-2</v>
      </c>
    </row>
    <row r="509" spans="1:12" ht="13.8" thickBot="1" x14ac:dyDescent="0.3">
      <c r="A509" s="12">
        <v>44546.666666666664</v>
      </c>
      <c r="B509" s="4">
        <v>45</v>
      </c>
      <c r="C509" s="2">
        <f ca="1">IFERROR(__xludf.DUMMYFUNCTION("""COMPUTED_VALUE"""),53.18)</f>
        <v>53.18</v>
      </c>
      <c r="D509" s="2">
        <f ca="1">IFERROR(__xludf.DUMMYFUNCTION("""COMPUTED_VALUE"""),466.45)</f>
        <v>466.45</v>
      </c>
      <c r="F509" s="37">
        <f t="shared" si="40"/>
        <v>2.383742281385556E-2</v>
      </c>
      <c r="G509" s="37">
        <f t="shared" ca="1" si="41"/>
        <v>-1.1405190470277419E-2</v>
      </c>
      <c r="H509" s="37">
        <f t="shared" ca="1" si="42"/>
        <v>-8.8576428862921375E-3</v>
      </c>
      <c r="J509" s="38">
        <f t="shared" si="43"/>
        <v>2.3790994242426988E-2</v>
      </c>
      <c r="K509" s="38">
        <f t="shared" ca="1" si="44"/>
        <v>-1.1451619041705991E-2</v>
      </c>
      <c r="L509" s="38">
        <f t="shared" ca="1" si="45"/>
        <v>-8.9040714577207098E-3</v>
      </c>
    </row>
    <row r="510" spans="1:12" ht="13.8" thickBot="1" x14ac:dyDescent="0.3">
      <c r="A510" s="12">
        <v>44547.666666666664</v>
      </c>
      <c r="B510" s="4">
        <v>43.88</v>
      </c>
      <c r="C510" s="2">
        <f ca="1">IFERROR(__xludf.DUMMYFUNCTION("""COMPUTED_VALUE"""),54.62)</f>
        <v>54.62</v>
      </c>
      <c r="D510" s="2">
        <f ca="1">IFERROR(__xludf.DUMMYFUNCTION("""COMPUTED_VALUE"""),459.87)</f>
        <v>459.87</v>
      </c>
      <c r="F510" s="37">
        <f t="shared" si="40"/>
        <v>-2.5203854363290219E-2</v>
      </c>
      <c r="G510" s="37">
        <f t="shared" ca="1" si="41"/>
        <v>2.6717730230685112E-2</v>
      </c>
      <c r="H510" s="37">
        <f t="shared" ca="1" si="42"/>
        <v>-1.420699256084431E-2</v>
      </c>
      <c r="J510" s="38">
        <f t="shared" si="43"/>
        <v>-2.5250282934718791E-2</v>
      </c>
      <c r="K510" s="38">
        <f t="shared" ca="1" si="44"/>
        <v>2.667130165925654E-2</v>
      </c>
      <c r="L510" s="38">
        <f t="shared" ca="1" si="45"/>
        <v>-1.4253421132272882E-2</v>
      </c>
    </row>
    <row r="511" spans="1:12" ht="13.8" thickBot="1" x14ac:dyDescent="0.3">
      <c r="A511" s="12">
        <v>44550.666666666664</v>
      </c>
      <c r="B511" s="4">
        <v>43.16</v>
      </c>
      <c r="C511" s="2">
        <f ca="1">IFERROR(__xludf.DUMMYFUNCTION("""COMPUTED_VALUE"""),53.03)</f>
        <v>53.03</v>
      </c>
      <c r="D511" s="2">
        <f ca="1">IFERROR(__xludf.DUMMYFUNCTION("""COMPUTED_VALUE"""),454.98)</f>
        <v>454.98</v>
      </c>
      <c r="F511" s="37">
        <f t="shared" si="40"/>
        <v>-1.6544495017095776E-2</v>
      </c>
      <c r="G511" s="37">
        <f t="shared" ca="1" si="41"/>
        <v>-2.9542324896520204E-2</v>
      </c>
      <c r="H511" s="37">
        <f t="shared" ca="1" si="42"/>
        <v>-1.0690378905226562E-2</v>
      </c>
      <c r="J511" s="38">
        <f t="shared" si="43"/>
        <v>-1.6590923588524348E-2</v>
      </c>
      <c r="K511" s="38">
        <f t="shared" ca="1" si="44"/>
        <v>-2.9588753467948776E-2</v>
      </c>
      <c r="L511" s="38">
        <f t="shared" ca="1" si="45"/>
        <v>-1.0736807476655135E-2</v>
      </c>
    </row>
    <row r="512" spans="1:12" ht="13.8" thickBot="1" x14ac:dyDescent="0.3">
      <c r="A512" s="12">
        <v>44551.666666666664</v>
      </c>
      <c r="B512" s="4">
        <v>44.19</v>
      </c>
      <c r="C512" s="2">
        <f ca="1">IFERROR(__xludf.DUMMYFUNCTION("""COMPUTED_VALUE"""),51.23)</f>
        <v>51.23</v>
      </c>
      <c r="D512" s="2">
        <f ca="1">IFERROR(__xludf.DUMMYFUNCTION("""COMPUTED_VALUE"""),463.06)</f>
        <v>463.06</v>
      </c>
      <c r="F512" s="37">
        <f t="shared" si="40"/>
        <v>2.3584378752714772E-2</v>
      </c>
      <c r="G512" s="37">
        <f t="shared" ca="1" si="41"/>
        <v>-3.4532493197927762E-2</v>
      </c>
      <c r="H512" s="37">
        <f t="shared" ca="1" si="42"/>
        <v>1.7603173382153097E-2</v>
      </c>
      <c r="J512" s="38">
        <f t="shared" si="43"/>
        <v>2.35379501812862E-2</v>
      </c>
      <c r="K512" s="38">
        <f t="shared" ca="1" si="44"/>
        <v>-3.4578921769356334E-2</v>
      </c>
      <c r="L512" s="38">
        <f t="shared" ca="1" si="45"/>
        <v>1.7556744810724525E-2</v>
      </c>
    </row>
    <row r="513" spans="1:12" ht="13.8" thickBot="1" x14ac:dyDescent="0.3">
      <c r="A513" s="12">
        <v>44552.666666666664</v>
      </c>
      <c r="B513" s="4">
        <v>44.28</v>
      </c>
      <c r="C513" s="2">
        <f ca="1">IFERROR(__xludf.DUMMYFUNCTION("""COMPUTED_VALUE"""),52.71)</f>
        <v>52.71</v>
      </c>
      <c r="D513" s="2">
        <f ca="1">IFERROR(__xludf.DUMMYFUNCTION("""COMPUTED_VALUE"""),467.69)</f>
        <v>467.69</v>
      </c>
      <c r="F513" s="37">
        <f t="shared" si="40"/>
        <v>2.0345886977876783E-3</v>
      </c>
      <c r="G513" s="37">
        <f t="shared" ca="1" si="41"/>
        <v>2.8479892916004591E-2</v>
      </c>
      <c r="H513" s="37">
        <f t="shared" ca="1" si="42"/>
        <v>9.9490479529239367E-3</v>
      </c>
      <c r="J513" s="38">
        <f t="shared" si="43"/>
        <v>1.9881601263591069E-3</v>
      </c>
      <c r="K513" s="38">
        <f t="shared" ca="1" si="44"/>
        <v>2.8433464344576019E-2</v>
      </c>
      <c r="L513" s="38">
        <f t="shared" ca="1" si="45"/>
        <v>9.9026193814953645E-3</v>
      </c>
    </row>
    <row r="514" spans="1:12" ht="13.8" thickBot="1" x14ac:dyDescent="0.3">
      <c r="A514" s="12">
        <v>44553.666666666664</v>
      </c>
      <c r="B514" s="4">
        <v>44.42</v>
      </c>
      <c r="C514" s="2">
        <f ca="1">IFERROR(__xludf.DUMMYFUNCTION("""COMPUTED_VALUE"""),52.62)</f>
        <v>52.62</v>
      </c>
      <c r="D514" s="2">
        <f ca="1">IFERROR(__xludf.DUMMYFUNCTION("""COMPUTED_VALUE"""),470.6)</f>
        <v>470.6</v>
      </c>
      <c r="F514" s="37">
        <f t="shared" si="40"/>
        <v>3.156710625845291E-3</v>
      </c>
      <c r="G514" s="37">
        <f t="shared" ca="1" si="41"/>
        <v>-1.7089152549688721E-3</v>
      </c>
      <c r="H514" s="37">
        <f t="shared" ca="1" si="42"/>
        <v>6.2027930172858176E-3</v>
      </c>
      <c r="J514" s="38">
        <f t="shared" si="43"/>
        <v>3.1102820544167196E-3</v>
      </c>
      <c r="K514" s="38">
        <f t="shared" ca="1" si="44"/>
        <v>-1.7553438263974435E-3</v>
      </c>
      <c r="L514" s="38">
        <f t="shared" ca="1" si="45"/>
        <v>6.1563644458572462E-3</v>
      </c>
    </row>
    <row r="515" spans="1:12" ht="13.8" thickBot="1" x14ac:dyDescent="0.3">
      <c r="A515" s="12">
        <v>44557.666666666664</v>
      </c>
      <c r="B515" s="4">
        <v>44.64</v>
      </c>
      <c r="C515" s="2">
        <f ca="1">IFERROR(__xludf.DUMMYFUNCTION("""COMPUTED_VALUE"""),53.17)</f>
        <v>53.17</v>
      </c>
      <c r="D515" s="2">
        <f ca="1">IFERROR(__xludf.DUMMYFUNCTION("""COMPUTED_VALUE"""),477.26)</f>
        <v>477.26</v>
      </c>
      <c r="F515" s="37">
        <f t="shared" si="40"/>
        <v>4.9404996067741206E-3</v>
      </c>
      <c r="G515" s="37">
        <f t="shared" ca="1" si="41"/>
        <v>1.0398051904100472E-2</v>
      </c>
      <c r="H515" s="37">
        <f t="shared" ca="1" si="42"/>
        <v>1.4052939471808117E-2</v>
      </c>
      <c r="J515" s="38">
        <f t="shared" si="43"/>
        <v>4.8940710353455492E-3</v>
      </c>
      <c r="K515" s="38">
        <f t="shared" ca="1" si="44"/>
        <v>1.0351623332671899E-2</v>
      </c>
      <c r="L515" s="38">
        <f t="shared" ca="1" si="45"/>
        <v>1.4006510900379545E-2</v>
      </c>
    </row>
    <row r="516" spans="1:12" ht="13.8" thickBot="1" x14ac:dyDescent="0.3">
      <c r="A516" s="12">
        <v>44558.666666666664</v>
      </c>
      <c r="B516" s="4">
        <v>44.7</v>
      </c>
      <c r="C516" s="2">
        <f ca="1">IFERROR(__xludf.DUMMYFUNCTION("""COMPUTED_VALUE"""),53.64)</f>
        <v>53.64</v>
      </c>
      <c r="D516" s="2">
        <f ca="1">IFERROR(__xludf.DUMMYFUNCTION("""COMPUTED_VALUE"""),476.87)</f>
        <v>476.87</v>
      </c>
      <c r="F516" s="37">
        <f t="shared" si="40"/>
        <v>1.3431835464677597E-3</v>
      </c>
      <c r="G516" s="37">
        <f t="shared" ca="1" si="41"/>
        <v>8.8007308972306974E-3</v>
      </c>
      <c r="H516" s="37">
        <f t="shared" ca="1" si="42"/>
        <v>-8.1749870923225111E-4</v>
      </c>
      <c r="J516" s="38">
        <f t="shared" si="43"/>
        <v>1.2967549750391883E-3</v>
      </c>
      <c r="K516" s="38">
        <f t="shared" ca="1" si="44"/>
        <v>8.7543023258021251E-3</v>
      </c>
      <c r="L516" s="38">
        <f t="shared" ca="1" si="45"/>
        <v>-8.639272806608225E-4</v>
      </c>
    </row>
    <row r="517" spans="1:12" ht="13.8" thickBot="1" x14ac:dyDescent="0.3">
      <c r="A517" s="12">
        <v>44559.666666666664</v>
      </c>
      <c r="B517" s="4">
        <v>44.63</v>
      </c>
      <c r="C517" s="2">
        <f ca="1">IFERROR(__xludf.DUMMYFUNCTION("""COMPUTED_VALUE"""),53.74)</f>
        <v>53.74</v>
      </c>
      <c r="D517" s="2">
        <f ca="1">IFERROR(__xludf.DUMMYFUNCTION("""COMPUTED_VALUE"""),477.48)</f>
        <v>477.48</v>
      </c>
      <c r="F517" s="37">
        <f t="shared" si="40"/>
        <v>-1.5672229783446547E-3</v>
      </c>
      <c r="G517" s="37">
        <f t="shared" ca="1" si="41"/>
        <v>1.8625447738674942E-3</v>
      </c>
      <c r="H517" s="37">
        <f t="shared" ca="1" si="42"/>
        <v>1.2783571709995747E-3</v>
      </c>
      <c r="J517" s="38">
        <f t="shared" si="43"/>
        <v>-1.6136515497732261E-3</v>
      </c>
      <c r="K517" s="38">
        <f t="shared" ca="1" si="44"/>
        <v>1.8161162024389228E-3</v>
      </c>
      <c r="L517" s="38">
        <f t="shared" ca="1" si="45"/>
        <v>1.2319285995710033E-3</v>
      </c>
    </row>
    <row r="518" spans="1:12" ht="13.8" thickBot="1" x14ac:dyDescent="0.3">
      <c r="A518" s="12">
        <v>44560.666666666664</v>
      </c>
      <c r="B518" s="4">
        <v>44.53</v>
      </c>
      <c r="C518" s="2">
        <f ca="1">IFERROR(__xludf.DUMMYFUNCTION("""COMPUTED_VALUE"""),53.3)</f>
        <v>53.3</v>
      </c>
      <c r="D518" s="2">
        <f ca="1">IFERROR(__xludf.DUMMYFUNCTION("""COMPUTED_VALUE"""),476.16)</f>
        <v>476.16</v>
      </c>
      <c r="F518" s="37">
        <f t="shared" si="40"/>
        <v>-2.2431593075675558E-3</v>
      </c>
      <c r="G518" s="37">
        <f t="shared" ca="1" si="41"/>
        <v>-8.2212720155463888E-3</v>
      </c>
      <c r="H518" s="37">
        <f t="shared" ca="1" si="42"/>
        <v>-2.7683420221652319E-3</v>
      </c>
      <c r="J518" s="38">
        <f t="shared" si="43"/>
        <v>-2.2895878789961272E-3</v>
      </c>
      <c r="K518" s="38">
        <f t="shared" ca="1" si="44"/>
        <v>-8.267700586974961E-3</v>
      </c>
      <c r="L518" s="38">
        <f t="shared" ca="1" si="45"/>
        <v>-2.8147705935938033E-3</v>
      </c>
    </row>
    <row r="519" spans="1:12" ht="13.8" thickBot="1" x14ac:dyDescent="0.3">
      <c r="A519" s="12">
        <v>44561.666666666664</v>
      </c>
      <c r="B519" s="4">
        <v>44.49</v>
      </c>
      <c r="C519" s="2">
        <f ca="1">IFERROR(__xludf.DUMMYFUNCTION("""COMPUTED_VALUE"""),53.46)</f>
        <v>53.46</v>
      </c>
      <c r="D519" s="2">
        <f ca="1">IFERROR(__xludf.DUMMYFUNCTION("""COMPUTED_VALUE"""),474.96)</f>
        <v>474.96</v>
      </c>
      <c r="F519" s="37">
        <f t="shared" si="40"/>
        <v>-8.9867451566054196E-4</v>
      </c>
      <c r="G519" s="37">
        <f t="shared" ca="1" si="41"/>
        <v>2.9973795389742594E-3</v>
      </c>
      <c r="H519" s="37">
        <f t="shared" ca="1" si="42"/>
        <v>-2.5233422422525262E-3</v>
      </c>
      <c r="J519" s="38">
        <f t="shared" si="43"/>
        <v>-9.4510308708911335E-4</v>
      </c>
      <c r="K519" s="38">
        <f t="shared" ca="1" si="44"/>
        <v>2.950950967545688E-3</v>
      </c>
      <c r="L519" s="38">
        <f t="shared" ca="1" si="45"/>
        <v>-2.5697708136810976E-3</v>
      </c>
    </row>
    <row r="520" spans="1:12" ht="13.8" thickBot="1" x14ac:dyDescent="0.3">
      <c r="A520" s="12"/>
    </row>
    <row r="521" spans="1:12" ht="13.8" thickBot="1" x14ac:dyDescent="0.3">
      <c r="A521" s="12"/>
    </row>
    <row r="522" spans="1:12" ht="13.8" thickBot="1" x14ac:dyDescent="0.3">
      <c r="A522" s="12"/>
    </row>
    <row r="523" spans="1:12" ht="13.8" thickBot="1" x14ac:dyDescent="0.3">
      <c r="A523" s="12"/>
    </row>
    <row r="524" spans="1:12" ht="13.8" thickBot="1" x14ac:dyDescent="0.3">
      <c r="A524" s="12"/>
    </row>
    <row r="525" spans="1:12" ht="13.8" thickBot="1" x14ac:dyDescent="0.3">
      <c r="A525" s="12"/>
    </row>
    <row r="526" spans="1:12" ht="13.8" thickBot="1" x14ac:dyDescent="0.3">
      <c r="A526" s="12"/>
    </row>
    <row r="527" spans="1:12" ht="13.8" thickBot="1" x14ac:dyDescent="0.3">
      <c r="A527" s="12"/>
    </row>
    <row r="528" spans="1:12" ht="13.8" thickBot="1" x14ac:dyDescent="0.3">
      <c r="A528" s="12"/>
    </row>
    <row r="529" spans="1:1" ht="13.8" thickBot="1" x14ac:dyDescent="0.3">
      <c r="A529" s="12"/>
    </row>
    <row r="530" spans="1:1" ht="13.8" thickBot="1" x14ac:dyDescent="0.3">
      <c r="A530" s="12"/>
    </row>
    <row r="531" spans="1:1" ht="13.8" thickBot="1" x14ac:dyDescent="0.3">
      <c r="A531" s="12"/>
    </row>
    <row r="532" spans="1:1" ht="13.8" thickBot="1" x14ac:dyDescent="0.3">
      <c r="A532" s="12"/>
    </row>
    <row r="533" spans="1:1" ht="13.8" thickBot="1" x14ac:dyDescent="0.3">
      <c r="A533" s="12"/>
    </row>
    <row r="534" spans="1:1" ht="13.8" thickBot="1" x14ac:dyDescent="0.3">
      <c r="A534" s="12"/>
    </row>
    <row r="535" spans="1:1" ht="13.8" thickBot="1" x14ac:dyDescent="0.3">
      <c r="A535" s="12"/>
    </row>
    <row r="536" spans="1:1" ht="13.8" thickBot="1" x14ac:dyDescent="0.3">
      <c r="A536" s="12"/>
    </row>
    <row r="537" spans="1:1" ht="13.8" thickBot="1" x14ac:dyDescent="0.3">
      <c r="A537" s="12"/>
    </row>
    <row r="538" spans="1:1" ht="13.8" thickBot="1" x14ac:dyDescent="0.3">
      <c r="A538" s="12"/>
    </row>
    <row r="539" spans="1:1" ht="13.8" thickBot="1" x14ac:dyDescent="0.3">
      <c r="A539" s="12"/>
    </row>
    <row r="540" spans="1:1" ht="13.8" thickBot="1" x14ac:dyDescent="0.3">
      <c r="A540" s="12"/>
    </row>
    <row r="541" spans="1:1" ht="13.8" thickBot="1" x14ac:dyDescent="0.3">
      <c r="A541" s="12"/>
    </row>
    <row r="542" spans="1:1" ht="13.8" thickBot="1" x14ac:dyDescent="0.3">
      <c r="A542" s="12"/>
    </row>
    <row r="543" spans="1:1" ht="13.8" thickBot="1" x14ac:dyDescent="0.3">
      <c r="A543" s="12"/>
    </row>
    <row r="544" spans="1:1" ht="13.8" thickBot="1" x14ac:dyDescent="0.3">
      <c r="A544" s="12"/>
    </row>
    <row r="545" spans="1:1" ht="13.8" thickBot="1" x14ac:dyDescent="0.3">
      <c r="A545" s="12"/>
    </row>
    <row r="546" spans="1:1" ht="13.8" thickBot="1" x14ac:dyDescent="0.3">
      <c r="A546" s="12"/>
    </row>
    <row r="547" spans="1:1" ht="13.8" thickBot="1" x14ac:dyDescent="0.3">
      <c r="A547" s="12"/>
    </row>
    <row r="548" spans="1:1" ht="13.8" thickBot="1" x14ac:dyDescent="0.3">
      <c r="A548" s="12"/>
    </row>
    <row r="549" spans="1:1" ht="13.8" thickBot="1" x14ac:dyDescent="0.3">
      <c r="A549" s="12"/>
    </row>
    <row r="550" spans="1:1" ht="13.8" thickBot="1" x14ac:dyDescent="0.3">
      <c r="A550" s="12"/>
    </row>
    <row r="551" spans="1:1" ht="13.8" thickBot="1" x14ac:dyDescent="0.3">
      <c r="A551" s="12"/>
    </row>
    <row r="552" spans="1:1" ht="13.8" thickBot="1" x14ac:dyDescent="0.3">
      <c r="A552" s="12"/>
    </row>
    <row r="553" spans="1:1" ht="13.8" thickBot="1" x14ac:dyDescent="0.3">
      <c r="A553" s="12"/>
    </row>
    <row r="554" spans="1:1" ht="13.8" thickBot="1" x14ac:dyDescent="0.3">
      <c r="A554" s="12"/>
    </row>
    <row r="555" spans="1:1" ht="13.8" thickBot="1" x14ac:dyDescent="0.3">
      <c r="A555" s="12"/>
    </row>
    <row r="556" spans="1:1" ht="13.8" thickBot="1" x14ac:dyDescent="0.3">
      <c r="A556" s="12"/>
    </row>
    <row r="557" spans="1:1" ht="13.8" thickBot="1" x14ac:dyDescent="0.3">
      <c r="A557" s="12"/>
    </row>
    <row r="558" spans="1:1" ht="13.8" thickBot="1" x14ac:dyDescent="0.3">
      <c r="A558" s="12"/>
    </row>
    <row r="559" spans="1:1" ht="13.8" thickBot="1" x14ac:dyDescent="0.3">
      <c r="A559" s="12"/>
    </row>
    <row r="560" spans="1:1" ht="13.8" thickBot="1" x14ac:dyDescent="0.3">
      <c r="A560" s="12"/>
    </row>
    <row r="561" spans="1:1" ht="13.8" thickBot="1" x14ac:dyDescent="0.3">
      <c r="A561" s="12"/>
    </row>
    <row r="562" spans="1:1" ht="13.8" thickBot="1" x14ac:dyDescent="0.3">
      <c r="A562" s="12"/>
    </row>
    <row r="563" spans="1:1" ht="13.8" thickBot="1" x14ac:dyDescent="0.3">
      <c r="A563" s="12"/>
    </row>
    <row r="564" spans="1:1" ht="13.8" thickBot="1" x14ac:dyDescent="0.3">
      <c r="A564" s="12"/>
    </row>
    <row r="565" spans="1:1" ht="13.8" thickBot="1" x14ac:dyDescent="0.3">
      <c r="A565" s="12"/>
    </row>
    <row r="566" spans="1:1" ht="13.8" thickBot="1" x14ac:dyDescent="0.3">
      <c r="A566" s="12"/>
    </row>
    <row r="567" spans="1:1" ht="13.8" thickBot="1" x14ac:dyDescent="0.3">
      <c r="A567" s="12"/>
    </row>
    <row r="568" spans="1:1" ht="13.8" thickBot="1" x14ac:dyDescent="0.3">
      <c r="A568" s="12"/>
    </row>
    <row r="569" spans="1:1" ht="13.8" thickBot="1" x14ac:dyDescent="0.3">
      <c r="A569" s="12"/>
    </row>
    <row r="570" spans="1:1" ht="13.8" thickBot="1" x14ac:dyDescent="0.3">
      <c r="A570" s="12"/>
    </row>
    <row r="571" spans="1:1" ht="13.8" thickBot="1" x14ac:dyDescent="0.3">
      <c r="A571" s="12"/>
    </row>
    <row r="572" spans="1:1" ht="13.8" thickBot="1" x14ac:dyDescent="0.3">
      <c r="A572" s="12"/>
    </row>
    <row r="573" spans="1:1" ht="13.8" thickBot="1" x14ac:dyDescent="0.3">
      <c r="A573" s="12"/>
    </row>
    <row r="574" spans="1:1" ht="13.8" thickBot="1" x14ac:dyDescent="0.3">
      <c r="A574" s="12"/>
    </row>
    <row r="575" spans="1:1" ht="13.8" thickBot="1" x14ac:dyDescent="0.3">
      <c r="A575" s="12"/>
    </row>
    <row r="576" spans="1:1" ht="13.8" thickBot="1" x14ac:dyDescent="0.3">
      <c r="A576" s="12"/>
    </row>
    <row r="577" spans="1:1" ht="13.8" thickBot="1" x14ac:dyDescent="0.3">
      <c r="A577" s="12"/>
    </row>
    <row r="578" spans="1:1" ht="13.8" thickBot="1" x14ac:dyDescent="0.3">
      <c r="A578" s="12"/>
    </row>
    <row r="579" spans="1:1" ht="13.8" thickBot="1" x14ac:dyDescent="0.3">
      <c r="A579" s="12"/>
    </row>
    <row r="580" spans="1:1" ht="13.8" thickBot="1" x14ac:dyDescent="0.3">
      <c r="A580" s="12"/>
    </row>
    <row r="581" spans="1:1" ht="13.8" thickBot="1" x14ac:dyDescent="0.3">
      <c r="A581" s="12"/>
    </row>
    <row r="582" spans="1:1" ht="13.8" thickBot="1" x14ac:dyDescent="0.3">
      <c r="A582" s="12"/>
    </row>
    <row r="583" spans="1:1" ht="13.8" thickBot="1" x14ac:dyDescent="0.3">
      <c r="A583" s="12"/>
    </row>
    <row r="584" spans="1:1" ht="13.8" thickBot="1" x14ac:dyDescent="0.3">
      <c r="A584" s="12"/>
    </row>
    <row r="585" spans="1:1" ht="13.8" thickBot="1" x14ac:dyDescent="0.3">
      <c r="A585" s="12"/>
    </row>
    <row r="586" spans="1:1" ht="13.8" thickBot="1" x14ac:dyDescent="0.3">
      <c r="A586" s="12"/>
    </row>
    <row r="587" spans="1:1" ht="13.8" thickBot="1" x14ac:dyDescent="0.3">
      <c r="A587" s="12"/>
    </row>
    <row r="588" spans="1:1" ht="13.8" thickBot="1" x14ac:dyDescent="0.3">
      <c r="A588" s="12"/>
    </row>
    <row r="589" spans="1:1" ht="13.8" thickBot="1" x14ac:dyDescent="0.3">
      <c r="A589" s="12"/>
    </row>
    <row r="590" spans="1:1" ht="13.8" thickBot="1" x14ac:dyDescent="0.3">
      <c r="A590" s="12"/>
    </row>
    <row r="591" spans="1:1" ht="13.8" thickBot="1" x14ac:dyDescent="0.3">
      <c r="A591" s="12"/>
    </row>
    <row r="592" spans="1:1" ht="13.8" thickBot="1" x14ac:dyDescent="0.3">
      <c r="A592" s="12"/>
    </row>
    <row r="593" spans="1:1" ht="13.8" thickBot="1" x14ac:dyDescent="0.3">
      <c r="A593" s="12"/>
    </row>
    <row r="594" spans="1:1" ht="13.8" thickBot="1" x14ac:dyDescent="0.3">
      <c r="A594" s="12"/>
    </row>
    <row r="595" spans="1:1" ht="13.8" thickBot="1" x14ac:dyDescent="0.3">
      <c r="A595" s="12"/>
    </row>
    <row r="596" spans="1:1" ht="13.8" thickBot="1" x14ac:dyDescent="0.3">
      <c r="A596" s="12"/>
    </row>
    <row r="597" spans="1:1" ht="13.8" thickBot="1" x14ac:dyDescent="0.3">
      <c r="A597" s="12"/>
    </row>
    <row r="598" spans="1:1" ht="13.8" thickBot="1" x14ac:dyDescent="0.3">
      <c r="A598" s="12"/>
    </row>
    <row r="599" spans="1:1" ht="13.8" thickBot="1" x14ac:dyDescent="0.3">
      <c r="A599" s="12"/>
    </row>
    <row r="600" spans="1:1" ht="13.8" thickBot="1" x14ac:dyDescent="0.3">
      <c r="A600" s="12"/>
    </row>
    <row r="601" spans="1:1" ht="13.8" thickBot="1" x14ac:dyDescent="0.3">
      <c r="A601" s="12"/>
    </row>
    <row r="602" spans="1:1" ht="13.8" thickBot="1" x14ac:dyDescent="0.3">
      <c r="A602" s="12"/>
    </row>
    <row r="603" spans="1:1" ht="13.8" thickBot="1" x14ac:dyDescent="0.3">
      <c r="A603" s="12"/>
    </row>
    <row r="604" spans="1:1" ht="13.8" thickBot="1" x14ac:dyDescent="0.3">
      <c r="A604" s="12"/>
    </row>
    <row r="605" spans="1:1" ht="13.8" thickBot="1" x14ac:dyDescent="0.3">
      <c r="A605" s="12"/>
    </row>
    <row r="606" spans="1:1" ht="13.8" thickBot="1" x14ac:dyDescent="0.3">
      <c r="A606" s="12"/>
    </row>
    <row r="607" spans="1:1" ht="13.8" thickBot="1" x14ac:dyDescent="0.3">
      <c r="A607" s="12"/>
    </row>
    <row r="608" spans="1:1" ht="13.8" thickBot="1" x14ac:dyDescent="0.3">
      <c r="A608" s="12"/>
    </row>
    <row r="609" spans="1:1" ht="13.8" thickBot="1" x14ac:dyDescent="0.3">
      <c r="A609" s="12"/>
    </row>
    <row r="610" spans="1:1" ht="13.8" thickBot="1" x14ac:dyDescent="0.3">
      <c r="A610" s="12"/>
    </row>
    <row r="611" spans="1:1" ht="13.8" thickBot="1" x14ac:dyDescent="0.3">
      <c r="A611" s="12"/>
    </row>
    <row r="612" spans="1:1" ht="13.8" thickBot="1" x14ac:dyDescent="0.3">
      <c r="A612" s="12"/>
    </row>
    <row r="613" spans="1:1" ht="13.8" thickBot="1" x14ac:dyDescent="0.3">
      <c r="A613" s="12"/>
    </row>
    <row r="614" spans="1:1" ht="13.8" thickBot="1" x14ac:dyDescent="0.3">
      <c r="A614" s="12"/>
    </row>
    <row r="615" spans="1:1" ht="13.8" thickBot="1" x14ac:dyDescent="0.3">
      <c r="A615" s="12"/>
    </row>
    <row r="616" spans="1:1" ht="13.8" thickBot="1" x14ac:dyDescent="0.3">
      <c r="A616" s="12"/>
    </row>
    <row r="617" spans="1:1" ht="13.8" thickBot="1" x14ac:dyDescent="0.3">
      <c r="A617" s="12"/>
    </row>
    <row r="618" spans="1:1" ht="13.8" thickBot="1" x14ac:dyDescent="0.3">
      <c r="A618" s="12"/>
    </row>
    <row r="619" spans="1:1" ht="13.8" thickBot="1" x14ac:dyDescent="0.3">
      <c r="A619" s="12"/>
    </row>
    <row r="620" spans="1:1" ht="13.8" thickBot="1" x14ac:dyDescent="0.3">
      <c r="A620" s="12"/>
    </row>
    <row r="621" spans="1:1" ht="13.8" thickBot="1" x14ac:dyDescent="0.3">
      <c r="A621" s="12"/>
    </row>
    <row r="622" spans="1:1" ht="13.8" thickBot="1" x14ac:dyDescent="0.3">
      <c r="A622" s="12"/>
    </row>
    <row r="623" spans="1:1" ht="13.8" thickBot="1" x14ac:dyDescent="0.3">
      <c r="A623" s="12"/>
    </row>
    <row r="624" spans="1:1" ht="13.8" thickBot="1" x14ac:dyDescent="0.3">
      <c r="A624" s="12"/>
    </row>
    <row r="625" spans="1:1" ht="13.8" thickBot="1" x14ac:dyDescent="0.3">
      <c r="A625" s="12"/>
    </row>
    <row r="626" spans="1:1" ht="13.8" thickBot="1" x14ac:dyDescent="0.3">
      <c r="A626" s="12"/>
    </row>
    <row r="627" spans="1:1" ht="13.8" thickBot="1" x14ac:dyDescent="0.3">
      <c r="A627" s="12"/>
    </row>
    <row r="628" spans="1:1" ht="13.8" thickBot="1" x14ac:dyDescent="0.3">
      <c r="A628" s="12"/>
    </row>
    <row r="629" spans="1:1" ht="13.8" thickBot="1" x14ac:dyDescent="0.3">
      <c r="A629" s="12"/>
    </row>
    <row r="630" spans="1:1" ht="13.8" thickBot="1" x14ac:dyDescent="0.3">
      <c r="A630" s="12"/>
    </row>
    <row r="631" spans="1:1" ht="13.8" thickBot="1" x14ac:dyDescent="0.3">
      <c r="A631" s="12"/>
    </row>
    <row r="632" spans="1:1" ht="13.8" thickBot="1" x14ac:dyDescent="0.3">
      <c r="A632" s="12"/>
    </row>
    <row r="633" spans="1:1" ht="13.8" thickBot="1" x14ac:dyDescent="0.3">
      <c r="A633" s="12"/>
    </row>
    <row r="634" spans="1:1" ht="13.8" thickBot="1" x14ac:dyDescent="0.3">
      <c r="A634" s="12"/>
    </row>
    <row r="635" spans="1:1" ht="13.8" thickBot="1" x14ac:dyDescent="0.3">
      <c r="A635" s="12"/>
    </row>
    <row r="636" spans="1:1" ht="13.8" thickBot="1" x14ac:dyDescent="0.3">
      <c r="A636" s="12"/>
    </row>
    <row r="637" spans="1:1" ht="13.8" thickBot="1" x14ac:dyDescent="0.3">
      <c r="A637" s="12"/>
    </row>
    <row r="638" spans="1:1" ht="13.8" thickBot="1" x14ac:dyDescent="0.3">
      <c r="A638" s="12"/>
    </row>
    <row r="639" spans="1:1" ht="13.8" thickBot="1" x14ac:dyDescent="0.3">
      <c r="A639" s="12"/>
    </row>
    <row r="640" spans="1:1" ht="13.8" thickBot="1" x14ac:dyDescent="0.3">
      <c r="A640" s="12"/>
    </row>
    <row r="641" spans="1:1" ht="13.8" thickBot="1" x14ac:dyDescent="0.3">
      <c r="A641" s="12"/>
    </row>
    <row r="642" spans="1:1" ht="13.8" thickBot="1" x14ac:dyDescent="0.3">
      <c r="A642" s="12"/>
    </row>
    <row r="643" spans="1:1" ht="13.8" thickBot="1" x14ac:dyDescent="0.3">
      <c r="A643" s="12"/>
    </row>
    <row r="644" spans="1:1" ht="13.8" thickBot="1" x14ac:dyDescent="0.3">
      <c r="A644" s="12"/>
    </row>
    <row r="645" spans="1:1" ht="13.8" thickBot="1" x14ac:dyDescent="0.3">
      <c r="A645" s="12"/>
    </row>
    <row r="646" spans="1:1" ht="13.8" thickBot="1" x14ac:dyDescent="0.3">
      <c r="A646" s="12"/>
    </row>
    <row r="647" spans="1:1" ht="13.8" thickBot="1" x14ac:dyDescent="0.3">
      <c r="A647" s="12"/>
    </row>
    <row r="648" spans="1:1" ht="13.8" thickBot="1" x14ac:dyDescent="0.3">
      <c r="A648" s="12"/>
    </row>
    <row r="649" spans="1:1" ht="13.8" thickBot="1" x14ac:dyDescent="0.3">
      <c r="A649" s="12"/>
    </row>
    <row r="650" spans="1:1" ht="13.8" thickBot="1" x14ac:dyDescent="0.3">
      <c r="A650" s="12"/>
    </row>
    <row r="651" spans="1:1" ht="13.8" thickBot="1" x14ac:dyDescent="0.3">
      <c r="A651" s="12"/>
    </row>
    <row r="652" spans="1:1" ht="13.8" thickBot="1" x14ac:dyDescent="0.3">
      <c r="A652" s="12"/>
    </row>
    <row r="653" spans="1:1" ht="13.8" thickBot="1" x14ac:dyDescent="0.3">
      <c r="A653" s="12"/>
    </row>
    <row r="654" spans="1:1" ht="13.8" thickBot="1" x14ac:dyDescent="0.3">
      <c r="A654" s="12"/>
    </row>
    <row r="655" spans="1:1" ht="13.8" thickBot="1" x14ac:dyDescent="0.3">
      <c r="A655" s="12"/>
    </row>
    <row r="656" spans="1:1" ht="13.8" thickBot="1" x14ac:dyDescent="0.3">
      <c r="A656" s="12"/>
    </row>
    <row r="657" spans="1:1" ht="13.8" thickBot="1" x14ac:dyDescent="0.3">
      <c r="A657" s="12"/>
    </row>
    <row r="658" spans="1:1" ht="13.8" thickBot="1" x14ac:dyDescent="0.3">
      <c r="A658" s="12"/>
    </row>
    <row r="659" spans="1:1" ht="13.8" thickBot="1" x14ac:dyDescent="0.3">
      <c r="A659" s="12"/>
    </row>
    <row r="660" spans="1:1" ht="13.8" thickBot="1" x14ac:dyDescent="0.3">
      <c r="A660" s="12"/>
    </row>
    <row r="661" spans="1:1" ht="13.8" thickBot="1" x14ac:dyDescent="0.3">
      <c r="A661" s="12"/>
    </row>
    <row r="662" spans="1:1" ht="13.8" thickBot="1" x14ac:dyDescent="0.3">
      <c r="A662" s="12"/>
    </row>
    <row r="663" spans="1:1" ht="13.8" thickBot="1" x14ac:dyDescent="0.3">
      <c r="A663" s="12"/>
    </row>
    <row r="664" spans="1:1" ht="13.8" thickBot="1" x14ac:dyDescent="0.3">
      <c r="A664" s="12"/>
    </row>
    <row r="665" spans="1:1" ht="13.8" thickBot="1" x14ac:dyDescent="0.3">
      <c r="A665" s="12"/>
    </row>
    <row r="666" spans="1:1" ht="13.8" thickBot="1" x14ac:dyDescent="0.3">
      <c r="A666" s="12"/>
    </row>
    <row r="667" spans="1:1" ht="13.8" thickBot="1" x14ac:dyDescent="0.3">
      <c r="A667" s="12"/>
    </row>
    <row r="668" spans="1:1" ht="13.8" thickBot="1" x14ac:dyDescent="0.3">
      <c r="A668" s="12"/>
    </row>
    <row r="669" spans="1:1" ht="13.8" thickBot="1" x14ac:dyDescent="0.3">
      <c r="A669" s="12"/>
    </row>
    <row r="670" spans="1:1" ht="13.8" thickBot="1" x14ac:dyDescent="0.3">
      <c r="A670" s="12"/>
    </row>
    <row r="671" spans="1:1" ht="13.8" thickBot="1" x14ac:dyDescent="0.3">
      <c r="A671" s="12"/>
    </row>
    <row r="672" spans="1:1" ht="13.8" thickBot="1" x14ac:dyDescent="0.3">
      <c r="A672" s="12"/>
    </row>
    <row r="673" spans="1:1" ht="13.8" thickBot="1" x14ac:dyDescent="0.3">
      <c r="A673" s="12"/>
    </row>
    <row r="674" spans="1:1" ht="13.8" thickBot="1" x14ac:dyDescent="0.3">
      <c r="A674" s="12"/>
    </row>
    <row r="675" spans="1:1" ht="13.8" thickBot="1" x14ac:dyDescent="0.3">
      <c r="A675" s="12"/>
    </row>
    <row r="676" spans="1:1" ht="13.8" thickBot="1" x14ac:dyDescent="0.3">
      <c r="A676" s="12"/>
    </row>
    <row r="677" spans="1:1" ht="13.8" thickBot="1" x14ac:dyDescent="0.3">
      <c r="A677" s="12"/>
    </row>
    <row r="678" spans="1:1" ht="13.8" thickBot="1" x14ac:dyDescent="0.3">
      <c r="A678" s="12"/>
    </row>
    <row r="679" spans="1:1" ht="13.8" thickBot="1" x14ac:dyDescent="0.3">
      <c r="A679" s="12"/>
    </row>
    <row r="680" spans="1:1" ht="13.8" thickBot="1" x14ac:dyDescent="0.3">
      <c r="A680" s="12"/>
    </row>
    <row r="681" spans="1:1" ht="13.8" thickBot="1" x14ac:dyDescent="0.3">
      <c r="A681" s="12"/>
    </row>
    <row r="682" spans="1:1" ht="13.8" thickBot="1" x14ac:dyDescent="0.3">
      <c r="A682" s="12"/>
    </row>
    <row r="683" spans="1:1" ht="13.8" thickBot="1" x14ac:dyDescent="0.3">
      <c r="A683" s="12"/>
    </row>
    <row r="684" spans="1:1" ht="13.8" thickBot="1" x14ac:dyDescent="0.3">
      <c r="A684" s="12"/>
    </row>
    <row r="685" spans="1:1" ht="13.8" thickBot="1" x14ac:dyDescent="0.3">
      <c r="A685" s="12"/>
    </row>
    <row r="686" spans="1:1" ht="13.8" thickBot="1" x14ac:dyDescent="0.3">
      <c r="A686" s="12"/>
    </row>
    <row r="687" spans="1:1" ht="13.8" thickBot="1" x14ac:dyDescent="0.3">
      <c r="A687" s="12"/>
    </row>
    <row r="688" spans="1:1" ht="13.8" thickBot="1" x14ac:dyDescent="0.3">
      <c r="A688" s="12"/>
    </row>
    <row r="689" spans="1:1" ht="13.8" thickBot="1" x14ac:dyDescent="0.3">
      <c r="A689" s="12"/>
    </row>
    <row r="690" spans="1:1" ht="13.8" thickBot="1" x14ac:dyDescent="0.3">
      <c r="A690" s="12"/>
    </row>
    <row r="691" spans="1:1" ht="13.8" thickBot="1" x14ac:dyDescent="0.3">
      <c r="A691" s="12"/>
    </row>
    <row r="692" spans="1:1" ht="13.8" thickBot="1" x14ac:dyDescent="0.3">
      <c r="A692" s="12"/>
    </row>
    <row r="693" spans="1:1" ht="13.8" thickBot="1" x14ac:dyDescent="0.3">
      <c r="A693" s="12"/>
    </row>
    <row r="694" spans="1:1" ht="13.8" thickBot="1" x14ac:dyDescent="0.3">
      <c r="A694" s="12"/>
    </row>
    <row r="695" spans="1:1" ht="13.8" thickBot="1" x14ac:dyDescent="0.3">
      <c r="A695" s="12"/>
    </row>
    <row r="696" spans="1:1" ht="13.8" thickBot="1" x14ac:dyDescent="0.3">
      <c r="A696" s="12"/>
    </row>
    <row r="697" spans="1:1" ht="13.8" thickBot="1" x14ac:dyDescent="0.3">
      <c r="A697" s="12"/>
    </row>
    <row r="698" spans="1:1" ht="13.8" thickBot="1" x14ac:dyDescent="0.3">
      <c r="A698" s="12"/>
    </row>
    <row r="699" spans="1:1" ht="13.8" thickBot="1" x14ac:dyDescent="0.3">
      <c r="A699" s="12"/>
    </row>
    <row r="700" spans="1:1" ht="13.8" thickBot="1" x14ac:dyDescent="0.3">
      <c r="A700" s="12"/>
    </row>
    <row r="701" spans="1:1" ht="13.8" thickBot="1" x14ac:dyDescent="0.3">
      <c r="A701" s="12"/>
    </row>
    <row r="702" spans="1:1" ht="13.8" thickBot="1" x14ac:dyDescent="0.3">
      <c r="A702" s="12"/>
    </row>
    <row r="703" spans="1:1" ht="13.8" thickBot="1" x14ac:dyDescent="0.3">
      <c r="A703" s="12"/>
    </row>
    <row r="704" spans="1:1" ht="13.8" thickBot="1" x14ac:dyDescent="0.3">
      <c r="A704" s="12"/>
    </row>
    <row r="705" spans="1:1" ht="13.8" thickBot="1" x14ac:dyDescent="0.3">
      <c r="A705" s="12"/>
    </row>
    <row r="706" spans="1:1" ht="13.8" thickBot="1" x14ac:dyDescent="0.3">
      <c r="A706" s="12"/>
    </row>
    <row r="707" spans="1:1" ht="13.8" thickBot="1" x14ac:dyDescent="0.3">
      <c r="A707" s="12"/>
    </row>
    <row r="708" spans="1:1" ht="13.8" thickBot="1" x14ac:dyDescent="0.3">
      <c r="A708" s="12"/>
    </row>
    <row r="709" spans="1:1" ht="13.8" thickBot="1" x14ac:dyDescent="0.3">
      <c r="A709" s="12"/>
    </row>
    <row r="710" spans="1:1" ht="13.8" thickBot="1" x14ac:dyDescent="0.3">
      <c r="A710" s="12"/>
    </row>
    <row r="711" spans="1:1" ht="13.8" thickBot="1" x14ac:dyDescent="0.3">
      <c r="A711" s="12"/>
    </row>
    <row r="712" spans="1:1" ht="13.8" thickBot="1" x14ac:dyDescent="0.3">
      <c r="A712" s="12"/>
    </row>
    <row r="713" spans="1:1" ht="13.8" thickBot="1" x14ac:dyDescent="0.3">
      <c r="A713" s="12"/>
    </row>
    <row r="714" spans="1:1" ht="13.8" thickBot="1" x14ac:dyDescent="0.3">
      <c r="A714" s="12"/>
    </row>
    <row r="715" spans="1:1" ht="13.8" thickBot="1" x14ac:dyDescent="0.3">
      <c r="A715" s="12"/>
    </row>
    <row r="716" spans="1:1" ht="13.8" thickBot="1" x14ac:dyDescent="0.3">
      <c r="A716" s="12"/>
    </row>
    <row r="717" spans="1:1" ht="13.8" thickBot="1" x14ac:dyDescent="0.3">
      <c r="A717" s="12"/>
    </row>
    <row r="718" spans="1:1" ht="13.8" thickBot="1" x14ac:dyDescent="0.3">
      <c r="A718" s="12"/>
    </row>
    <row r="719" spans="1:1" ht="13.8" thickBot="1" x14ac:dyDescent="0.3">
      <c r="A719" s="12"/>
    </row>
    <row r="720" spans="1:1" ht="13.8" thickBot="1" x14ac:dyDescent="0.3">
      <c r="A720" s="12"/>
    </row>
    <row r="721" spans="1:1" ht="13.8" thickBot="1" x14ac:dyDescent="0.3">
      <c r="A721" s="12"/>
    </row>
    <row r="722" spans="1:1" ht="13.8" thickBot="1" x14ac:dyDescent="0.3">
      <c r="A722" s="12"/>
    </row>
    <row r="723" spans="1:1" ht="13.8" thickBot="1" x14ac:dyDescent="0.3">
      <c r="A723" s="12"/>
    </row>
    <row r="724" spans="1:1" ht="13.8" thickBot="1" x14ac:dyDescent="0.3">
      <c r="A724" s="12"/>
    </row>
    <row r="725" spans="1:1" ht="13.8" thickBot="1" x14ac:dyDescent="0.3">
      <c r="A725" s="12"/>
    </row>
    <row r="726" spans="1:1" ht="13.8" thickBot="1" x14ac:dyDescent="0.3">
      <c r="A726" s="12"/>
    </row>
    <row r="727" spans="1:1" ht="13.8" thickBot="1" x14ac:dyDescent="0.3">
      <c r="A727" s="12"/>
    </row>
    <row r="728" spans="1:1" ht="13.8" thickBot="1" x14ac:dyDescent="0.3">
      <c r="A728" s="12"/>
    </row>
    <row r="729" spans="1:1" ht="13.8" thickBot="1" x14ac:dyDescent="0.3">
      <c r="A729" s="12"/>
    </row>
    <row r="730" spans="1:1" ht="13.8" thickBot="1" x14ac:dyDescent="0.3">
      <c r="A730" s="12"/>
    </row>
    <row r="731" spans="1:1" ht="13.8" thickBot="1" x14ac:dyDescent="0.3">
      <c r="A731" s="12"/>
    </row>
    <row r="732" spans="1:1" ht="13.8" thickBot="1" x14ac:dyDescent="0.3">
      <c r="A732" s="12"/>
    </row>
    <row r="733" spans="1:1" ht="13.8" thickBot="1" x14ac:dyDescent="0.3">
      <c r="A733" s="12"/>
    </row>
    <row r="734" spans="1:1" ht="13.8" thickBot="1" x14ac:dyDescent="0.3">
      <c r="A734" s="12"/>
    </row>
    <row r="735" spans="1:1" ht="13.8" thickBot="1" x14ac:dyDescent="0.3">
      <c r="A735" s="12"/>
    </row>
    <row r="736" spans="1:1" ht="13.8" thickBot="1" x14ac:dyDescent="0.3">
      <c r="A736" s="12"/>
    </row>
    <row r="737" spans="1:1" ht="13.8" thickBot="1" x14ac:dyDescent="0.3">
      <c r="A737" s="12"/>
    </row>
    <row r="738" spans="1:1" ht="13.8" thickBot="1" x14ac:dyDescent="0.3">
      <c r="A738" s="12"/>
    </row>
    <row r="739" spans="1:1" ht="13.8" thickBot="1" x14ac:dyDescent="0.3">
      <c r="A739" s="12"/>
    </row>
    <row r="740" spans="1:1" ht="13.8" thickBot="1" x14ac:dyDescent="0.3">
      <c r="A740" s="12"/>
    </row>
    <row r="741" spans="1:1" ht="13.8" thickBot="1" x14ac:dyDescent="0.3">
      <c r="A741" s="12"/>
    </row>
    <row r="742" spans="1:1" ht="13.8" thickBot="1" x14ac:dyDescent="0.3">
      <c r="A742" s="12"/>
    </row>
    <row r="743" spans="1:1" ht="13.8" thickBot="1" x14ac:dyDescent="0.3">
      <c r="A743" s="12"/>
    </row>
    <row r="744" spans="1:1" ht="13.8" thickBot="1" x14ac:dyDescent="0.3">
      <c r="A744" s="12"/>
    </row>
    <row r="745" spans="1:1" ht="13.8" thickBot="1" x14ac:dyDescent="0.3">
      <c r="A745" s="12"/>
    </row>
    <row r="746" spans="1:1" ht="13.8" thickBot="1" x14ac:dyDescent="0.3">
      <c r="A746" s="12"/>
    </row>
    <row r="747" spans="1:1" ht="13.8" thickBot="1" x14ac:dyDescent="0.3">
      <c r="A747" s="12"/>
    </row>
    <row r="748" spans="1:1" ht="13.8" thickBot="1" x14ac:dyDescent="0.3">
      <c r="A748" s="12"/>
    </row>
    <row r="749" spans="1:1" ht="13.8" thickBot="1" x14ac:dyDescent="0.3">
      <c r="A749" s="12"/>
    </row>
    <row r="750" spans="1:1" ht="13.8" thickBot="1" x14ac:dyDescent="0.3">
      <c r="A750" s="12"/>
    </row>
    <row r="751" spans="1:1" ht="13.8" thickBot="1" x14ac:dyDescent="0.3">
      <c r="A751" s="12"/>
    </row>
    <row r="752" spans="1:1" ht="13.8" thickBot="1" x14ac:dyDescent="0.3">
      <c r="A752" s="12"/>
    </row>
    <row r="753" spans="1:1" ht="13.8" thickBot="1" x14ac:dyDescent="0.3">
      <c r="A753" s="12"/>
    </row>
    <row r="754" spans="1:1" ht="13.8" thickBot="1" x14ac:dyDescent="0.3">
      <c r="A754" s="12"/>
    </row>
    <row r="755" spans="1:1" ht="13.8" thickBot="1" x14ac:dyDescent="0.3">
      <c r="A755" s="12"/>
    </row>
    <row r="756" spans="1:1" ht="13.8" thickBot="1" x14ac:dyDescent="0.3">
      <c r="A756" s="12"/>
    </row>
    <row r="757" spans="1:1" ht="13.8" thickBot="1" x14ac:dyDescent="0.3">
      <c r="A757" s="12"/>
    </row>
    <row r="758" spans="1:1" ht="13.8" thickBot="1" x14ac:dyDescent="0.3">
      <c r="A758" s="12"/>
    </row>
    <row r="759" spans="1:1" ht="13.8" thickBot="1" x14ac:dyDescent="0.3">
      <c r="A759" s="12"/>
    </row>
    <row r="760" spans="1:1" ht="13.8" thickBot="1" x14ac:dyDescent="0.3">
      <c r="A760" s="12"/>
    </row>
    <row r="761" spans="1:1" ht="13.8" thickBot="1" x14ac:dyDescent="0.3">
      <c r="A761" s="12"/>
    </row>
    <row r="762" spans="1:1" ht="13.8" thickBot="1" x14ac:dyDescent="0.3">
      <c r="A762" s="12"/>
    </row>
    <row r="763" spans="1:1" ht="13.8" thickBot="1" x14ac:dyDescent="0.3">
      <c r="A763" s="12"/>
    </row>
    <row r="764" spans="1:1" ht="13.8" thickBot="1" x14ac:dyDescent="0.3">
      <c r="A764" s="12"/>
    </row>
    <row r="765" spans="1:1" ht="13.8" thickBot="1" x14ac:dyDescent="0.3">
      <c r="A765" s="12"/>
    </row>
    <row r="766" spans="1:1" ht="13.8" thickBot="1" x14ac:dyDescent="0.3">
      <c r="A766" s="12"/>
    </row>
    <row r="767" spans="1:1" ht="13.8" thickBot="1" x14ac:dyDescent="0.3">
      <c r="A767" s="12"/>
    </row>
    <row r="768" spans="1:1" ht="13.8" thickBot="1" x14ac:dyDescent="0.3">
      <c r="A768" s="12"/>
    </row>
    <row r="769" spans="1:1" ht="13.8" thickBot="1" x14ac:dyDescent="0.3">
      <c r="A769" s="12"/>
    </row>
    <row r="770" spans="1:1" ht="13.8" thickBot="1" x14ac:dyDescent="0.3">
      <c r="A770" s="12"/>
    </row>
    <row r="771" spans="1:1" ht="13.8" thickBot="1" x14ac:dyDescent="0.3">
      <c r="A771" s="12"/>
    </row>
    <row r="772" spans="1:1" ht="13.8" thickBot="1" x14ac:dyDescent="0.3">
      <c r="A772" s="12"/>
    </row>
    <row r="773" spans="1:1" ht="13.8" thickBot="1" x14ac:dyDescent="0.3">
      <c r="A773" s="12"/>
    </row>
    <row r="774" spans="1:1" ht="13.8" thickBot="1" x14ac:dyDescent="0.3">
      <c r="A774" s="12"/>
    </row>
    <row r="775" spans="1:1" ht="13.8" thickBot="1" x14ac:dyDescent="0.3">
      <c r="A775" s="12"/>
    </row>
    <row r="776" spans="1:1" ht="13.8" thickBot="1" x14ac:dyDescent="0.3">
      <c r="A776" s="12"/>
    </row>
    <row r="777" spans="1:1" ht="13.8" thickBot="1" x14ac:dyDescent="0.3">
      <c r="A777" s="12"/>
    </row>
    <row r="778" spans="1:1" ht="13.8" thickBot="1" x14ac:dyDescent="0.3">
      <c r="A778" s="12"/>
    </row>
    <row r="779" spans="1:1" ht="13.8" thickBot="1" x14ac:dyDescent="0.3">
      <c r="A779" s="12"/>
    </row>
    <row r="780" spans="1:1" ht="13.8" thickBot="1" x14ac:dyDescent="0.3">
      <c r="A780" s="12"/>
    </row>
    <row r="781" spans="1:1" ht="13.8" thickBot="1" x14ac:dyDescent="0.3">
      <c r="A781" s="12"/>
    </row>
    <row r="782" spans="1:1" ht="13.8" thickBot="1" x14ac:dyDescent="0.3">
      <c r="A782" s="12"/>
    </row>
    <row r="783" spans="1:1" ht="13.8" thickBot="1" x14ac:dyDescent="0.3">
      <c r="A783" s="12"/>
    </row>
    <row r="784" spans="1:1" ht="13.8" thickBot="1" x14ac:dyDescent="0.3">
      <c r="A784" s="12"/>
    </row>
    <row r="785" spans="1:1" ht="13.8" thickBot="1" x14ac:dyDescent="0.3">
      <c r="A785" s="12"/>
    </row>
    <row r="786" spans="1:1" ht="13.8" thickBot="1" x14ac:dyDescent="0.3">
      <c r="A786" s="12"/>
    </row>
    <row r="787" spans="1:1" ht="13.8" thickBot="1" x14ac:dyDescent="0.3">
      <c r="A787" s="12"/>
    </row>
    <row r="788" spans="1:1" ht="13.8" thickBot="1" x14ac:dyDescent="0.3">
      <c r="A788" s="12"/>
    </row>
    <row r="789" spans="1:1" ht="13.8" thickBot="1" x14ac:dyDescent="0.3">
      <c r="A789" s="12"/>
    </row>
    <row r="790" spans="1:1" ht="13.8" thickBot="1" x14ac:dyDescent="0.3">
      <c r="A790" s="12"/>
    </row>
    <row r="791" spans="1:1" ht="13.8" thickBot="1" x14ac:dyDescent="0.3">
      <c r="A791" s="12"/>
    </row>
    <row r="792" spans="1:1" ht="13.8" thickBot="1" x14ac:dyDescent="0.3">
      <c r="A792" s="12"/>
    </row>
    <row r="793" spans="1:1" ht="13.8" thickBot="1" x14ac:dyDescent="0.3">
      <c r="A793" s="12"/>
    </row>
    <row r="794" spans="1:1" ht="13.8" thickBot="1" x14ac:dyDescent="0.3">
      <c r="A794" s="12"/>
    </row>
    <row r="795" spans="1:1" ht="13.8" thickBot="1" x14ac:dyDescent="0.3">
      <c r="A795" s="12"/>
    </row>
    <row r="796" spans="1:1" ht="13.8" thickBot="1" x14ac:dyDescent="0.3">
      <c r="A796" s="12"/>
    </row>
    <row r="797" spans="1:1" ht="13.8" thickBot="1" x14ac:dyDescent="0.3">
      <c r="A797" s="12"/>
    </row>
    <row r="798" spans="1:1" ht="13.8" thickBot="1" x14ac:dyDescent="0.3">
      <c r="A798" s="12"/>
    </row>
    <row r="799" spans="1:1" ht="13.8" thickBot="1" x14ac:dyDescent="0.3">
      <c r="A799" s="12"/>
    </row>
    <row r="800" spans="1:1" ht="13.8" thickBot="1" x14ac:dyDescent="0.3">
      <c r="A800" s="12"/>
    </row>
    <row r="801" spans="1:1" ht="13.8" thickBot="1" x14ac:dyDescent="0.3">
      <c r="A801" s="12"/>
    </row>
    <row r="802" spans="1:1" ht="13.8" thickBot="1" x14ac:dyDescent="0.3">
      <c r="A802" s="12"/>
    </row>
    <row r="803" spans="1:1" ht="13.8" thickBot="1" x14ac:dyDescent="0.3">
      <c r="A803" s="12"/>
    </row>
    <row r="804" spans="1:1" ht="13.8" thickBot="1" x14ac:dyDescent="0.3">
      <c r="A804" s="12"/>
    </row>
    <row r="805" spans="1:1" ht="13.8" thickBot="1" x14ac:dyDescent="0.3">
      <c r="A805" s="12"/>
    </row>
    <row r="806" spans="1:1" ht="13.8" thickBot="1" x14ac:dyDescent="0.3">
      <c r="A806" s="12"/>
    </row>
    <row r="807" spans="1:1" ht="13.8" thickBot="1" x14ac:dyDescent="0.3">
      <c r="A807" s="12"/>
    </row>
    <row r="808" spans="1:1" ht="13.8" thickBot="1" x14ac:dyDescent="0.3">
      <c r="A808" s="12"/>
    </row>
    <row r="809" spans="1:1" ht="13.8" thickBot="1" x14ac:dyDescent="0.3">
      <c r="A809" s="12"/>
    </row>
    <row r="810" spans="1:1" ht="13.8" thickBot="1" x14ac:dyDescent="0.3">
      <c r="A810" s="12"/>
    </row>
    <row r="811" spans="1:1" ht="13.8" thickBot="1" x14ac:dyDescent="0.3">
      <c r="A811" s="12"/>
    </row>
    <row r="812" spans="1:1" ht="13.8" thickBot="1" x14ac:dyDescent="0.3">
      <c r="A812" s="12"/>
    </row>
    <row r="813" spans="1:1" ht="13.8" thickBot="1" x14ac:dyDescent="0.3">
      <c r="A813" s="12"/>
    </row>
    <row r="814" spans="1:1" ht="13.8" thickBot="1" x14ac:dyDescent="0.3">
      <c r="A814" s="12"/>
    </row>
    <row r="815" spans="1:1" ht="13.8" thickBot="1" x14ac:dyDescent="0.3">
      <c r="A815" s="12"/>
    </row>
    <row r="816" spans="1:1" ht="13.8" thickBot="1" x14ac:dyDescent="0.3">
      <c r="A816" s="12"/>
    </row>
    <row r="817" spans="1:1" ht="13.8" thickBot="1" x14ac:dyDescent="0.3">
      <c r="A817" s="12"/>
    </row>
    <row r="818" spans="1:1" ht="13.8" thickBot="1" x14ac:dyDescent="0.3">
      <c r="A818" s="12"/>
    </row>
    <row r="819" spans="1:1" ht="13.8" thickBot="1" x14ac:dyDescent="0.3">
      <c r="A819" s="12"/>
    </row>
    <row r="820" spans="1:1" ht="13.8" thickBot="1" x14ac:dyDescent="0.3">
      <c r="A820" s="12"/>
    </row>
    <row r="821" spans="1:1" ht="13.8" thickBot="1" x14ac:dyDescent="0.3">
      <c r="A821" s="12"/>
    </row>
    <row r="822" spans="1:1" ht="13.8" thickBot="1" x14ac:dyDescent="0.3">
      <c r="A822" s="12"/>
    </row>
    <row r="823" spans="1:1" ht="13.8" thickBot="1" x14ac:dyDescent="0.3">
      <c r="A823" s="12"/>
    </row>
    <row r="824" spans="1:1" ht="13.8" thickBot="1" x14ac:dyDescent="0.3">
      <c r="A824" s="12"/>
    </row>
    <row r="825" spans="1:1" ht="13.8" thickBot="1" x14ac:dyDescent="0.3">
      <c r="A825" s="12"/>
    </row>
    <row r="826" spans="1:1" ht="13.8" thickBot="1" x14ac:dyDescent="0.3">
      <c r="A826" s="12"/>
    </row>
    <row r="827" spans="1:1" ht="13.8" thickBot="1" x14ac:dyDescent="0.3">
      <c r="A827" s="12"/>
    </row>
    <row r="828" spans="1:1" ht="13.8" thickBot="1" x14ac:dyDescent="0.3">
      <c r="A828" s="12"/>
    </row>
    <row r="829" spans="1:1" ht="13.8" thickBot="1" x14ac:dyDescent="0.3">
      <c r="A829" s="12"/>
    </row>
    <row r="830" spans="1:1" ht="13.8" thickBot="1" x14ac:dyDescent="0.3">
      <c r="A830" s="12"/>
    </row>
    <row r="831" spans="1:1" ht="13.8" thickBot="1" x14ac:dyDescent="0.3">
      <c r="A831" s="12"/>
    </row>
    <row r="832" spans="1:1" ht="13.8" thickBot="1" x14ac:dyDescent="0.3">
      <c r="A832" s="12"/>
    </row>
    <row r="833" spans="1:1" ht="13.8" thickBot="1" x14ac:dyDescent="0.3">
      <c r="A833" s="12"/>
    </row>
    <row r="834" spans="1:1" ht="13.8" thickBot="1" x14ac:dyDescent="0.3">
      <c r="A834" s="12"/>
    </row>
    <row r="835" spans="1:1" ht="13.8" thickBot="1" x14ac:dyDescent="0.3">
      <c r="A835" s="12"/>
    </row>
    <row r="836" spans="1:1" ht="15.75" customHeight="1" thickBot="1" x14ac:dyDescent="0.3">
      <c r="A836" s="12"/>
    </row>
    <row r="837" spans="1:1" ht="15.75" customHeight="1" thickBot="1" x14ac:dyDescent="0.3">
      <c r="A837" s="12"/>
    </row>
    <row r="838" spans="1:1" ht="15.75" customHeight="1" thickBot="1" x14ac:dyDescent="0.3">
      <c r="A838" s="12"/>
    </row>
    <row r="839" spans="1:1" ht="15.75" customHeight="1" thickBot="1" x14ac:dyDescent="0.3">
      <c r="A839" s="12"/>
    </row>
    <row r="840" spans="1:1" ht="15.75" customHeight="1" thickBot="1" x14ac:dyDescent="0.3">
      <c r="A840" s="12"/>
    </row>
    <row r="841" spans="1:1" ht="15.75" customHeight="1" thickBot="1" x14ac:dyDescent="0.3">
      <c r="A841" s="12"/>
    </row>
    <row r="842" spans="1:1" ht="15.75" customHeight="1" thickBot="1" x14ac:dyDescent="0.3">
      <c r="A842" s="12"/>
    </row>
    <row r="843" spans="1:1" ht="15.75" customHeight="1" thickBot="1" x14ac:dyDescent="0.3">
      <c r="A843" s="12"/>
    </row>
    <row r="844" spans="1:1" ht="15.75" customHeight="1" thickBot="1" x14ac:dyDescent="0.3">
      <c r="A844" s="12"/>
    </row>
    <row r="845" spans="1:1" ht="15.75" customHeight="1" thickBot="1" x14ac:dyDescent="0.3">
      <c r="A845" s="12"/>
    </row>
    <row r="846" spans="1:1" ht="15.75" customHeight="1" thickBot="1" x14ac:dyDescent="0.3">
      <c r="A846" s="12"/>
    </row>
    <row r="847" spans="1:1" ht="15.75" customHeight="1" thickBot="1" x14ac:dyDescent="0.3">
      <c r="A847" s="12"/>
    </row>
    <row r="848" spans="1:1" ht="15.75" customHeight="1" thickBot="1" x14ac:dyDescent="0.3">
      <c r="A848" s="12"/>
    </row>
    <row r="849" spans="1:1" ht="15.75" customHeight="1" thickBot="1" x14ac:dyDescent="0.3">
      <c r="A849" s="12"/>
    </row>
    <row r="850" spans="1:1" ht="15.75" customHeight="1" thickBot="1" x14ac:dyDescent="0.3">
      <c r="A850" s="12"/>
    </row>
    <row r="851" spans="1:1" ht="15.75" customHeight="1" thickBot="1" x14ac:dyDescent="0.3">
      <c r="A851" s="12"/>
    </row>
    <row r="852" spans="1:1" ht="15.75" customHeight="1" thickBot="1" x14ac:dyDescent="0.3">
      <c r="A852" s="12"/>
    </row>
    <row r="853" spans="1:1" ht="15.75" customHeight="1" thickBot="1" x14ac:dyDescent="0.3">
      <c r="A853" s="12"/>
    </row>
    <row r="854" spans="1:1" ht="15.75" customHeight="1" thickBot="1" x14ac:dyDescent="0.3">
      <c r="A854" s="12"/>
    </row>
    <row r="855" spans="1:1" ht="15.75" customHeight="1" thickBot="1" x14ac:dyDescent="0.3">
      <c r="A855" s="9"/>
    </row>
    <row r="856" spans="1:1" ht="15.75" customHeight="1" thickBot="1" x14ac:dyDescent="0.3">
      <c r="A856" s="9"/>
    </row>
    <row r="857" spans="1:1" ht="15.75" customHeight="1" thickBot="1" x14ac:dyDescent="0.3">
      <c r="A857" s="9"/>
    </row>
    <row r="858" spans="1:1" ht="15.75" customHeight="1" thickBot="1" x14ac:dyDescent="0.3">
      <c r="A858" s="9"/>
    </row>
    <row r="859" spans="1:1" ht="15.75" customHeight="1" thickBot="1" x14ac:dyDescent="0.3">
      <c r="A859" s="9"/>
    </row>
    <row r="860" spans="1:1" ht="15.75" customHeight="1" thickBot="1" x14ac:dyDescent="0.3">
      <c r="A860" s="9"/>
    </row>
    <row r="861" spans="1:1" ht="15.75" customHeight="1" thickBot="1" x14ac:dyDescent="0.3">
      <c r="A861" s="9"/>
    </row>
    <row r="862" spans="1:1" ht="15.75" customHeight="1" thickBot="1" x14ac:dyDescent="0.3">
      <c r="A862" s="9"/>
    </row>
    <row r="863" spans="1:1" ht="15.75" customHeight="1" thickBot="1" x14ac:dyDescent="0.3">
      <c r="A863" s="9"/>
    </row>
    <row r="864" spans="1:1" ht="15.75" customHeight="1" thickBot="1" x14ac:dyDescent="0.3">
      <c r="A864" s="9"/>
    </row>
    <row r="865" spans="1:1" ht="15.75" customHeight="1" thickBot="1" x14ac:dyDescent="0.3">
      <c r="A865" s="9"/>
    </row>
    <row r="866" spans="1:1" ht="15.75" customHeight="1" thickBot="1" x14ac:dyDescent="0.3">
      <c r="A866" s="9"/>
    </row>
    <row r="867" spans="1:1" ht="15.75" customHeight="1" thickBot="1" x14ac:dyDescent="0.3">
      <c r="A867" s="9"/>
    </row>
    <row r="868" spans="1:1" ht="15.75" customHeight="1" thickBot="1" x14ac:dyDescent="0.3">
      <c r="A868" s="9"/>
    </row>
    <row r="869" spans="1:1" ht="15.75" customHeight="1" thickBot="1" x14ac:dyDescent="0.3">
      <c r="A869" s="9"/>
    </row>
    <row r="870" spans="1:1" ht="15.75" customHeight="1" thickBot="1" x14ac:dyDescent="0.3">
      <c r="A870" s="9"/>
    </row>
    <row r="871" spans="1:1" ht="15.75" customHeight="1" thickBot="1" x14ac:dyDescent="0.3">
      <c r="A871" s="9"/>
    </row>
    <row r="872" spans="1:1" ht="15.75" customHeight="1" thickBot="1" x14ac:dyDescent="0.3">
      <c r="A872" s="9"/>
    </row>
    <row r="873" spans="1:1" ht="15.75" customHeight="1" thickBot="1" x14ac:dyDescent="0.3">
      <c r="A873" s="9"/>
    </row>
    <row r="874" spans="1:1" ht="15.75" customHeight="1" thickBot="1" x14ac:dyDescent="0.3">
      <c r="A874" s="9"/>
    </row>
    <row r="875" spans="1:1" ht="15.75" customHeight="1" thickBot="1" x14ac:dyDescent="0.3">
      <c r="A875" s="9"/>
    </row>
    <row r="876" spans="1:1" ht="15.75" customHeight="1" thickBot="1" x14ac:dyDescent="0.3">
      <c r="A876" s="9"/>
    </row>
    <row r="877" spans="1:1" ht="15.75" customHeight="1" thickBot="1" x14ac:dyDescent="0.3">
      <c r="A877" s="9"/>
    </row>
    <row r="878" spans="1:1" ht="15.75" customHeight="1" thickBot="1" x14ac:dyDescent="0.3">
      <c r="A878" s="9"/>
    </row>
    <row r="879" spans="1:1" ht="15.75" customHeight="1" thickBot="1" x14ac:dyDescent="0.3">
      <c r="A879" s="9"/>
    </row>
    <row r="880" spans="1:1" ht="15.75" customHeight="1" thickBot="1" x14ac:dyDescent="0.3">
      <c r="A880" s="9"/>
    </row>
    <row r="881" spans="1:1" ht="15.75" customHeight="1" thickBot="1" x14ac:dyDescent="0.3">
      <c r="A881" s="9"/>
    </row>
    <row r="882" spans="1:1" ht="15.75" customHeight="1" thickBot="1" x14ac:dyDescent="0.3">
      <c r="A882" s="9"/>
    </row>
    <row r="883" spans="1:1" ht="15.75" customHeight="1" thickBot="1" x14ac:dyDescent="0.3">
      <c r="A883" s="9"/>
    </row>
    <row r="884" spans="1:1" ht="15.75" customHeight="1" thickBot="1" x14ac:dyDescent="0.3">
      <c r="A884" s="9"/>
    </row>
    <row r="885" spans="1:1" ht="15.75" customHeight="1" thickBot="1" x14ac:dyDescent="0.3">
      <c r="A885" s="9"/>
    </row>
    <row r="886" spans="1:1" ht="15.75" customHeight="1" thickBot="1" x14ac:dyDescent="0.3">
      <c r="A886" s="9"/>
    </row>
    <row r="887" spans="1:1" ht="15.75" customHeight="1" thickBot="1" x14ac:dyDescent="0.3">
      <c r="A887" s="9"/>
    </row>
    <row r="888" spans="1:1" ht="15.75" customHeight="1" thickBot="1" x14ac:dyDescent="0.3">
      <c r="A888" s="9"/>
    </row>
    <row r="889" spans="1:1" ht="15.75" customHeight="1" thickBot="1" x14ac:dyDescent="0.3">
      <c r="A889" s="9"/>
    </row>
    <row r="890" spans="1:1" ht="15.75" customHeight="1" thickBot="1" x14ac:dyDescent="0.3">
      <c r="A890" s="9"/>
    </row>
    <row r="891" spans="1:1" ht="15.75" customHeight="1" thickBot="1" x14ac:dyDescent="0.3">
      <c r="A891" s="9"/>
    </row>
    <row r="892" spans="1:1" ht="15.75" customHeight="1" thickBot="1" x14ac:dyDescent="0.3">
      <c r="A892" s="9"/>
    </row>
    <row r="893" spans="1:1" ht="15.75" customHeight="1" thickBot="1" x14ac:dyDescent="0.3">
      <c r="A893" s="9"/>
    </row>
    <row r="894" spans="1:1" ht="15.75" customHeight="1" thickBot="1" x14ac:dyDescent="0.3">
      <c r="A894" s="9"/>
    </row>
    <row r="895" spans="1:1" ht="15.75" customHeight="1" thickBot="1" x14ac:dyDescent="0.3">
      <c r="A895" s="9"/>
    </row>
    <row r="896" spans="1:1" ht="15.75" customHeight="1" thickBot="1" x14ac:dyDescent="0.3">
      <c r="A896" s="9"/>
    </row>
    <row r="897" spans="1:1" ht="15.75" customHeight="1" thickBot="1" x14ac:dyDescent="0.3">
      <c r="A897" s="9"/>
    </row>
    <row r="898" spans="1:1" ht="15.75" customHeight="1" thickBot="1" x14ac:dyDescent="0.3">
      <c r="A898" s="9"/>
    </row>
    <row r="899" spans="1:1" ht="15.75" customHeight="1" thickBot="1" x14ac:dyDescent="0.3">
      <c r="A899" s="9"/>
    </row>
    <row r="900" spans="1:1" ht="15.75" customHeight="1" thickBot="1" x14ac:dyDescent="0.3">
      <c r="A900" s="9"/>
    </row>
    <row r="901" spans="1:1" ht="15.75" customHeight="1" thickBot="1" x14ac:dyDescent="0.3">
      <c r="A901" s="9"/>
    </row>
    <row r="902" spans="1:1" ht="15.75" customHeight="1" thickBot="1" x14ac:dyDescent="0.3">
      <c r="A902" s="9"/>
    </row>
    <row r="903" spans="1:1" ht="15.75" customHeight="1" thickBot="1" x14ac:dyDescent="0.3">
      <c r="A903" s="9"/>
    </row>
    <row r="904" spans="1:1" ht="15.75" customHeight="1" thickBot="1" x14ac:dyDescent="0.3">
      <c r="A904" s="9"/>
    </row>
    <row r="905" spans="1:1" ht="15.75" customHeight="1" thickBot="1" x14ac:dyDescent="0.3">
      <c r="A905" s="9"/>
    </row>
    <row r="906" spans="1:1" ht="15.75" customHeight="1" thickBot="1" x14ac:dyDescent="0.3">
      <c r="A906" s="9"/>
    </row>
    <row r="907" spans="1:1" ht="15.75" customHeight="1" thickBot="1" x14ac:dyDescent="0.3">
      <c r="A907" s="9"/>
    </row>
    <row r="908" spans="1:1" ht="15.75" customHeight="1" thickBot="1" x14ac:dyDescent="0.3">
      <c r="A908" s="9"/>
    </row>
    <row r="909" spans="1:1" ht="15.75" customHeight="1" thickBot="1" x14ac:dyDescent="0.3">
      <c r="A909" s="9"/>
    </row>
    <row r="910" spans="1:1" ht="15.75" customHeight="1" thickBot="1" x14ac:dyDescent="0.3">
      <c r="A910" s="9"/>
    </row>
    <row r="911" spans="1:1" ht="15.75" customHeight="1" thickBot="1" x14ac:dyDescent="0.3">
      <c r="A911" s="9"/>
    </row>
    <row r="912" spans="1:1" ht="15.75" customHeight="1" thickBot="1" x14ac:dyDescent="0.3">
      <c r="A912" s="9"/>
    </row>
    <row r="913" spans="1:1" ht="15.75" customHeight="1" thickBot="1" x14ac:dyDescent="0.3">
      <c r="A913" s="9"/>
    </row>
    <row r="914" spans="1:1" ht="15.75" customHeight="1" thickBot="1" x14ac:dyDescent="0.3">
      <c r="A914" s="9"/>
    </row>
    <row r="915" spans="1:1" ht="15.75" customHeight="1" thickBot="1" x14ac:dyDescent="0.3">
      <c r="A915" s="9"/>
    </row>
    <row r="916" spans="1:1" ht="15.75" customHeight="1" thickBot="1" x14ac:dyDescent="0.3">
      <c r="A916" s="9"/>
    </row>
    <row r="917" spans="1:1" ht="15.75" customHeight="1" thickBot="1" x14ac:dyDescent="0.3">
      <c r="A917" s="9"/>
    </row>
    <row r="918" spans="1:1" ht="15.75" customHeight="1" thickBot="1" x14ac:dyDescent="0.3">
      <c r="A918" s="9"/>
    </row>
    <row r="919" spans="1:1" ht="15.75" customHeight="1" thickBot="1" x14ac:dyDescent="0.3">
      <c r="A919" s="9"/>
    </row>
    <row r="920" spans="1:1" ht="15.75" customHeight="1" thickBot="1" x14ac:dyDescent="0.3">
      <c r="A920" s="9"/>
    </row>
    <row r="921" spans="1:1" ht="15.75" customHeight="1" thickBot="1" x14ac:dyDescent="0.3">
      <c r="A921" s="9"/>
    </row>
    <row r="922" spans="1:1" ht="15.75" customHeight="1" thickBot="1" x14ac:dyDescent="0.3">
      <c r="A922" s="9"/>
    </row>
    <row r="923" spans="1:1" ht="15.75" customHeight="1" thickBot="1" x14ac:dyDescent="0.3">
      <c r="A923" s="9"/>
    </row>
    <row r="924" spans="1:1" ht="15.75" customHeight="1" thickBot="1" x14ac:dyDescent="0.3">
      <c r="A924" s="9"/>
    </row>
    <row r="925" spans="1:1" ht="15.75" customHeight="1" thickBot="1" x14ac:dyDescent="0.3">
      <c r="A925" s="9"/>
    </row>
    <row r="926" spans="1:1" ht="15.75" customHeight="1" thickBot="1" x14ac:dyDescent="0.3">
      <c r="A926" s="9"/>
    </row>
    <row r="927" spans="1:1" ht="15.75" customHeight="1" thickBot="1" x14ac:dyDescent="0.3">
      <c r="A927" s="9"/>
    </row>
    <row r="928" spans="1:1" ht="15.75" customHeight="1" thickBot="1" x14ac:dyDescent="0.3">
      <c r="A928" s="9"/>
    </row>
    <row r="929" spans="1:1" ht="15.75" customHeight="1" thickBot="1" x14ac:dyDescent="0.3">
      <c r="A929" s="9"/>
    </row>
    <row r="930" spans="1:1" ht="15.75" customHeight="1" thickBot="1" x14ac:dyDescent="0.3">
      <c r="A930" s="9"/>
    </row>
    <row r="931" spans="1:1" ht="15.75" customHeight="1" thickBot="1" x14ac:dyDescent="0.3">
      <c r="A931" s="9"/>
    </row>
    <row r="932" spans="1:1" ht="15.75" customHeight="1" thickBot="1" x14ac:dyDescent="0.3">
      <c r="A932" s="9"/>
    </row>
    <row r="933" spans="1:1" ht="15.75" customHeight="1" thickBot="1" x14ac:dyDescent="0.3">
      <c r="A933" s="9"/>
    </row>
    <row r="934" spans="1:1" ht="15.75" customHeight="1" thickBot="1" x14ac:dyDescent="0.3">
      <c r="A934" s="9"/>
    </row>
    <row r="935" spans="1:1" ht="15.75" customHeight="1" thickBot="1" x14ac:dyDescent="0.3">
      <c r="A935" s="9"/>
    </row>
    <row r="936" spans="1:1" ht="15.75" customHeight="1" thickBot="1" x14ac:dyDescent="0.3">
      <c r="A936" s="9"/>
    </row>
    <row r="937" spans="1:1" ht="15.75" customHeight="1" thickBot="1" x14ac:dyDescent="0.3">
      <c r="A937" s="9"/>
    </row>
    <row r="938" spans="1:1" ht="15.75" customHeight="1" thickBot="1" x14ac:dyDescent="0.3">
      <c r="A938" s="9"/>
    </row>
    <row r="939" spans="1:1" ht="15.75" customHeight="1" thickBot="1" x14ac:dyDescent="0.3">
      <c r="A939" s="9"/>
    </row>
    <row r="940" spans="1:1" ht="15.75" customHeight="1" thickBot="1" x14ac:dyDescent="0.3">
      <c r="A940" s="9"/>
    </row>
    <row r="941" spans="1:1" ht="15.75" customHeight="1" thickBot="1" x14ac:dyDescent="0.3">
      <c r="A941" s="9"/>
    </row>
    <row r="942" spans="1:1" ht="15.75" customHeight="1" thickBot="1" x14ac:dyDescent="0.3">
      <c r="A942" s="9"/>
    </row>
    <row r="943" spans="1:1" ht="15.75" customHeight="1" thickBot="1" x14ac:dyDescent="0.3">
      <c r="A943" s="9"/>
    </row>
    <row r="944" spans="1:1" ht="15.75" customHeight="1" thickBot="1" x14ac:dyDescent="0.3">
      <c r="A944" s="9"/>
    </row>
    <row r="945" spans="1:1" ht="15.75" customHeight="1" thickBot="1" x14ac:dyDescent="0.3">
      <c r="A945" s="9"/>
    </row>
    <row r="946" spans="1:1" ht="15.75" customHeight="1" thickBot="1" x14ac:dyDescent="0.3">
      <c r="A946" s="9"/>
    </row>
    <row r="947" spans="1:1" ht="15.75" customHeight="1" thickBot="1" x14ac:dyDescent="0.3">
      <c r="A947" s="9"/>
    </row>
    <row r="948" spans="1:1" ht="15.75" customHeight="1" thickBot="1" x14ac:dyDescent="0.3">
      <c r="A948" s="9"/>
    </row>
    <row r="949" spans="1:1" ht="15.75" customHeight="1" thickBot="1" x14ac:dyDescent="0.3">
      <c r="A949" s="9"/>
    </row>
    <row r="950" spans="1:1" ht="15.75" customHeight="1" thickBot="1" x14ac:dyDescent="0.3">
      <c r="A950" s="9"/>
    </row>
    <row r="951" spans="1:1" ht="15.75" customHeight="1" thickBot="1" x14ac:dyDescent="0.3">
      <c r="A951" s="9"/>
    </row>
    <row r="952" spans="1:1" ht="15.75" customHeight="1" thickBot="1" x14ac:dyDescent="0.3">
      <c r="A952" s="9"/>
    </row>
    <row r="953" spans="1:1" ht="15.75" customHeight="1" thickBot="1" x14ac:dyDescent="0.3">
      <c r="A953" s="9"/>
    </row>
    <row r="954" spans="1:1" ht="15.75" customHeight="1" thickBot="1" x14ac:dyDescent="0.3">
      <c r="A954" s="9"/>
    </row>
    <row r="955" spans="1:1" ht="15.75" customHeight="1" thickBot="1" x14ac:dyDescent="0.3">
      <c r="A955" s="9"/>
    </row>
    <row r="956" spans="1:1" ht="15.75" customHeight="1" thickBot="1" x14ac:dyDescent="0.3">
      <c r="A956" s="9"/>
    </row>
    <row r="957" spans="1:1" ht="15.75" customHeight="1" thickBot="1" x14ac:dyDescent="0.3">
      <c r="A957" s="9"/>
    </row>
    <row r="958" spans="1:1" ht="15.75" customHeight="1" thickBot="1" x14ac:dyDescent="0.3">
      <c r="A958" s="9"/>
    </row>
    <row r="959" spans="1:1" ht="15.75" customHeight="1" thickBot="1" x14ac:dyDescent="0.3">
      <c r="A959" s="9"/>
    </row>
    <row r="960" spans="1:1" ht="15.75" customHeight="1" thickBot="1" x14ac:dyDescent="0.3">
      <c r="A960" s="9"/>
    </row>
    <row r="961" spans="1:1" ht="15.75" customHeight="1" thickBot="1" x14ac:dyDescent="0.3">
      <c r="A961" s="9"/>
    </row>
    <row r="962" spans="1:1" ht="15.75" customHeight="1" thickBot="1" x14ac:dyDescent="0.3">
      <c r="A962" s="9"/>
    </row>
    <row r="963" spans="1:1" ht="15.75" customHeight="1" thickBot="1" x14ac:dyDescent="0.3">
      <c r="A963" s="9"/>
    </row>
    <row r="964" spans="1:1" ht="15.75" customHeight="1" thickBot="1" x14ac:dyDescent="0.3">
      <c r="A964" s="9"/>
    </row>
    <row r="965" spans="1:1" ht="15.75" customHeight="1" thickBot="1" x14ac:dyDescent="0.3">
      <c r="A965" s="9"/>
    </row>
    <row r="966" spans="1:1" ht="15.75" customHeight="1" thickBot="1" x14ac:dyDescent="0.3">
      <c r="A966" s="9"/>
    </row>
    <row r="967" spans="1:1" ht="15.75" customHeight="1" thickBot="1" x14ac:dyDescent="0.3">
      <c r="A967" s="9"/>
    </row>
    <row r="968" spans="1:1" ht="15.75" customHeight="1" thickBot="1" x14ac:dyDescent="0.3">
      <c r="A968" s="9"/>
    </row>
    <row r="969" spans="1:1" ht="15.75" customHeight="1" thickBot="1" x14ac:dyDescent="0.3">
      <c r="A969" s="9"/>
    </row>
    <row r="970" spans="1:1" ht="15.75" customHeight="1" thickBot="1" x14ac:dyDescent="0.3">
      <c r="A970" s="9"/>
    </row>
    <row r="971" spans="1:1" ht="15.75" customHeight="1" thickBot="1" x14ac:dyDescent="0.3">
      <c r="A971" s="9"/>
    </row>
    <row r="972" spans="1:1" ht="15.75" customHeight="1" thickBot="1" x14ac:dyDescent="0.3">
      <c r="A972" s="9"/>
    </row>
    <row r="973" spans="1:1" ht="15.75" customHeight="1" thickBot="1" x14ac:dyDescent="0.3">
      <c r="A973" s="9"/>
    </row>
    <row r="974" spans="1:1" ht="15.75" customHeight="1" thickBot="1" x14ac:dyDescent="0.3">
      <c r="A974" s="9"/>
    </row>
    <row r="975" spans="1:1" ht="15.75" customHeight="1" thickBot="1" x14ac:dyDescent="0.3">
      <c r="A975" s="9"/>
    </row>
    <row r="976" spans="1:1" ht="15.75" customHeight="1" thickBot="1" x14ac:dyDescent="0.3">
      <c r="A976" s="9"/>
    </row>
    <row r="977" spans="1:1" ht="15.75" customHeight="1" thickBot="1" x14ac:dyDescent="0.3">
      <c r="A977" s="9"/>
    </row>
    <row r="978" spans="1:1" ht="15.75" customHeight="1" thickBot="1" x14ac:dyDescent="0.3">
      <c r="A978" s="9"/>
    </row>
    <row r="979" spans="1:1" ht="15.75" customHeight="1" thickBot="1" x14ac:dyDescent="0.3">
      <c r="A979" s="9"/>
    </row>
    <row r="980" spans="1:1" ht="15.75" customHeight="1" thickBot="1" x14ac:dyDescent="0.3">
      <c r="A980" s="9"/>
    </row>
    <row r="981" spans="1:1" ht="15.75" customHeight="1" thickBot="1" x14ac:dyDescent="0.3">
      <c r="A981" s="9"/>
    </row>
    <row r="982" spans="1:1" ht="15.75" customHeight="1" thickBot="1" x14ac:dyDescent="0.3">
      <c r="A982" s="9"/>
    </row>
    <row r="983" spans="1:1" ht="15.75" customHeight="1" thickBot="1" x14ac:dyDescent="0.3">
      <c r="A983" s="9"/>
    </row>
    <row r="984" spans="1:1" ht="15.75" customHeight="1" thickBot="1" x14ac:dyDescent="0.3">
      <c r="A984" s="9"/>
    </row>
    <row r="985" spans="1:1" ht="15.75" customHeight="1" thickBot="1" x14ac:dyDescent="0.3">
      <c r="A985" s="9"/>
    </row>
    <row r="986" spans="1:1" ht="15.75" customHeight="1" thickBot="1" x14ac:dyDescent="0.3">
      <c r="A986" s="9"/>
    </row>
    <row r="987" spans="1:1" ht="15.75" customHeight="1" thickBot="1" x14ac:dyDescent="0.3">
      <c r="A987" s="9"/>
    </row>
    <row r="988" spans="1:1" ht="15.75" customHeight="1" thickBot="1" x14ac:dyDescent="0.3">
      <c r="A988" s="9"/>
    </row>
    <row r="989" spans="1:1" ht="15.75" customHeight="1" thickBot="1" x14ac:dyDescent="0.3">
      <c r="A989" s="9"/>
    </row>
    <row r="990" spans="1:1" ht="15.75" customHeight="1" thickBot="1" x14ac:dyDescent="0.3">
      <c r="A990" s="9"/>
    </row>
    <row r="991" spans="1:1" ht="15.75" customHeight="1" thickBot="1" x14ac:dyDescent="0.3">
      <c r="A991" s="9"/>
    </row>
    <row r="992" spans="1:1" ht="15.75" customHeight="1" thickBot="1" x14ac:dyDescent="0.3">
      <c r="A992" s="9"/>
    </row>
    <row r="993" spans="1:1" ht="15.75" customHeight="1" thickBot="1" x14ac:dyDescent="0.3">
      <c r="A993" s="9"/>
    </row>
    <row r="994" spans="1:1" ht="15.75" customHeight="1" thickBot="1" x14ac:dyDescent="0.3">
      <c r="A994" s="9"/>
    </row>
    <row r="995" spans="1:1" ht="15.75" customHeight="1" thickBot="1" x14ac:dyDescent="0.3">
      <c r="A995" s="9"/>
    </row>
    <row r="996" spans="1:1" ht="15.75" customHeight="1" thickBot="1" x14ac:dyDescent="0.3">
      <c r="A996" s="9"/>
    </row>
    <row r="997" spans="1:1" ht="15.75" customHeight="1" thickBot="1" x14ac:dyDescent="0.3">
      <c r="A997" s="9"/>
    </row>
    <row r="998" spans="1:1" ht="15.75" customHeight="1" thickBot="1" x14ac:dyDescent="0.3">
      <c r="A998" s="9"/>
    </row>
    <row r="999" spans="1:1" ht="15.75" customHeight="1" thickBot="1" x14ac:dyDescent="0.3">
      <c r="A999" s="9"/>
    </row>
    <row r="1000" spans="1:1" ht="15.75" customHeight="1" thickBot="1" x14ac:dyDescent="0.3">
      <c r="A1000" s="9"/>
    </row>
    <row r="1001" spans="1:1" ht="15.75" customHeight="1" thickBot="1" x14ac:dyDescent="0.3">
      <c r="A1001" s="9"/>
    </row>
    <row r="1002" spans="1:1" ht="15.75" customHeight="1" thickBot="1" x14ac:dyDescent="0.3">
      <c r="A1002" s="9"/>
    </row>
    <row r="1003" spans="1:1" ht="15.75" customHeight="1" thickBot="1" x14ac:dyDescent="0.3">
      <c r="A1003" s="9"/>
    </row>
    <row r="1004" spans="1:1" ht="15.75" customHeight="1" thickBot="1" x14ac:dyDescent="0.3">
      <c r="A1004" s="9"/>
    </row>
    <row r="1005" spans="1:1" ht="15.75" customHeight="1" thickBot="1" x14ac:dyDescent="0.3">
      <c r="A1005" s="9"/>
    </row>
    <row r="1006" spans="1:1" ht="15.75" customHeight="1" thickBot="1" x14ac:dyDescent="0.3">
      <c r="A1006" s="9"/>
    </row>
    <row r="1007" spans="1:1" ht="15.75" customHeight="1" thickBot="1" x14ac:dyDescent="0.3">
      <c r="A1007" s="9"/>
    </row>
    <row r="1008" spans="1:1" ht="15.75" customHeight="1" thickBot="1" x14ac:dyDescent="0.3">
      <c r="A1008" s="9"/>
    </row>
    <row r="1009" spans="1:1" ht="15.75" customHeight="1" thickBot="1" x14ac:dyDescent="0.3">
      <c r="A1009" s="9"/>
    </row>
    <row r="1010" spans="1:1" ht="15.75" customHeight="1" thickBot="1" x14ac:dyDescent="0.3">
      <c r="A1010" s="9"/>
    </row>
    <row r="1011" spans="1:1" ht="15.75" customHeight="1" thickBot="1" x14ac:dyDescent="0.3">
      <c r="A1011" s="9"/>
    </row>
    <row r="1012" spans="1:1" ht="15.75" customHeight="1" thickBot="1" x14ac:dyDescent="0.3">
      <c r="A1012" s="9"/>
    </row>
    <row r="1013" spans="1:1" ht="15.75" customHeight="1" thickBot="1" x14ac:dyDescent="0.3">
      <c r="A1013" s="9"/>
    </row>
    <row r="1014" spans="1:1" ht="15.75" customHeight="1" thickBot="1" x14ac:dyDescent="0.3">
      <c r="A1014" s="9"/>
    </row>
    <row r="1015" spans="1:1" ht="15.75" customHeight="1" thickBot="1" x14ac:dyDescent="0.3">
      <c r="A1015" s="9"/>
    </row>
    <row r="1016" spans="1:1" ht="15.75" customHeight="1" thickBot="1" x14ac:dyDescent="0.3">
      <c r="A1016" s="9"/>
    </row>
    <row r="1017" spans="1:1" ht="15.75" customHeight="1" thickBot="1" x14ac:dyDescent="0.3">
      <c r="A1017" s="9"/>
    </row>
    <row r="1018" spans="1:1" ht="15.75" customHeight="1" thickBot="1" x14ac:dyDescent="0.3">
      <c r="A1018" s="9"/>
    </row>
    <row r="1019" spans="1:1" ht="15.75" customHeight="1" thickBot="1" x14ac:dyDescent="0.3">
      <c r="A1019" s="9"/>
    </row>
    <row r="1020" spans="1:1" ht="15.75" customHeight="1" thickBot="1" x14ac:dyDescent="0.3">
      <c r="A1020" s="9"/>
    </row>
    <row r="1021" spans="1:1" ht="15.75" customHeight="1" thickBot="1" x14ac:dyDescent="0.3">
      <c r="A1021" s="9"/>
    </row>
    <row r="1022" spans="1:1" ht="15.75" customHeight="1" thickBot="1" x14ac:dyDescent="0.3">
      <c r="A1022" s="9"/>
    </row>
    <row r="1023" spans="1:1" ht="15.75" customHeight="1" thickBot="1" x14ac:dyDescent="0.3">
      <c r="A1023" s="9"/>
    </row>
    <row r="1024" spans="1:1" ht="15.75" customHeight="1" thickBot="1" x14ac:dyDescent="0.3">
      <c r="A1024" s="9"/>
    </row>
    <row r="1025" spans="1:1" ht="15.75" customHeight="1" thickBot="1" x14ac:dyDescent="0.3">
      <c r="A1025" s="9"/>
    </row>
    <row r="1026" spans="1:1" ht="15.75" customHeight="1" thickBot="1" x14ac:dyDescent="0.3">
      <c r="A1026" s="9"/>
    </row>
    <row r="1027" spans="1:1" ht="15.75" customHeight="1" thickBot="1" x14ac:dyDescent="0.3">
      <c r="A1027" s="9"/>
    </row>
    <row r="1028" spans="1:1" ht="15.75" customHeight="1" thickBot="1" x14ac:dyDescent="0.3">
      <c r="A1028" s="9"/>
    </row>
    <row r="1029" spans="1:1" ht="15.75" customHeight="1" thickBot="1" x14ac:dyDescent="0.3">
      <c r="A1029" s="9"/>
    </row>
    <row r="1030" spans="1:1" ht="15.75" customHeight="1" thickBot="1" x14ac:dyDescent="0.3">
      <c r="A1030" s="9"/>
    </row>
    <row r="1031" spans="1:1" ht="15.75" customHeight="1" thickBot="1" x14ac:dyDescent="0.3">
      <c r="A1031" s="9"/>
    </row>
    <row r="1032" spans="1:1" ht="15.75" customHeight="1" thickBot="1" x14ac:dyDescent="0.3">
      <c r="A1032" s="9"/>
    </row>
    <row r="1033" spans="1:1" ht="15.75" customHeight="1" thickBot="1" x14ac:dyDescent="0.3">
      <c r="A1033" s="9"/>
    </row>
    <row r="1034" spans="1:1" ht="15.75" customHeight="1" thickBot="1" x14ac:dyDescent="0.3">
      <c r="A1034" s="9"/>
    </row>
    <row r="1035" spans="1:1" ht="15.75" customHeight="1" thickBot="1" x14ac:dyDescent="0.3">
      <c r="A1035" s="9"/>
    </row>
    <row r="1036" spans="1:1" ht="15.75" customHeight="1" thickBot="1" x14ac:dyDescent="0.3">
      <c r="A1036" s="9"/>
    </row>
    <row r="1037" spans="1:1" ht="15.75" customHeight="1" thickBot="1" x14ac:dyDescent="0.3">
      <c r="A1037" s="9"/>
    </row>
    <row r="1038" spans="1:1" ht="15.75" customHeight="1" thickBot="1" x14ac:dyDescent="0.3">
      <c r="A1038" s="9"/>
    </row>
    <row r="1039" spans="1:1" ht="15.75" customHeight="1" thickBot="1" x14ac:dyDescent="0.3">
      <c r="A1039" s="9"/>
    </row>
    <row r="1040" spans="1:1" ht="15.75" customHeight="1" thickBot="1" x14ac:dyDescent="0.3">
      <c r="A1040" s="9"/>
    </row>
    <row r="1041" spans="1:1" ht="15.75" customHeight="1" thickBot="1" x14ac:dyDescent="0.3">
      <c r="A1041" s="9"/>
    </row>
    <row r="1042" spans="1:1" ht="15.75" customHeight="1" thickBot="1" x14ac:dyDescent="0.3">
      <c r="A1042" s="9"/>
    </row>
    <row r="1043" spans="1:1" ht="15.75" customHeight="1" thickBot="1" x14ac:dyDescent="0.3">
      <c r="A1043" s="9"/>
    </row>
    <row r="1044" spans="1:1" ht="15.75" customHeight="1" thickBot="1" x14ac:dyDescent="0.3">
      <c r="A1044" s="9"/>
    </row>
    <row r="1045" spans="1:1" ht="15.75" customHeight="1" thickBot="1" x14ac:dyDescent="0.3">
      <c r="A1045" s="9"/>
    </row>
    <row r="1046" spans="1:1" ht="15.75" customHeight="1" thickBot="1" x14ac:dyDescent="0.3">
      <c r="A1046" s="9"/>
    </row>
    <row r="1047" spans="1:1" ht="15.75" customHeight="1" thickBot="1" x14ac:dyDescent="0.3">
      <c r="A1047" s="9"/>
    </row>
    <row r="1048" spans="1:1" ht="15.75" customHeight="1" thickBot="1" x14ac:dyDescent="0.3">
      <c r="A1048" s="9"/>
    </row>
    <row r="1049" spans="1:1" ht="15.75" customHeight="1" thickBot="1" x14ac:dyDescent="0.3">
      <c r="A1049" s="9"/>
    </row>
    <row r="1050" spans="1:1" ht="15.75" customHeight="1" thickBot="1" x14ac:dyDescent="0.3">
      <c r="A1050" s="9"/>
    </row>
    <row r="1051" spans="1:1" ht="15.75" customHeight="1" thickBot="1" x14ac:dyDescent="0.3">
      <c r="A1051" s="9"/>
    </row>
    <row r="1052" spans="1:1" ht="15.75" customHeight="1" thickBot="1" x14ac:dyDescent="0.3">
      <c r="A1052" s="9"/>
    </row>
    <row r="1053" spans="1:1" ht="15.75" customHeight="1" thickBot="1" x14ac:dyDescent="0.3">
      <c r="A1053" s="9"/>
    </row>
    <row r="1054" spans="1:1" ht="15.75" customHeight="1" thickBot="1" x14ac:dyDescent="0.3">
      <c r="A1054" s="9"/>
    </row>
    <row r="1055" spans="1:1" ht="15.75" customHeight="1" thickBot="1" x14ac:dyDescent="0.3">
      <c r="A1055" s="9"/>
    </row>
    <row r="1056" spans="1:1" ht="15.75" customHeight="1" thickBot="1" x14ac:dyDescent="0.3">
      <c r="A1056" s="9"/>
    </row>
    <row r="1057" spans="1:1" ht="15.75" customHeight="1" thickBot="1" x14ac:dyDescent="0.3">
      <c r="A1057" s="9"/>
    </row>
    <row r="1058" spans="1:1" ht="15.75" customHeight="1" thickBot="1" x14ac:dyDescent="0.3">
      <c r="A1058" s="9"/>
    </row>
    <row r="1059" spans="1:1" ht="15.75" customHeight="1" thickBot="1" x14ac:dyDescent="0.3">
      <c r="A1059" s="9"/>
    </row>
    <row r="1060" spans="1:1" ht="15.75" customHeight="1" thickBot="1" x14ac:dyDescent="0.3">
      <c r="A1060" s="9"/>
    </row>
    <row r="1061" spans="1:1" ht="15.75" customHeight="1" thickBot="1" x14ac:dyDescent="0.3">
      <c r="A1061" s="9"/>
    </row>
    <row r="1062" spans="1:1" ht="15.75" customHeight="1" thickBot="1" x14ac:dyDescent="0.3">
      <c r="A1062" s="9"/>
    </row>
    <row r="1063" spans="1:1" ht="15.75" customHeight="1" thickBot="1" x14ac:dyDescent="0.3">
      <c r="A1063" s="9"/>
    </row>
    <row r="1064" spans="1:1" ht="15.75" customHeight="1" thickBot="1" x14ac:dyDescent="0.3">
      <c r="A1064" s="9"/>
    </row>
    <row r="1065" spans="1:1" ht="15.75" customHeight="1" thickBot="1" x14ac:dyDescent="0.3">
      <c r="A1065" s="9"/>
    </row>
    <row r="1066" spans="1:1" ht="15.75" customHeight="1" thickBot="1" x14ac:dyDescent="0.3">
      <c r="A1066" s="9"/>
    </row>
    <row r="1067" spans="1:1" ht="15.75" customHeight="1" thickBot="1" x14ac:dyDescent="0.3">
      <c r="A1067" s="9"/>
    </row>
    <row r="1068" spans="1:1" ht="15.75" customHeight="1" thickBot="1" x14ac:dyDescent="0.3">
      <c r="A1068" s="9"/>
    </row>
    <row r="1069" spans="1:1" ht="15.75" customHeight="1" thickBot="1" x14ac:dyDescent="0.3">
      <c r="A1069" s="9"/>
    </row>
    <row r="1070" spans="1:1" ht="15.75" customHeight="1" thickBot="1" x14ac:dyDescent="0.3">
      <c r="A1070" s="9"/>
    </row>
    <row r="1071" spans="1:1" ht="15.75" customHeight="1" thickBot="1" x14ac:dyDescent="0.3">
      <c r="A1071" s="9"/>
    </row>
    <row r="1072" spans="1:1" ht="15.75" customHeight="1" thickBot="1" x14ac:dyDescent="0.3">
      <c r="A1072" s="9"/>
    </row>
    <row r="1073" spans="1:1" ht="15.75" customHeight="1" thickBot="1" x14ac:dyDescent="0.3">
      <c r="A1073" s="9"/>
    </row>
    <row r="1074" spans="1:1" ht="15.75" customHeight="1" thickBot="1" x14ac:dyDescent="0.3">
      <c r="A1074" s="9"/>
    </row>
    <row r="1075" spans="1:1" ht="15.75" customHeight="1" thickBot="1" x14ac:dyDescent="0.3">
      <c r="A1075" s="9"/>
    </row>
    <row r="1076" spans="1:1" ht="15.75" customHeight="1" thickBot="1" x14ac:dyDescent="0.3">
      <c r="A1076" s="9"/>
    </row>
    <row r="1077" spans="1:1" ht="15.75" customHeight="1" thickBot="1" x14ac:dyDescent="0.3">
      <c r="A1077" s="9"/>
    </row>
    <row r="1078" spans="1:1" ht="15.75" customHeight="1" thickBot="1" x14ac:dyDescent="0.3">
      <c r="A1078" s="9"/>
    </row>
    <row r="1079" spans="1:1" ht="15.75" customHeight="1" thickBot="1" x14ac:dyDescent="0.3">
      <c r="A1079" s="9"/>
    </row>
    <row r="1080" spans="1:1" ht="15.75" customHeight="1" thickBot="1" x14ac:dyDescent="0.3">
      <c r="A1080" s="9"/>
    </row>
    <row r="1081" spans="1:1" ht="15.75" customHeight="1" thickBot="1" x14ac:dyDescent="0.3">
      <c r="A1081" s="9"/>
    </row>
    <row r="1082" spans="1:1" ht="15.75" customHeight="1" thickBot="1" x14ac:dyDescent="0.3">
      <c r="A1082" s="9"/>
    </row>
    <row r="1083" spans="1:1" ht="15.75" customHeight="1" thickBot="1" x14ac:dyDescent="0.3">
      <c r="A1083" s="9"/>
    </row>
    <row r="1084" spans="1:1" ht="15.75" customHeight="1" thickBot="1" x14ac:dyDescent="0.3">
      <c r="A1084" s="9"/>
    </row>
    <row r="1085" spans="1:1" ht="15.75" customHeight="1" thickBot="1" x14ac:dyDescent="0.3">
      <c r="A1085" s="9"/>
    </row>
    <row r="1086" spans="1:1" ht="15.75" customHeight="1" thickBot="1" x14ac:dyDescent="0.3">
      <c r="A1086" s="9"/>
    </row>
    <row r="1087" spans="1:1" ht="15.75" customHeight="1" thickBot="1" x14ac:dyDescent="0.3">
      <c r="A1087" s="9"/>
    </row>
    <row r="1088" spans="1:1" ht="15.75" customHeight="1" thickBot="1" x14ac:dyDescent="0.3">
      <c r="A1088" s="9"/>
    </row>
    <row r="1089" spans="1:1" ht="15.75" customHeight="1" thickBot="1" x14ac:dyDescent="0.3">
      <c r="A1089" s="9"/>
    </row>
    <row r="1090" spans="1:1" ht="15.75" customHeight="1" thickBot="1" x14ac:dyDescent="0.3">
      <c r="A1090" s="9"/>
    </row>
    <row r="1091" spans="1:1" ht="15.75" customHeight="1" thickBot="1" x14ac:dyDescent="0.3">
      <c r="A1091" s="9"/>
    </row>
    <row r="1092" spans="1:1" ht="15.75" customHeight="1" thickBot="1" x14ac:dyDescent="0.3">
      <c r="A1092" s="9"/>
    </row>
    <row r="1093" spans="1:1" ht="15.75" customHeight="1" thickBot="1" x14ac:dyDescent="0.3">
      <c r="A1093" s="9"/>
    </row>
    <row r="1094" spans="1:1" ht="15.75" customHeight="1" thickBot="1" x14ac:dyDescent="0.3">
      <c r="A1094" s="9"/>
    </row>
    <row r="1095" spans="1:1" ht="15.75" customHeight="1" thickBot="1" x14ac:dyDescent="0.3">
      <c r="A1095" s="9"/>
    </row>
    <row r="1096" spans="1:1" ht="15.75" customHeight="1" thickBot="1" x14ac:dyDescent="0.3">
      <c r="A1096" s="9"/>
    </row>
    <row r="1097" spans="1:1" ht="15.75" customHeight="1" thickBot="1" x14ac:dyDescent="0.3">
      <c r="A1097" s="9"/>
    </row>
    <row r="1098" spans="1:1" ht="15.75" customHeight="1" thickBot="1" x14ac:dyDescent="0.3">
      <c r="A1098" s="9"/>
    </row>
    <row r="1099" spans="1:1" ht="15.75" customHeight="1" thickBot="1" x14ac:dyDescent="0.3">
      <c r="A1099" s="9"/>
    </row>
    <row r="1100" spans="1:1" ht="15.75" customHeight="1" thickBot="1" x14ac:dyDescent="0.3">
      <c r="A1100" s="9"/>
    </row>
    <row r="1101" spans="1:1" ht="15.75" customHeight="1" thickBot="1" x14ac:dyDescent="0.3">
      <c r="A1101" s="9"/>
    </row>
    <row r="1102" spans="1:1" ht="15.75" customHeight="1" thickBot="1" x14ac:dyDescent="0.3">
      <c r="A1102" s="9"/>
    </row>
    <row r="1103" spans="1:1" ht="15.75" customHeight="1" thickBot="1" x14ac:dyDescent="0.3">
      <c r="A1103" s="9"/>
    </row>
    <row r="1104" spans="1:1" ht="15.75" customHeight="1" thickBot="1" x14ac:dyDescent="0.3">
      <c r="A1104" s="9"/>
    </row>
    <row r="1105" spans="1:1" ht="15.75" customHeight="1" thickBot="1" x14ac:dyDescent="0.3">
      <c r="A1105" s="9"/>
    </row>
    <row r="1106" spans="1:1" ht="15.75" customHeight="1" thickBot="1" x14ac:dyDescent="0.3">
      <c r="A1106" s="9"/>
    </row>
    <row r="1107" spans="1:1" ht="15.75" customHeight="1" thickBot="1" x14ac:dyDescent="0.3">
      <c r="A1107" s="9"/>
    </row>
    <row r="1108" spans="1:1" ht="15.75" customHeight="1" thickBot="1" x14ac:dyDescent="0.3">
      <c r="A1108" s="9"/>
    </row>
    <row r="1109" spans="1:1" ht="15.75" customHeight="1" thickBot="1" x14ac:dyDescent="0.3">
      <c r="A1109" s="9"/>
    </row>
    <row r="1110" spans="1:1" ht="15.75" customHeight="1" thickBot="1" x14ac:dyDescent="0.3">
      <c r="A1110" s="9"/>
    </row>
    <row r="1111" spans="1:1" ht="15.75" customHeight="1" thickBot="1" x14ac:dyDescent="0.3">
      <c r="A1111" s="9"/>
    </row>
    <row r="1112" spans="1:1" ht="15.75" customHeight="1" thickBot="1" x14ac:dyDescent="0.3">
      <c r="A1112" s="9"/>
    </row>
    <row r="1113" spans="1:1" ht="15.75" customHeight="1" thickBot="1" x14ac:dyDescent="0.3">
      <c r="A1113" s="9"/>
    </row>
    <row r="1114" spans="1:1" ht="15.75" customHeight="1" thickBot="1" x14ac:dyDescent="0.3">
      <c r="A1114" s="9"/>
    </row>
    <row r="1115" spans="1:1" ht="15.75" customHeight="1" thickBot="1" x14ac:dyDescent="0.3">
      <c r="A1115" s="9"/>
    </row>
    <row r="1116" spans="1:1" ht="15.75" customHeight="1" thickBot="1" x14ac:dyDescent="0.3">
      <c r="A1116" s="9"/>
    </row>
    <row r="1117" spans="1:1" ht="15.75" customHeight="1" thickBot="1" x14ac:dyDescent="0.3">
      <c r="A1117" s="9"/>
    </row>
    <row r="1118" spans="1:1" ht="15.75" customHeight="1" thickBot="1" x14ac:dyDescent="0.3">
      <c r="A1118" s="9"/>
    </row>
    <row r="1119" spans="1:1" ht="15.75" customHeight="1" thickBot="1" x14ac:dyDescent="0.3">
      <c r="A1119" s="9"/>
    </row>
    <row r="1120" spans="1:1" ht="15.75" customHeight="1" thickBot="1" x14ac:dyDescent="0.3">
      <c r="A1120" s="9"/>
    </row>
    <row r="1121" spans="1:1" ht="15.75" customHeight="1" thickBot="1" x14ac:dyDescent="0.3">
      <c r="A1121" s="9"/>
    </row>
    <row r="1122" spans="1:1" ht="15.75" customHeight="1" thickBot="1" x14ac:dyDescent="0.3">
      <c r="A1122" s="9"/>
    </row>
    <row r="1123" spans="1:1" ht="15.75" customHeight="1" thickBot="1" x14ac:dyDescent="0.3">
      <c r="A1123" s="9"/>
    </row>
    <row r="1124" spans="1:1" ht="15.75" customHeight="1" thickBot="1" x14ac:dyDescent="0.3">
      <c r="A1124" s="9"/>
    </row>
    <row r="1125" spans="1:1" ht="15.75" customHeight="1" thickBot="1" x14ac:dyDescent="0.3">
      <c r="A1125" s="9"/>
    </row>
    <row r="1126" spans="1:1" ht="15.75" customHeight="1" thickBot="1" x14ac:dyDescent="0.3">
      <c r="A1126" s="9"/>
    </row>
    <row r="1127" spans="1:1" ht="15.75" customHeight="1" thickBot="1" x14ac:dyDescent="0.3">
      <c r="A1127" s="9"/>
    </row>
    <row r="1128" spans="1:1" ht="15.75" customHeight="1" thickBot="1" x14ac:dyDescent="0.3">
      <c r="A1128" s="9"/>
    </row>
    <row r="1129" spans="1:1" ht="15.75" customHeight="1" thickBot="1" x14ac:dyDescent="0.3">
      <c r="A1129" s="9"/>
    </row>
    <row r="1130" spans="1:1" ht="15.75" customHeight="1" thickBot="1" x14ac:dyDescent="0.3">
      <c r="A1130" s="9"/>
    </row>
    <row r="1131" spans="1:1" ht="15.75" customHeight="1" thickBot="1" x14ac:dyDescent="0.3">
      <c r="A1131" s="9"/>
    </row>
    <row r="1132" spans="1:1" ht="15.75" customHeight="1" thickBot="1" x14ac:dyDescent="0.3">
      <c r="A1132" s="9"/>
    </row>
    <row r="1133" spans="1:1" ht="15.75" customHeight="1" thickBot="1" x14ac:dyDescent="0.3">
      <c r="A1133" s="9"/>
    </row>
    <row r="1134" spans="1:1" ht="15.75" customHeight="1" thickBot="1" x14ac:dyDescent="0.3">
      <c r="A1134" s="9"/>
    </row>
    <row r="1135" spans="1:1" ht="15.75" customHeight="1" thickBot="1" x14ac:dyDescent="0.3">
      <c r="A1135" s="9"/>
    </row>
    <row r="1136" spans="1:1" ht="15.75" customHeight="1" thickBot="1" x14ac:dyDescent="0.3">
      <c r="A1136" s="9"/>
    </row>
    <row r="1137" spans="1:1" ht="15.75" customHeight="1" thickBot="1" x14ac:dyDescent="0.3">
      <c r="A1137" s="9"/>
    </row>
    <row r="1138" spans="1:1" ht="15.75" customHeight="1" thickBot="1" x14ac:dyDescent="0.3">
      <c r="A1138" s="9"/>
    </row>
    <row r="1139" spans="1:1" ht="15.75" customHeight="1" thickBot="1" x14ac:dyDescent="0.3">
      <c r="A1139" s="9"/>
    </row>
    <row r="1140" spans="1:1" ht="15.75" customHeight="1" thickBot="1" x14ac:dyDescent="0.3">
      <c r="A1140" s="9"/>
    </row>
    <row r="1141" spans="1:1" ht="15.75" customHeight="1" thickBot="1" x14ac:dyDescent="0.3">
      <c r="A1141" s="9"/>
    </row>
    <row r="1142" spans="1:1" ht="15.75" customHeight="1" thickBot="1" x14ac:dyDescent="0.3">
      <c r="A1142" s="9"/>
    </row>
    <row r="1143" spans="1:1" ht="15.75" customHeight="1" thickBot="1" x14ac:dyDescent="0.3">
      <c r="A1143" s="9"/>
    </row>
    <row r="1144" spans="1:1" ht="15.75" customHeight="1" thickBot="1" x14ac:dyDescent="0.3">
      <c r="A1144" s="9"/>
    </row>
    <row r="1145" spans="1:1" ht="15.75" customHeight="1" thickBot="1" x14ac:dyDescent="0.3">
      <c r="A1145" s="9"/>
    </row>
    <row r="1146" spans="1:1" ht="15.75" customHeight="1" thickBot="1" x14ac:dyDescent="0.3">
      <c r="A1146" s="9"/>
    </row>
    <row r="1147" spans="1:1" ht="15.75" customHeight="1" thickBot="1" x14ac:dyDescent="0.3">
      <c r="A1147" s="9"/>
    </row>
    <row r="1148" spans="1:1" ht="15.75" customHeight="1" thickBot="1" x14ac:dyDescent="0.3">
      <c r="A1148" s="9"/>
    </row>
    <row r="1149" spans="1:1" ht="15.75" customHeight="1" thickBot="1" x14ac:dyDescent="0.3">
      <c r="A1149" s="9"/>
    </row>
    <row r="1150" spans="1:1" ht="15.75" customHeight="1" thickBot="1" x14ac:dyDescent="0.3">
      <c r="A1150" s="9"/>
    </row>
    <row r="1151" spans="1:1" ht="15.75" customHeight="1" thickBot="1" x14ac:dyDescent="0.3">
      <c r="A1151" s="9"/>
    </row>
    <row r="1152" spans="1:1" ht="15.75" customHeight="1" thickBot="1" x14ac:dyDescent="0.3">
      <c r="A1152" s="9"/>
    </row>
    <row r="1153" spans="1:1" ht="15.75" customHeight="1" thickBot="1" x14ac:dyDescent="0.3">
      <c r="A1153" s="9"/>
    </row>
    <row r="1154" spans="1:1" ht="15.75" customHeight="1" thickBot="1" x14ac:dyDescent="0.3">
      <c r="A1154" s="9"/>
    </row>
    <row r="1155" spans="1:1" ht="15.75" customHeight="1" thickBot="1" x14ac:dyDescent="0.3">
      <c r="A1155" s="9"/>
    </row>
    <row r="1156" spans="1:1" ht="15.75" customHeight="1" thickBot="1" x14ac:dyDescent="0.3">
      <c r="A1156" s="9"/>
    </row>
    <row r="1157" spans="1:1" ht="15.75" customHeight="1" thickBot="1" x14ac:dyDescent="0.3">
      <c r="A1157" s="9"/>
    </row>
    <row r="1158" spans="1:1" ht="15.75" customHeight="1" thickBot="1" x14ac:dyDescent="0.3">
      <c r="A1158" s="9"/>
    </row>
    <row r="1159" spans="1:1" ht="15.75" customHeight="1" thickBot="1" x14ac:dyDescent="0.3">
      <c r="A1159" s="9"/>
    </row>
    <row r="1160" spans="1:1" ht="15.75" customHeight="1" thickBot="1" x14ac:dyDescent="0.3">
      <c r="A1160" s="9"/>
    </row>
    <row r="1161" spans="1:1" ht="15.75" customHeight="1" thickBot="1" x14ac:dyDescent="0.3">
      <c r="A1161" s="9"/>
    </row>
    <row r="1162" spans="1:1" ht="15.75" customHeight="1" thickBot="1" x14ac:dyDescent="0.3">
      <c r="A1162" s="9"/>
    </row>
    <row r="1163" spans="1:1" ht="15.75" customHeight="1" thickBot="1" x14ac:dyDescent="0.3">
      <c r="A1163" s="9"/>
    </row>
    <row r="1164" spans="1:1" ht="15.75" customHeight="1" thickBot="1" x14ac:dyDescent="0.3">
      <c r="A1164" s="9"/>
    </row>
    <row r="1165" spans="1:1" ht="15.75" customHeight="1" thickBot="1" x14ac:dyDescent="0.3">
      <c r="A1165" s="9"/>
    </row>
    <row r="1166" spans="1:1" ht="15.75" customHeight="1" thickBot="1" x14ac:dyDescent="0.3">
      <c r="A1166" s="9"/>
    </row>
    <row r="1167" spans="1:1" ht="15.75" customHeight="1" thickBot="1" x14ac:dyDescent="0.3">
      <c r="A1167" s="9"/>
    </row>
    <row r="1168" spans="1:1" ht="15.75" customHeight="1" thickBot="1" x14ac:dyDescent="0.3">
      <c r="A1168" s="9"/>
    </row>
    <row r="1169" spans="1:1" ht="15.75" customHeight="1" thickBot="1" x14ac:dyDescent="0.3">
      <c r="A1169" s="9"/>
    </row>
    <row r="1170" spans="1:1" ht="15.75" customHeight="1" thickBot="1" x14ac:dyDescent="0.3">
      <c r="A1170" s="9"/>
    </row>
    <row r="1171" spans="1:1" ht="15.75" customHeight="1" thickBot="1" x14ac:dyDescent="0.3">
      <c r="A1171" s="9"/>
    </row>
    <row r="1172" spans="1:1" ht="15.75" customHeight="1" thickBot="1" x14ac:dyDescent="0.3">
      <c r="A1172" s="9"/>
    </row>
    <row r="1173" spans="1:1" ht="15.75" customHeight="1" thickBot="1" x14ac:dyDescent="0.3">
      <c r="A1173" s="9"/>
    </row>
    <row r="1174" spans="1:1" ht="15.75" customHeight="1" thickBot="1" x14ac:dyDescent="0.3">
      <c r="A1174" s="9"/>
    </row>
    <row r="1175" spans="1:1" ht="15.75" customHeight="1" thickBot="1" x14ac:dyDescent="0.3">
      <c r="A1175" s="9"/>
    </row>
    <row r="1176" spans="1:1" ht="15.75" customHeight="1" thickBot="1" x14ac:dyDescent="0.3">
      <c r="A1176" s="9"/>
    </row>
    <row r="1177" spans="1:1" ht="15.75" customHeight="1" thickBot="1" x14ac:dyDescent="0.3">
      <c r="A1177" s="9"/>
    </row>
    <row r="1178" spans="1:1" ht="15.75" customHeight="1" thickBot="1" x14ac:dyDescent="0.3">
      <c r="A1178" s="9"/>
    </row>
    <row r="1179" spans="1:1" ht="15.75" customHeight="1" thickBot="1" x14ac:dyDescent="0.3">
      <c r="A1179" s="9"/>
    </row>
    <row r="1180" spans="1:1" ht="15.75" customHeight="1" thickBot="1" x14ac:dyDescent="0.3">
      <c r="A1180" s="9"/>
    </row>
    <row r="1181" spans="1:1" ht="15.75" customHeight="1" thickBot="1" x14ac:dyDescent="0.3">
      <c r="A1181" s="9"/>
    </row>
    <row r="1182" spans="1:1" ht="15.75" customHeight="1" thickBot="1" x14ac:dyDescent="0.3">
      <c r="A1182" s="9"/>
    </row>
    <row r="1183" spans="1:1" ht="15.75" customHeight="1" thickBot="1" x14ac:dyDescent="0.3">
      <c r="A1183" s="9"/>
    </row>
    <row r="1184" spans="1:1" ht="15.75" customHeight="1" thickBot="1" x14ac:dyDescent="0.3">
      <c r="A1184" s="9"/>
    </row>
    <row r="1185" spans="1:1" ht="15.75" customHeight="1" thickBot="1" x14ac:dyDescent="0.3">
      <c r="A1185" s="9"/>
    </row>
    <row r="1186" spans="1:1" ht="15.75" customHeight="1" thickBot="1" x14ac:dyDescent="0.3">
      <c r="A1186" s="9"/>
    </row>
    <row r="1187" spans="1:1" ht="15.75" customHeight="1" thickBot="1" x14ac:dyDescent="0.3">
      <c r="A1187" s="9"/>
    </row>
    <row r="1188" spans="1:1" ht="15.75" customHeight="1" thickBot="1" x14ac:dyDescent="0.3">
      <c r="A1188" s="9"/>
    </row>
    <row r="1189" spans="1:1" ht="15.75" customHeight="1" thickBot="1" x14ac:dyDescent="0.3">
      <c r="A1189" s="9"/>
    </row>
    <row r="1190" spans="1:1" ht="15.75" customHeight="1" thickBot="1" x14ac:dyDescent="0.3">
      <c r="A1190" s="9"/>
    </row>
    <row r="1191" spans="1:1" ht="15.75" customHeight="1" thickBot="1" x14ac:dyDescent="0.3">
      <c r="A1191" s="9"/>
    </row>
    <row r="1192" spans="1:1" ht="15.75" customHeight="1" thickBot="1" x14ac:dyDescent="0.3">
      <c r="A1192" s="9"/>
    </row>
    <row r="1193" spans="1:1" ht="15.75" customHeight="1" thickBot="1" x14ac:dyDescent="0.3">
      <c r="A1193" s="9"/>
    </row>
    <row r="1194" spans="1:1" ht="15.75" customHeight="1" thickBot="1" x14ac:dyDescent="0.3">
      <c r="A1194" s="9"/>
    </row>
    <row r="1195" spans="1:1" ht="15.75" customHeight="1" thickBot="1" x14ac:dyDescent="0.3">
      <c r="A1195" s="9"/>
    </row>
    <row r="1196" spans="1:1" ht="15.75" customHeight="1" thickBot="1" x14ac:dyDescent="0.3">
      <c r="A1196" s="9"/>
    </row>
    <row r="1197" spans="1:1" ht="15.75" customHeight="1" thickBot="1" x14ac:dyDescent="0.3">
      <c r="A1197" s="9"/>
    </row>
    <row r="1198" spans="1:1" ht="15.75" customHeight="1" thickBot="1" x14ac:dyDescent="0.3">
      <c r="A1198" s="9"/>
    </row>
    <row r="1199" spans="1:1" ht="15.75" customHeight="1" thickBot="1" x14ac:dyDescent="0.3">
      <c r="A1199" s="9"/>
    </row>
    <row r="1200" spans="1:1" ht="15.75" customHeight="1" thickBot="1" x14ac:dyDescent="0.3">
      <c r="A1200" s="9"/>
    </row>
    <row r="1201" spans="1:1" ht="15.75" customHeight="1" thickBot="1" x14ac:dyDescent="0.3">
      <c r="A1201" s="9"/>
    </row>
    <row r="1202" spans="1:1" ht="15.75" customHeight="1" thickBot="1" x14ac:dyDescent="0.3">
      <c r="A1202" s="9"/>
    </row>
    <row r="1203" spans="1:1" ht="15.75" customHeight="1" thickBot="1" x14ac:dyDescent="0.3">
      <c r="A1203" s="9"/>
    </row>
    <row r="1204" spans="1:1" ht="15.75" customHeight="1" thickBot="1" x14ac:dyDescent="0.3">
      <c r="A1204" s="9"/>
    </row>
    <row r="1205" spans="1:1" ht="15.75" customHeight="1" thickBot="1" x14ac:dyDescent="0.3">
      <c r="A1205" s="9"/>
    </row>
    <row r="1206" spans="1:1" ht="15.75" customHeight="1" thickBot="1" x14ac:dyDescent="0.3">
      <c r="A1206" s="9"/>
    </row>
    <row r="1207" spans="1:1" ht="15.75" customHeight="1" thickBot="1" x14ac:dyDescent="0.3">
      <c r="A1207" s="9"/>
    </row>
    <row r="1208" spans="1:1" ht="15.75" customHeight="1" thickBot="1" x14ac:dyDescent="0.3">
      <c r="A1208" s="9"/>
    </row>
    <row r="1209" spans="1:1" ht="15.75" customHeight="1" thickBot="1" x14ac:dyDescent="0.3">
      <c r="A1209" s="9"/>
    </row>
    <row r="1210" spans="1:1" ht="15.75" customHeight="1" thickBot="1" x14ac:dyDescent="0.3">
      <c r="A1210" s="9"/>
    </row>
    <row r="1211" spans="1:1" ht="15.75" customHeight="1" thickBot="1" x14ac:dyDescent="0.3">
      <c r="A1211" s="9"/>
    </row>
    <row r="1212" spans="1:1" ht="15.75" customHeight="1" thickBot="1" x14ac:dyDescent="0.3">
      <c r="A1212" s="9"/>
    </row>
    <row r="1213" spans="1:1" ht="15.75" customHeight="1" thickBot="1" x14ac:dyDescent="0.3">
      <c r="A1213" s="9"/>
    </row>
    <row r="1214" spans="1:1" ht="15.75" customHeight="1" thickBot="1" x14ac:dyDescent="0.3">
      <c r="A1214" s="9"/>
    </row>
    <row r="1215" spans="1:1" ht="15.75" customHeight="1" thickBot="1" x14ac:dyDescent="0.3">
      <c r="A1215" s="9"/>
    </row>
    <row r="1216" spans="1:1" ht="15.75" customHeight="1" thickBot="1" x14ac:dyDescent="0.3">
      <c r="A1216" s="9"/>
    </row>
    <row r="1217" spans="1:1" ht="15.75" customHeight="1" thickBot="1" x14ac:dyDescent="0.3">
      <c r="A1217" s="9"/>
    </row>
    <row r="1218" spans="1:1" ht="15.75" customHeight="1" thickBot="1" x14ac:dyDescent="0.3">
      <c r="A1218" s="9"/>
    </row>
    <row r="1219" spans="1:1" ht="15.75" customHeight="1" thickBot="1" x14ac:dyDescent="0.3">
      <c r="A1219" s="9"/>
    </row>
    <row r="1220" spans="1:1" ht="15.75" customHeight="1" thickBot="1" x14ac:dyDescent="0.3">
      <c r="A1220" s="9"/>
    </row>
    <row r="1221" spans="1:1" ht="15.75" customHeight="1" thickBot="1" x14ac:dyDescent="0.3">
      <c r="A1221" s="9"/>
    </row>
    <row r="1222" spans="1:1" ht="15.75" customHeight="1" thickBot="1" x14ac:dyDescent="0.3">
      <c r="A1222" s="9"/>
    </row>
    <row r="1223" spans="1:1" ht="15.75" customHeight="1" thickBot="1" x14ac:dyDescent="0.3">
      <c r="A1223" s="9"/>
    </row>
    <row r="1224" spans="1:1" ht="15.75" customHeight="1" thickBot="1" x14ac:dyDescent="0.3">
      <c r="A1224" s="9"/>
    </row>
    <row r="1225" spans="1:1" ht="15.75" customHeight="1" thickBot="1" x14ac:dyDescent="0.3">
      <c r="A1225" s="9"/>
    </row>
    <row r="1226" spans="1:1" ht="15.75" customHeight="1" thickBot="1" x14ac:dyDescent="0.3">
      <c r="A1226" s="9"/>
    </row>
    <row r="1227" spans="1:1" ht="15.75" customHeight="1" thickBot="1" x14ac:dyDescent="0.3">
      <c r="A1227" s="9"/>
    </row>
    <row r="1228" spans="1:1" ht="15.75" customHeight="1" thickBot="1" x14ac:dyDescent="0.3">
      <c r="A1228" s="9"/>
    </row>
    <row r="1229" spans="1:1" ht="15.75" customHeight="1" thickBot="1" x14ac:dyDescent="0.3">
      <c r="A1229" s="9"/>
    </row>
    <row r="1230" spans="1:1" ht="15.75" customHeight="1" thickBot="1" x14ac:dyDescent="0.3">
      <c r="A1230" s="9"/>
    </row>
    <row r="1231" spans="1:1" ht="15.75" customHeight="1" thickBot="1" x14ac:dyDescent="0.3">
      <c r="A1231" s="9"/>
    </row>
    <row r="1232" spans="1:1" ht="15.75" customHeight="1" thickBot="1" x14ac:dyDescent="0.3">
      <c r="A1232" s="9"/>
    </row>
    <row r="1233" spans="1:1" ht="15.75" customHeight="1" thickBot="1" x14ac:dyDescent="0.3">
      <c r="A1233" s="9"/>
    </row>
    <row r="1234" spans="1:1" ht="15.75" customHeight="1" thickBot="1" x14ac:dyDescent="0.3">
      <c r="A1234" s="9"/>
    </row>
    <row r="1235" spans="1:1" ht="15.75" customHeight="1" thickBot="1" x14ac:dyDescent="0.3">
      <c r="A1235" s="9"/>
    </row>
    <row r="1236" spans="1:1" ht="15.75" customHeight="1" thickBot="1" x14ac:dyDescent="0.3">
      <c r="A1236" s="9"/>
    </row>
    <row r="1237" spans="1:1" ht="15.75" customHeight="1" thickBot="1" x14ac:dyDescent="0.3">
      <c r="A1237" s="9"/>
    </row>
    <row r="1238" spans="1:1" ht="15.75" customHeight="1" thickBot="1" x14ac:dyDescent="0.3">
      <c r="A1238" s="9"/>
    </row>
    <row r="1239" spans="1:1" ht="15.75" customHeight="1" thickBot="1" x14ac:dyDescent="0.3">
      <c r="A1239" s="9"/>
    </row>
    <row r="1240" spans="1:1" ht="15.75" customHeight="1" thickBot="1" x14ac:dyDescent="0.3">
      <c r="A1240" s="9"/>
    </row>
    <row r="1241" spans="1:1" ht="15.75" customHeight="1" thickBot="1" x14ac:dyDescent="0.3">
      <c r="A1241" s="9"/>
    </row>
    <row r="1242" spans="1:1" ht="15.75" customHeight="1" thickBot="1" x14ac:dyDescent="0.3">
      <c r="A1242" s="9"/>
    </row>
    <row r="1243" spans="1:1" ht="15.75" customHeight="1" thickBot="1" x14ac:dyDescent="0.3">
      <c r="A1243" s="9"/>
    </row>
    <row r="1244" spans="1:1" ht="15.75" customHeight="1" thickBot="1" x14ac:dyDescent="0.3">
      <c r="A1244" s="9"/>
    </row>
    <row r="1245" spans="1:1" ht="15.75" customHeight="1" thickBot="1" x14ac:dyDescent="0.3">
      <c r="A1245" s="9"/>
    </row>
    <row r="1246" spans="1:1" ht="15.75" customHeight="1" thickBot="1" x14ac:dyDescent="0.3">
      <c r="A1246" s="9"/>
    </row>
    <row r="1247" spans="1:1" ht="15.75" customHeight="1" thickBot="1" x14ac:dyDescent="0.3">
      <c r="A1247" s="9"/>
    </row>
    <row r="1248" spans="1:1" ht="15.75" customHeight="1" thickBot="1" x14ac:dyDescent="0.3">
      <c r="A1248" s="9"/>
    </row>
    <row r="1249" spans="1:1" ht="15.75" customHeight="1" thickBot="1" x14ac:dyDescent="0.3">
      <c r="A1249" s="9"/>
    </row>
    <row r="1250" spans="1:1" ht="15.75" customHeight="1" thickBot="1" x14ac:dyDescent="0.3">
      <c r="A1250" s="9"/>
    </row>
    <row r="1251" spans="1:1" ht="15.75" customHeight="1" thickBot="1" x14ac:dyDescent="0.3">
      <c r="A1251" s="9"/>
    </row>
    <row r="1252" spans="1:1" ht="15.75" customHeight="1" thickBot="1" x14ac:dyDescent="0.3">
      <c r="A1252" s="9"/>
    </row>
    <row r="1253" spans="1:1" ht="15.75" customHeight="1" thickBot="1" x14ac:dyDescent="0.3">
      <c r="A1253" s="9"/>
    </row>
    <row r="1254" spans="1:1" ht="15.75" customHeight="1" thickBot="1" x14ac:dyDescent="0.3">
      <c r="A1254" s="9"/>
    </row>
    <row r="1255" spans="1:1" ht="15.75" customHeight="1" thickBot="1" x14ac:dyDescent="0.3">
      <c r="A1255" s="9"/>
    </row>
    <row r="1256" spans="1:1" ht="15.75" customHeight="1" thickBot="1" x14ac:dyDescent="0.3">
      <c r="A1256" s="9"/>
    </row>
    <row r="1257" spans="1:1" ht="15.75" customHeight="1" thickBot="1" x14ac:dyDescent="0.3">
      <c r="A1257" s="9"/>
    </row>
    <row r="1258" spans="1:1" ht="15.75" customHeight="1" thickBot="1" x14ac:dyDescent="0.3">
      <c r="A1258" s="9"/>
    </row>
    <row r="1259" spans="1:1" ht="15.75" customHeight="1" thickBot="1" x14ac:dyDescent="0.3">
      <c r="A1259" s="9"/>
    </row>
    <row r="1260" spans="1:1" ht="15.75" customHeight="1" thickBot="1" x14ac:dyDescent="0.3">
      <c r="A1260" s="9"/>
    </row>
    <row r="1261" spans="1:1" ht="15.75" customHeight="1" thickBot="1" x14ac:dyDescent="0.3">
      <c r="A1261" s="9"/>
    </row>
    <row r="1262" spans="1:1" ht="15.75" customHeight="1" thickBot="1" x14ac:dyDescent="0.3">
      <c r="A1262" s="9"/>
    </row>
    <row r="1263" spans="1:1" ht="15.75" customHeight="1" thickBot="1" x14ac:dyDescent="0.3">
      <c r="A1263" s="9"/>
    </row>
    <row r="1264" spans="1:1" ht="15.75" customHeight="1" thickBot="1" x14ac:dyDescent="0.3">
      <c r="A1264" s="9"/>
    </row>
    <row r="1265" spans="1:1" ht="15.75" customHeight="1" thickBot="1" x14ac:dyDescent="0.3">
      <c r="A1265" s="9"/>
    </row>
    <row r="1266" spans="1:1" ht="15.75" customHeight="1" thickBot="1" x14ac:dyDescent="0.3">
      <c r="A1266" s="9"/>
    </row>
    <row r="1267" spans="1:1" ht="15.75" customHeight="1" thickBot="1" x14ac:dyDescent="0.3">
      <c r="A1267" s="9"/>
    </row>
    <row r="1268" spans="1:1" ht="15.75" customHeight="1" thickBot="1" x14ac:dyDescent="0.3">
      <c r="A1268" s="9"/>
    </row>
    <row r="1269" spans="1:1" ht="15.75" customHeight="1" thickBot="1" x14ac:dyDescent="0.3">
      <c r="A1269" s="9"/>
    </row>
    <row r="1270" spans="1:1" ht="15.75" customHeight="1" thickBot="1" x14ac:dyDescent="0.3">
      <c r="A1270" s="9"/>
    </row>
    <row r="1271" spans="1:1" ht="15.75" customHeight="1" thickBot="1" x14ac:dyDescent="0.3">
      <c r="A1271" s="9"/>
    </row>
    <row r="1272" spans="1:1" ht="15.75" customHeight="1" thickBot="1" x14ac:dyDescent="0.3">
      <c r="A1272" s="9"/>
    </row>
    <row r="1273" spans="1:1" ht="15.75" customHeight="1" thickBot="1" x14ac:dyDescent="0.3">
      <c r="A1273" s="9"/>
    </row>
    <row r="1274" spans="1:1" ht="15.75" customHeight="1" thickBot="1" x14ac:dyDescent="0.3">
      <c r="A1274" s="9"/>
    </row>
    <row r="1275" spans="1:1" ht="15.75" customHeight="1" thickBot="1" x14ac:dyDescent="0.3">
      <c r="A1275" s="9"/>
    </row>
    <row r="1276" spans="1:1" ht="15.75" customHeight="1" thickBot="1" x14ac:dyDescent="0.3">
      <c r="A1276" s="9"/>
    </row>
    <row r="1277" spans="1:1" ht="15.75" customHeight="1" thickBot="1" x14ac:dyDescent="0.3">
      <c r="A1277" s="9"/>
    </row>
    <row r="1278" spans="1:1" ht="15.75" customHeight="1" thickBot="1" x14ac:dyDescent="0.3">
      <c r="A1278" s="9"/>
    </row>
    <row r="1279" spans="1:1" ht="15.75" customHeight="1" thickBot="1" x14ac:dyDescent="0.3">
      <c r="A1279" s="9"/>
    </row>
    <row r="1280" spans="1:1" ht="15.75" customHeight="1" thickBot="1" x14ac:dyDescent="0.3">
      <c r="A1280" s="9"/>
    </row>
    <row r="1281" spans="1:1" ht="15.75" customHeight="1" thickBot="1" x14ac:dyDescent="0.3">
      <c r="A1281" s="9"/>
    </row>
    <row r="1282" spans="1:1" ht="15.75" customHeight="1" thickBot="1" x14ac:dyDescent="0.3">
      <c r="A1282" s="9"/>
    </row>
    <row r="1283" spans="1:1" ht="15.75" customHeight="1" thickBot="1" x14ac:dyDescent="0.3">
      <c r="A1283" s="9"/>
    </row>
    <row r="1284" spans="1:1" ht="15.75" customHeight="1" thickBot="1" x14ac:dyDescent="0.3">
      <c r="A1284" s="9"/>
    </row>
    <row r="1285" spans="1:1" ht="15.75" customHeight="1" thickBot="1" x14ac:dyDescent="0.3">
      <c r="A1285" s="9"/>
    </row>
    <row r="1286" spans="1:1" ht="15.75" customHeight="1" thickBot="1" x14ac:dyDescent="0.3">
      <c r="A1286" s="9"/>
    </row>
    <row r="1287" spans="1:1" ht="15.75" customHeight="1" thickBot="1" x14ac:dyDescent="0.3">
      <c r="A1287" s="9"/>
    </row>
    <row r="1288" spans="1:1" ht="15.75" customHeight="1" thickBot="1" x14ac:dyDescent="0.3">
      <c r="A1288" s="9"/>
    </row>
    <row r="1289" spans="1:1" ht="15.75" customHeight="1" thickBot="1" x14ac:dyDescent="0.3">
      <c r="A1289" s="9"/>
    </row>
    <row r="1290" spans="1:1" ht="15.75" customHeight="1" thickBot="1" x14ac:dyDescent="0.3">
      <c r="A1290" s="9"/>
    </row>
    <row r="1291" spans="1:1" ht="15.75" customHeight="1" thickBot="1" x14ac:dyDescent="0.3">
      <c r="A1291" s="9"/>
    </row>
    <row r="1292" spans="1:1" ht="15.75" customHeight="1" thickBot="1" x14ac:dyDescent="0.3">
      <c r="A1292" s="9"/>
    </row>
    <row r="1293" spans="1:1" ht="15.75" customHeight="1" thickBot="1" x14ac:dyDescent="0.3">
      <c r="A1293" s="9"/>
    </row>
    <row r="1294" spans="1:1" ht="15.75" customHeight="1" thickBot="1" x14ac:dyDescent="0.3">
      <c r="A1294" s="9"/>
    </row>
    <row r="1295" spans="1:1" ht="15.75" customHeight="1" thickBot="1" x14ac:dyDescent="0.3">
      <c r="A1295" s="9"/>
    </row>
    <row r="1296" spans="1:1" ht="15.75" customHeight="1" thickBot="1" x14ac:dyDescent="0.3">
      <c r="A1296" s="9"/>
    </row>
    <row r="1297" spans="1:1" ht="15.75" customHeight="1" thickBot="1" x14ac:dyDescent="0.3">
      <c r="A1297" s="9"/>
    </row>
    <row r="1298" spans="1:1" ht="15.75" customHeight="1" thickBot="1" x14ac:dyDescent="0.3">
      <c r="A1298" s="9"/>
    </row>
    <row r="1299" spans="1:1" ht="15.75" customHeight="1" thickBot="1" x14ac:dyDescent="0.3">
      <c r="A1299" s="9"/>
    </row>
    <row r="1300" spans="1:1" ht="15.75" customHeight="1" thickBot="1" x14ac:dyDescent="0.3">
      <c r="A1300" s="9"/>
    </row>
    <row r="1301" spans="1:1" ht="15.75" customHeight="1" thickBot="1" x14ac:dyDescent="0.3">
      <c r="A1301" s="9"/>
    </row>
    <row r="1302" spans="1:1" ht="15.75" customHeight="1" thickBot="1" x14ac:dyDescent="0.3">
      <c r="A1302" s="9"/>
    </row>
    <row r="1303" spans="1:1" ht="15.75" customHeight="1" thickBot="1" x14ac:dyDescent="0.3">
      <c r="A1303" s="9"/>
    </row>
    <row r="1304" spans="1:1" ht="15.75" customHeight="1" thickBot="1" x14ac:dyDescent="0.3">
      <c r="A1304" s="9"/>
    </row>
    <row r="1305" spans="1:1" ht="15.75" customHeight="1" thickBot="1" x14ac:dyDescent="0.3">
      <c r="A1305" s="9"/>
    </row>
    <row r="1306" spans="1:1" ht="15.75" customHeight="1" thickBot="1" x14ac:dyDescent="0.3">
      <c r="A1306" s="9"/>
    </row>
    <row r="1307" spans="1:1" ht="15.75" customHeight="1" thickBot="1" x14ac:dyDescent="0.3">
      <c r="A1307" s="9"/>
    </row>
    <row r="1308" spans="1:1" ht="15.75" customHeight="1" thickBot="1" x14ac:dyDescent="0.3">
      <c r="A1308" s="9"/>
    </row>
    <row r="1309" spans="1:1" ht="15.75" customHeight="1" thickBot="1" x14ac:dyDescent="0.3">
      <c r="A1309" s="9"/>
    </row>
    <row r="1310" spans="1:1" ht="15.75" customHeight="1" thickBot="1" x14ac:dyDescent="0.3">
      <c r="A1310" s="9"/>
    </row>
    <row r="1311" spans="1:1" ht="15.75" customHeight="1" thickBot="1" x14ac:dyDescent="0.3">
      <c r="A1311" s="9"/>
    </row>
    <row r="1312" spans="1:1" ht="15.75" customHeight="1" thickBot="1" x14ac:dyDescent="0.3">
      <c r="A1312" s="9"/>
    </row>
    <row r="1313" spans="1:1" ht="15.75" customHeight="1" thickBot="1" x14ac:dyDescent="0.3">
      <c r="A1313" s="9"/>
    </row>
    <row r="1314" spans="1:1" ht="15.75" customHeight="1" thickBot="1" x14ac:dyDescent="0.3">
      <c r="A1314" s="9"/>
    </row>
    <row r="1315" spans="1:1" ht="15.75" customHeight="1" thickBot="1" x14ac:dyDescent="0.3">
      <c r="A1315" s="9"/>
    </row>
    <row r="1316" spans="1:1" ht="15.75" customHeight="1" thickBot="1" x14ac:dyDescent="0.3">
      <c r="A1316" s="9"/>
    </row>
    <row r="1317" spans="1:1" ht="15.75" customHeight="1" thickBot="1" x14ac:dyDescent="0.3">
      <c r="A1317" s="9"/>
    </row>
    <row r="1318" spans="1:1" ht="15.75" customHeight="1" thickBot="1" x14ac:dyDescent="0.3">
      <c r="A1318" s="9"/>
    </row>
    <row r="1319" spans="1:1" ht="15.75" customHeight="1" thickBot="1" x14ac:dyDescent="0.3">
      <c r="A1319" s="9"/>
    </row>
    <row r="1320" spans="1:1" ht="15.75" customHeight="1" thickBot="1" x14ac:dyDescent="0.3">
      <c r="A1320" s="9"/>
    </row>
    <row r="1321" spans="1:1" ht="15.75" customHeight="1" thickBot="1" x14ac:dyDescent="0.3">
      <c r="A1321" s="9"/>
    </row>
    <row r="1322" spans="1:1" ht="15.75" customHeight="1" thickBot="1" x14ac:dyDescent="0.3">
      <c r="A1322" s="9"/>
    </row>
    <row r="1323" spans="1:1" ht="15.75" customHeight="1" thickBot="1" x14ac:dyDescent="0.3">
      <c r="A1323" s="9"/>
    </row>
    <row r="1324" spans="1:1" ht="15.75" customHeight="1" thickBot="1" x14ac:dyDescent="0.3">
      <c r="A1324" s="9"/>
    </row>
    <row r="1325" spans="1:1" ht="15.75" customHeight="1" thickBot="1" x14ac:dyDescent="0.3">
      <c r="A1325" s="9"/>
    </row>
    <row r="1326" spans="1:1" ht="15.75" customHeight="1" thickBot="1" x14ac:dyDescent="0.3">
      <c r="A1326" s="9"/>
    </row>
    <row r="1327" spans="1:1" ht="15.75" customHeight="1" thickBot="1" x14ac:dyDescent="0.3">
      <c r="A1327" s="9"/>
    </row>
    <row r="1328" spans="1:1" ht="15.75" customHeight="1" thickBot="1" x14ac:dyDescent="0.3">
      <c r="A1328" s="9"/>
    </row>
    <row r="1329" spans="1:1" ht="15.75" customHeight="1" thickBot="1" x14ac:dyDescent="0.3">
      <c r="A1329" s="9"/>
    </row>
    <row r="1330" spans="1:1" ht="15.75" customHeight="1" thickBot="1" x14ac:dyDescent="0.3">
      <c r="A1330" s="9"/>
    </row>
    <row r="1331" spans="1:1" ht="15.75" customHeight="1" thickBot="1" x14ac:dyDescent="0.3">
      <c r="A1331" s="9"/>
    </row>
    <row r="1332" spans="1:1" ht="15.75" customHeight="1" thickBot="1" x14ac:dyDescent="0.3">
      <c r="A1332" s="9"/>
    </row>
    <row r="1333" spans="1:1" ht="15.75" customHeight="1" thickBot="1" x14ac:dyDescent="0.3">
      <c r="A1333" s="9"/>
    </row>
    <row r="1334" spans="1:1" ht="15.75" customHeight="1" thickBot="1" x14ac:dyDescent="0.3">
      <c r="A1334" s="9"/>
    </row>
    <row r="1335" spans="1:1" ht="15.75" customHeight="1" thickBot="1" x14ac:dyDescent="0.3">
      <c r="A1335" s="9"/>
    </row>
    <row r="1336" spans="1:1" ht="15.75" customHeight="1" thickBot="1" x14ac:dyDescent="0.3">
      <c r="A1336" s="9"/>
    </row>
    <row r="1337" spans="1:1" ht="15.75" customHeight="1" thickBot="1" x14ac:dyDescent="0.3">
      <c r="A1337" s="9"/>
    </row>
    <row r="1338" spans="1:1" ht="15.75" customHeight="1" thickBot="1" x14ac:dyDescent="0.3">
      <c r="A1338" s="9"/>
    </row>
    <row r="1339" spans="1:1" ht="15.75" customHeight="1" thickBot="1" x14ac:dyDescent="0.3">
      <c r="A1339" s="9"/>
    </row>
    <row r="1340" spans="1:1" ht="15.75" customHeight="1" thickBot="1" x14ac:dyDescent="0.3">
      <c r="A1340" s="9"/>
    </row>
    <row r="1341" spans="1:1" ht="15.75" customHeight="1" thickBot="1" x14ac:dyDescent="0.3">
      <c r="A1341" s="9"/>
    </row>
    <row r="1342" spans="1:1" ht="15.75" customHeight="1" thickBot="1" x14ac:dyDescent="0.3">
      <c r="A1342" s="9"/>
    </row>
    <row r="1343" spans="1:1" ht="15.75" customHeight="1" thickBot="1" x14ac:dyDescent="0.3">
      <c r="A1343" s="9"/>
    </row>
    <row r="1344" spans="1:1" ht="15.75" customHeight="1" thickBot="1" x14ac:dyDescent="0.3">
      <c r="A1344" s="9"/>
    </row>
    <row r="1345" spans="1:1" ht="15.75" customHeight="1" thickBot="1" x14ac:dyDescent="0.3">
      <c r="A1345" s="9"/>
    </row>
    <row r="1346" spans="1:1" ht="15.75" customHeight="1" thickBot="1" x14ac:dyDescent="0.3">
      <c r="A1346" s="9"/>
    </row>
    <row r="1347" spans="1:1" ht="15.75" customHeight="1" thickBot="1" x14ac:dyDescent="0.3">
      <c r="A1347" s="9"/>
    </row>
    <row r="1348" spans="1:1" ht="15.75" customHeight="1" thickBot="1" x14ac:dyDescent="0.3">
      <c r="A1348" s="9"/>
    </row>
    <row r="1349" spans="1:1" ht="15.75" customHeight="1" thickBot="1" x14ac:dyDescent="0.3">
      <c r="A1349" s="9"/>
    </row>
    <row r="1350" spans="1:1" ht="15.75" customHeight="1" thickBot="1" x14ac:dyDescent="0.3">
      <c r="A1350" s="9"/>
    </row>
    <row r="1351" spans="1:1" ht="15.75" customHeight="1" thickBot="1" x14ac:dyDescent="0.3">
      <c r="A1351" s="9"/>
    </row>
    <row r="1352" spans="1:1" ht="15.75" customHeight="1" thickBot="1" x14ac:dyDescent="0.3">
      <c r="A1352" s="9"/>
    </row>
    <row r="1353" spans="1:1" ht="15.75" customHeight="1" thickBot="1" x14ac:dyDescent="0.3">
      <c r="A1353" s="9"/>
    </row>
    <row r="1354" spans="1:1" ht="15.75" customHeight="1" thickBot="1" x14ac:dyDescent="0.3">
      <c r="A1354" s="9"/>
    </row>
    <row r="1355" spans="1:1" ht="15.75" customHeight="1" thickBot="1" x14ac:dyDescent="0.3">
      <c r="A1355" s="9"/>
    </row>
    <row r="1356" spans="1:1" ht="15.75" customHeight="1" thickBot="1" x14ac:dyDescent="0.3">
      <c r="A1356" s="9"/>
    </row>
    <row r="1357" spans="1:1" ht="15.75" customHeight="1" thickBot="1" x14ac:dyDescent="0.3">
      <c r="A1357" s="9"/>
    </row>
    <row r="1358" spans="1:1" ht="15.75" customHeight="1" thickBot="1" x14ac:dyDescent="0.3">
      <c r="A1358" s="9"/>
    </row>
    <row r="1359" spans="1:1" ht="15.75" customHeight="1" thickBot="1" x14ac:dyDescent="0.3">
      <c r="A1359" s="9"/>
    </row>
    <row r="1360" spans="1:1" ht="15.75" customHeight="1" thickBot="1" x14ac:dyDescent="0.3">
      <c r="A1360" s="9"/>
    </row>
    <row r="1361" spans="1:1" ht="15.75" customHeight="1" thickBot="1" x14ac:dyDescent="0.3">
      <c r="A1361" s="9"/>
    </row>
    <row r="1362" spans="1:1" ht="15.75" customHeight="1" thickBot="1" x14ac:dyDescent="0.3">
      <c r="A1362" s="9"/>
    </row>
    <row r="1363" spans="1:1" ht="15.75" customHeight="1" thickBot="1" x14ac:dyDescent="0.3">
      <c r="A1363" s="9"/>
    </row>
    <row r="1364" spans="1:1" ht="15.75" customHeight="1" thickBot="1" x14ac:dyDescent="0.3">
      <c r="A1364" s="9"/>
    </row>
    <row r="1365" spans="1:1" ht="15.75" customHeight="1" thickBot="1" x14ac:dyDescent="0.3">
      <c r="A1365" s="9"/>
    </row>
    <row r="1366" spans="1:1" ht="15.75" customHeight="1" thickBot="1" x14ac:dyDescent="0.3">
      <c r="A1366" s="9"/>
    </row>
    <row r="1367" spans="1:1" ht="15.75" customHeight="1" thickBot="1" x14ac:dyDescent="0.3">
      <c r="A1367" s="9"/>
    </row>
    <row r="1368" spans="1:1" ht="15.75" customHeight="1" thickBot="1" x14ac:dyDescent="0.3">
      <c r="A1368" s="9"/>
    </row>
    <row r="1369" spans="1:1" ht="15.75" customHeight="1" thickBot="1" x14ac:dyDescent="0.3">
      <c r="A1369" s="9"/>
    </row>
    <row r="1370" spans="1:1" ht="15.75" customHeight="1" thickBot="1" x14ac:dyDescent="0.3">
      <c r="A1370" s="9"/>
    </row>
    <row r="1371" spans="1:1" ht="15.75" customHeight="1" thickBot="1" x14ac:dyDescent="0.3">
      <c r="A1371" s="9"/>
    </row>
    <row r="1372" spans="1:1" ht="15.75" customHeight="1" thickBot="1" x14ac:dyDescent="0.3">
      <c r="A1372" s="9"/>
    </row>
    <row r="1373" spans="1:1" ht="15.75" customHeight="1" thickBot="1" x14ac:dyDescent="0.3">
      <c r="A1373" s="9"/>
    </row>
    <row r="1374" spans="1:1" ht="15.75" customHeight="1" thickBot="1" x14ac:dyDescent="0.3">
      <c r="A1374" s="9"/>
    </row>
    <row r="1375" spans="1:1" ht="15.75" customHeight="1" thickBot="1" x14ac:dyDescent="0.3">
      <c r="A1375" s="9"/>
    </row>
    <row r="1376" spans="1:1" ht="15.75" customHeight="1" thickBot="1" x14ac:dyDescent="0.3">
      <c r="A1376" s="9"/>
    </row>
    <row r="1377" spans="1:1" ht="15.75" customHeight="1" thickBot="1" x14ac:dyDescent="0.3">
      <c r="A1377" s="9"/>
    </row>
    <row r="1378" spans="1:1" ht="15.75" customHeight="1" thickBot="1" x14ac:dyDescent="0.3">
      <c r="A1378" s="9"/>
    </row>
    <row r="1379" spans="1:1" ht="15.75" customHeight="1" thickBot="1" x14ac:dyDescent="0.3">
      <c r="A1379" s="9"/>
    </row>
    <row r="1380" spans="1:1" ht="15.75" customHeight="1" thickBot="1" x14ac:dyDescent="0.3">
      <c r="A1380" s="9"/>
    </row>
    <row r="1381" spans="1:1" ht="15.75" customHeight="1" thickBot="1" x14ac:dyDescent="0.3">
      <c r="A1381" s="9"/>
    </row>
    <row r="1382" spans="1:1" ht="15.75" customHeight="1" thickBot="1" x14ac:dyDescent="0.3">
      <c r="A1382" s="9"/>
    </row>
    <row r="1383" spans="1:1" ht="15.75" customHeight="1" thickBot="1" x14ac:dyDescent="0.3">
      <c r="A1383" s="9"/>
    </row>
    <row r="1384" spans="1:1" ht="15.75" customHeight="1" thickBot="1" x14ac:dyDescent="0.3">
      <c r="A1384" s="9"/>
    </row>
    <row r="1385" spans="1:1" ht="15.75" customHeight="1" thickBot="1" x14ac:dyDescent="0.3">
      <c r="A1385" s="9"/>
    </row>
    <row r="1386" spans="1:1" ht="15.75" customHeight="1" thickBot="1" x14ac:dyDescent="0.3">
      <c r="A1386" s="9"/>
    </row>
    <row r="1387" spans="1:1" ht="15.75" customHeight="1" thickBot="1" x14ac:dyDescent="0.3">
      <c r="A1387" s="9"/>
    </row>
    <row r="1388" spans="1:1" ht="15.75" customHeight="1" thickBot="1" x14ac:dyDescent="0.3">
      <c r="A1388" s="9"/>
    </row>
    <row r="1389" spans="1:1" ht="15.75" customHeight="1" thickBot="1" x14ac:dyDescent="0.3">
      <c r="A1389" s="9"/>
    </row>
    <row r="1390" spans="1:1" ht="15.75" customHeight="1" thickBot="1" x14ac:dyDescent="0.3">
      <c r="A1390" s="9"/>
    </row>
    <row r="1391" spans="1:1" ht="15.75" customHeight="1" thickBot="1" x14ac:dyDescent="0.3">
      <c r="A1391" s="9"/>
    </row>
    <row r="1392" spans="1:1" ht="15.75" customHeight="1" thickBot="1" x14ac:dyDescent="0.3">
      <c r="A1392" s="9"/>
    </row>
    <row r="1393" spans="1:1" ht="15.75" customHeight="1" thickBot="1" x14ac:dyDescent="0.3">
      <c r="A1393" s="9"/>
    </row>
    <row r="1394" spans="1:1" ht="15.75" customHeight="1" thickBot="1" x14ac:dyDescent="0.3">
      <c r="A1394" s="9"/>
    </row>
    <row r="1395" spans="1:1" ht="15.75" customHeight="1" thickBot="1" x14ac:dyDescent="0.3">
      <c r="A1395" s="9"/>
    </row>
    <row r="1396" spans="1:1" ht="15.75" customHeight="1" thickBot="1" x14ac:dyDescent="0.3">
      <c r="A1396" s="9"/>
    </row>
    <row r="1397" spans="1:1" ht="15.75" customHeight="1" thickBot="1" x14ac:dyDescent="0.3">
      <c r="A1397" s="9"/>
    </row>
    <row r="1398" spans="1:1" ht="15.75" customHeight="1" thickBot="1" x14ac:dyDescent="0.3">
      <c r="A1398" s="9"/>
    </row>
    <row r="1399" spans="1:1" ht="15.75" customHeight="1" thickBot="1" x14ac:dyDescent="0.3">
      <c r="A1399" s="9"/>
    </row>
    <row r="1400" spans="1:1" ht="15.75" customHeight="1" thickBot="1" x14ac:dyDescent="0.3">
      <c r="A1400" s="9"/>
    </row>
    <row r="1401" spans="1:1" ht="15.75" customHeight="1" thickBot="1" x14ac:dyDescent="0.3">
      <c r="A1401" s="9"/>
    </row>
    <row r="1402" spans="1:1" ht="15.75" customHeight="1" thickBot="1" x14ac:dyDescent="0.3">
      <c r="A1402" s="9"/>
    </row>
    <row r="1403" spans="1:1" ht="15.75" customHeight="1" thickBot="1" x14ac:dyDescent="0.3">
      <c r="A1403" s="9"/>
    </row>
    <row r="1404" spans="1:1" ht="15.75" customHeight="1" thickBot="1" x14ac:dyDescent="0.3">
      <c r="A1404" s="9"/>
    </row>
    <row r="1405" spans="1:1" ht="15.75" customHeight="1" thickBot="1" x14ac:dyDescent="0.3">
      <c r="A1405" s="9"/>
    </row>
    <row r="1406" spans="1:1" ht="15.75" customHeight="1" thickBot="1" x14ac:dyDescent="0.3">
      <c r="A1406" s="9"/>
    </row>
    <row r="1407" spans="1:1" ht="15.75" customHeight="1" thickBot="1" x14ac:dyDescent="0.3">
      <c r="A1407" s="9"/>
    </row>
    <row r="1408" spans="1:1" ht="15.75" customHeight="1" thickBot="1" x14ac:dyDescent="0.3">
      <c r="A1408" s="9"/>
    </row>
    <row r="1409" spans="1:1" ht="15.75" customHeight="1" thickBot="1" x14ac:dyDescent="0.3">
      <c r="A1409" s="9"/>
    </row>
    <row r="1410" spans="1:1" ht="15.75" customHeight="1" thickBot="1" x14ac:dyDescent="0.3">
      <c r="A1410" s="9"/>
    </row>
    <row r="1411" spans="1:1" ht="15.75" customHeight="1" thickBot="1" x14ac:dyDescent="0.3">
      <c r="A1411" s="9"/>
    </row>
    <row r="1412" spans="1:1" ht="15.75" customHeight="1" thickBot="1" x14ac:dyDescent="0.3">
      <c r="A1412" s="9"/>
    </row>
    <row r="1413" spans="1:1" ht="15.75" customHeight="1" thickBot="1" x14ac:dyDescent="0.3">
      <c r="A1413" s="9"/>
    </row>
    <row r="1414" spans="1:1" ht="15.75" customHeight="1" thickBot="1" x14ac:dyDescent="0.3">
      <c r="A1414" s="9"/>
    </row>
    <row r="1415" spans="1:1" ht="15.75" customHeight="1" thickBot="1" x14ac:dyDescent="0.3">
      <c r="A1415" s="9"/>
    </row>
    <row r="1416" spans="1:1" ht="15.75" customHeight="1" thickBot="1" x14ac:dyDescent="0.3">
      <c r="A1416" s="9"/>
    </row>
    <row r="1417" spans="1:1" ht="15.75" customHeight="1" thickBot="1" x14ac:dyDescent="0.3">
      <c r="A1417" s="9"/>
    </row>
    <row r="1418" spans="1:1" ht="15.75" customHeight="1" thickBot="1" x14ac:dyDescent="0.3">
      <c r="A1418" s="9"/>
    </row>
    <row r="1419" spans="1:1" ht="15.75" customHeight="1" thickBot="1" x14ac:dyDescent="0.3">
      <c r="A1419" s="9"/>
    </row>
    <row r="1420" spans="1:1" ht="15.75" customHeight="1" thickBot="1" x14ac:dyDescent="0.3">
      <c r="A1420" s="9"/>
    </row>
    <row r="1421" spans="1:1" ht="15.75" customHeight="1" thickBot="1" x14ac:dyDescent="0.3">
      <c r="A1421" s="9"/>
    </row>
    <row r="1422" spans="1:1" ht="15.75" customHeight="1" thickBot="1" x14ac:dyDescent="0.3">
      <c r="A1422" s="9"/>
    </row>
    <row r="1423" spans="1:1" ht="15.75" customHeight="1" thickBot="1" x14ac:dyDescent="0.3">
      <c r="A1423" s="9"/>
    </row>
    <row r="1424" spans="1:1" ht="15.75" customHeight="1" thickBot="1" x14ac:dyDescent="0.3">
      <c r="A1424" s="9"/>
    </row>
    <row r="1425" spans="1:1" ht="15.75" customHeight="1" thickBot="1" x14ac:dyDescent="0.3">
      <c r="A1425" s="9"/>
    </row>
    <row r="1426" spans="1:1" ht="15.75" customHeight="1" thickBot="1" x14ac:dyDescent="0.3">
      <c r="A1426" s="9"/>
    </row>
    <row r="1427" spans="1:1" ht="15.75" customHeight="1" thickBot="1" x14ac:dyDescent="0.3">
      <c r="A1427" s="9"/>
    </row>
    <row r="1428" spans="1:1" ht="15.75" customHeight="1" thickBot="1" x14ac:dyDescent="0.3">
      <c r="A1428" s="9"/>
    </row>
    <row r="1429" spans="1:1" ht="15.75" customHeight="1" thickBot="1" x14ac:dyDescent="0.3">
      <c r="A1429" s="9"/>
    </row>
    <row r="1430" spans="1:1" ht="15.75" customHeight="1" thickBot="1" x14ac:dyDescent="0.3">
      <c r="A1430" s="9"/>
    </row>
    <row r="1431" spans="1:1" ht="15.75" customHeight="1" thickBot="1" x14ac:dyDescent="0.3">
      <c r="A1431" s="9"/>
    </row>
    <row r="1432" spans="1:1" ht="15.75" customHeight="1" thickBot="1" x14ac:dyDescent="0.3">
      <c r="A1432" s="9"/>
    </row>
    <row r="1433" spans="1:1" ht="15.75" customHeight="1" thickBot="1" x14ac:dyDescent="0.3">
      <c r="A1433" s="9"/>
    </row>
    <row r="1434" spans="1:1" ht="15.75" customHeight="1" thickBot="1" x14ac:dyDescent="0.3">
      <c r="A1434" s="9"/>
    </row>
    <row r="1435" spans="1:1" ht="15.75" customHeight="1" thickBot="1" x14ac:dyDescent="0.3">
      <c r="A1435" s="9"/>
    </row>
    <row r="1436" spans="1:1" ht="15.75" customHeight="1" thickBot="1" x14ac:dyDescent="0.3">
      <c r="A1436" s="9"/>
    </row>
    <row r="1437" spans="1:1" ht="15.75" customHeight="1" thickBot="1" x14ac:dyDescent="0.3">
      <c r="A1437" s="9"/>
    </row>
    <row r="1438" spans="1:1" ht="15.75" customHeight="1" thickBot="1" x14ac:dyDescent="0.3">
      <c r="A1438" s="9"/>
    </row>
    <row r="1439" spans="1:1" ht="15.75" customHeight="1" thickBot="1" x14ac:dyDescent="0.3">
      <c r="A1439" s="9"/>
    </row>
    <row r="1440" spans="1:1" ht="15.75" customHeight="1" thickBot="1" x14ac:dyDescent="0.3">
      <c r="A1440" s="9"/>
    </row>
    <row r="1441" spans="1:1" ht="15.75" customHeight="1" thickBot="1" x14ac:dyDescent="0.3">
      <c r="A1441" s="9"/>
    </row>
    <row r="1442" spans="1:1" ht="15.75" customHeight="1" thickBot="1" x14ac:dyDescent="0.3">
      <c r="A1442" s="9"/>
    </row>
    <row r="1443" spans="1:1" ht="15.75" customHeight="1" thickBot="1" x14ac:dyDescent="0.3">
      <c r="A1443" s="9"/>
    </row>
    <row r="1444" spans="1:1" ht="15.75" customHeight="1" thickBot="1" x14ac:dyDescent="0.3">
      <c r="A1444" s="9"/>
    </row>
    <row r="1445" spans="1:1" ht="15.75" customHeight="1" thickBot="1" x14ac:dyDescent="0.3">
      <c r="A1445" s="9"/>
    </row>
    <row r="1446" spans="1:1" ht="15.75" customHeight="1" thickBot="1" x14ac:dyDescent="0.3">
      <c r="A1446" s="9"/>
    </row>
    <row r="1447" spans="1:1" ht="15.75" customHeight="1" thickBot="1" x14ac:dyDescent="0.3">
      <c r="A1447" s="9"/>
    </row>
    <row r="1448" spans="1:1" ht="15.75" customHeight="1" thickBot="1" x14ac:dyDescent="0.3">
      <c r="A1448" s="9"/>
    </row>
    <row r="1449" spans="1:1" ht="15.75" customHeight="1" thickBot="1" x14ac:dyDescent="0.3">
      <c r="A1449" s="9"/>
    </row>
    <row r="1450" spans="1:1" ht="15.75" customHeight="1" thickBot="1" x14ac:dyDescent="0.3">
      <c r="A1450" s="9"/>
    </row>
    <row r="1451" spans="1:1" ht="15.75" customHeight="1" thickBot="1" x14ac:dyDescent="0.3">
      <c r="A1451" s="9"/>
    </row>
    <row r="1452" spans="1:1" ht="15.75" customHeight="1" thickBot="1" x14ac:dyDescent="0.3">
      <c r="A1452" s="9"/>
    </row>
    <row r="1453" spans="1:1" ht="15.75" customHeight="1" thickBot="1" x14ac:dyDescent="0.3">
      <c r="A1453" s="9"/>
    </row>
    <row r="1454" spans="1:1" ht="15.75" customHeight="1" thickBot="1" x14ac:dyDescent="0.3">
      <c r="A1454" s="9"/>
    </row>
    <row r="1455" spans="1:1" ht="15.75" customHeight="1" thickBot="1" x14ac:dyDescent="0.3">
      <c r="A1455" s="9"/>
    </row>
    <row r="1456" spans="1:1" ht="15.75" customHeight="1" thickBot="1" x14ac:dyDescent="0.3">
      <c r="A1456" s="9"/>
    </row>
    <row r="1457" spans="1:1" ht="15.75" customHeight="1" thickBot="1" x14ac:dyDescent="0.3">
      <c r="A1457" s="9"/>
    </row>
    <row r="1458" spans="1:1" ht="15.75" customHeight="1" thickBot="1" x14ac:dyDescent="0.3">
      <c r="A1458" s="9"/>
    </row>
    <row r="1459" spans="1:1" ht="15.75" customHeight="1" thickBot="1" x14ac:dyDescent="0.3">
      <c r="A1459" s="9"/>
    </row>
    <row r="1460" spans="1:1" ht="15.75" customHeight="1" thickBot="1" x14ac:dyDescent="0.3">
      <c r="A1460" s="9"/>
    </row>
    <row r="1461" spans="1:1" ht="15.75" customHeight="1" thickBot="1" x14ac:dyDescent="0.3">
      <c r="A1461" s="9"/>
    </row>
    <row r="1462" spans="1:1" ht="15.75" customHeight="1" thickBot="1" x14ac:dyDescent="0.3">
      <c r="A1462" s="9"/>
    </row>
    <row r="1463" spans="1:1" ht="15.75" customHeight="1" thickBot="1" x14ac:dyDescent="0.3">
      <c r="A1463" s="9"/>
    </row>
    <row r="1464" spans="1:1" ht="15.75" customHeight="1" thickBot="1" x14ac:dyDescent="0.3">
      <c r="A1464" s="9"/>
    </row>
    <row r="1465" spans="1:1" ht="15.75" customHeight="1" thickBot="1" x14ac:dyDescent="0.3">
      <c r="A1465" s="9"/>
    </row>
    <row r="1466" spans="1:1" ht="15.75" customHeight="1" thickBot="1" x14ac:dyDescent="0.3">
      <c r="A1466" s="9"/>
    </row>
    <row r="1467" spans="1:1" ht="15.75" customHeight="1" thickBot="1" x14ac:dyDescent="0.3">
      <c r="A1467" s="9"/>
    </row>
    <row r="1468" spans="1:1" ht="15.75" customHeight="1" thickBot="1" x14ac:dyDescent="0.3">
      <c r="A1468" s="9"/>
    </row>
    <row r="1469" spans="1:1" ht="15.75" customHeight="1" thickBot="1" x14ac:dyDescent="0.3">
      <c r="A1469" s="9"/>
    </row>
    <row r="1470" spans="1:1" ht="15.75" customHeight="1" thickBot="1" x14ac:dyDescent="0.3">
      <c r="A1470" s="9"/>
    </row>
    <row r="1471" spans="1:1" ht="15.75" customHeight="1" thickBot="1" x14ac:dyDescent="0.3">
      <c r="A1471" s="9"/>
    </row>
    <row r="1472" spans="1:1" ht="15.75" customHeight="1" thickBot="1" x14ac:dyDescent="0.3">
      <c r="A1472" s="9"/>
    </row>
    <row r="1473" spans="1:1" ht="15.75" customHeight="1" thickBot="1" x14ac:dyDescent="0.3">
      <c r="A1473" s="9"/>
    </row>
    <row r="1474" spans="1:1" ht="15.75" customHeight="1" thickBot="1" x14ac:dyDescent="0.3">
      <c r="A1474" s="9"/>
    </row>
    <row r="1475" spans="1:1" ht="15.75" customHeight="1" thickBot="1" x14ac:dyDescent="0.3">
      <c r="A1475" s="9"/>
    </row>
    <row r="1476" spans="1:1" ht="15.75" customHeight="1" thickBot="1" x14ac:dyDescent="0.3">
      <c r="A1476" s="9"/>
    </row>
    <row r="1477" spans="1:1" ht="15.75" customHeight="1" thickBot="1" x14ac:dyDescent="0.3">
      <c r="A1477" s="9"/>
    </row>
    <row r="1478" spans="1:1" ht="15.75" customHeight="1" thickBot="1" x14ac:dyDescent="0.3">
      <c r="A1478" s="9"/>
    </row>
    <row r="1479" spans="1:1" ht="15.75" customHeight="1" thickBot="1" x14ac:dyDescent="0.3">
      <c r="A1479" s="9"/>
    </row>
    <row r="1480" spans="1:1" ht="15.75" customHeight="1" thickBot="1" x14ac:dyDescent="0.3">
      <c r="A1480" s="9"/>
    </row>
    <row r="1481" spans="1:1" ht="15.75" customHeight="1" thickBot="1" x14ac:dyDescent="0.3">
      <c r="A1481" s="9"/>
    </row>
    <row r="1482" spans="1:1" ht="15.75" customHeight="1" thickBot="1" x14ac:dyDescent="0.3">
      <c r="A1482" s="9"/>
    </row>
    <row r="1483" spans="1:1" ht="15.75" customHeight="1" thickBot="1" x14ac:dyDescent="0.3">
      <c r="A1483" s="9"/>
    </row>
    <row r="1484" spans="1:1" ht="15.75" customHeight="1" thickBot="1" x14ac:dyDescent="0.3">
      <c r="A1484" s="9"/>
    </row>
    <row r="1485" spans="1:1" ht="15.75" customHeight="1" thickBot="1" x14ac:dyDescent="0.3">
      <c r="A1485" s="9"/>
    </row>
    <row r="1486" spans="1:1" ht="15.75" customHeight="1" thickBot="1" x14ac:dyDescent="0.3">
      <c r="A1486" s="9"/>
    </row>
    <row r="1487" spans="1:1" ht="15.75" customHeight="1" thickBot="1" x14ac:dyDescent="0.3">
      <c r="A1487" s="9"/>
    </row>
    <row r="1488" spans="1:1" ht="15.75" customHeight="1" thickBot="1" x14ac:dyDescent="0.3">
      <c r="A1488" s="9"/>
    </row>
    <row r="1489" spans="1:1" ht="15.75" customHeight="1" thickBot="1" x14ac:dyDescent="0.3">
      <c r="A1489" s="9"/>
    </row>
    <row r="1490" spans="1:1" ht="15.75" customHeight="1" thickBot="1" x14ac:dyDescent="0.3">
      <c r="A1490" s="9"/>
    </row>
    <row r="1491" spans="1:1" ht="15.75" customHeight="1" thickBot="1" x14ac:dyDescent="0.3">
      <c r="A1491" s="9"/>
    </row>
    <row r="1492" spans="1:1" ht="15.75" customHeight="1" thickBot="1" x14ac:dyDescent="0.3">
      <c r="A1492" s="9"/>
    </row>
    <row r="1493" spans="1:1" ht="15.75" customHeight="1" thickBot="1" x14ac:dyDescent="0.3">
      <c r="A1493" s="9"/>
    </row>
    <row r="1494" spans="1:1" ht="15.75" customHeight="1" thickBot="1" x14ac:dyDescent="0.3">
      <c r="A1494" s="9"/>
    </row>
    <row r="1495" spans="1:1" ht="15.75" customHeight="1" thickBot="1" x14ac:dyDescent="0.3">
      <c r="A1495" s="9"/>
    </row>
    <row r="1496" spans="1:1" ht="15.75" customHeight="1" thickBot="1" x14ac:dyDescent="0.3">
      <c r="A1496" s="9"/>
    </row>
    <row r="1497" spans="1:1" ht="15.75" customHeight="1" thickBot="1" x14ac:dyDescent="0.3">
      <c r="A1497" s="9"/>
    </row>
    <row r="1498" spans="1:1" ht="15.75" customHeight="1" thickBot="1" x14ac:dyDescent="0.3">
      <c r="A1498" s="9"/>
    </row>
    <row r="1499" spans="1:1" ht="15.75" customHeight="1" thickBot="1" x14ac:dyDescent="0.3">
      <c r="A1499" s="9"/>
    </row>
    <row r="1500" spans="1:1" ht="15.75" customHeight="1" thickBot="1" x14ac:dyDescent="0.3">
      <c r="A1500" s="9"/>
    </row>
    <row r="1501" spans="1:1" ht="15.75" customHeight="1" thickBot="1" x14ac:dyDescent="0.3">
      <c r="A1501" s="9"/>
    </row>
    <row r="1502" spans="1:1" ht="15.75" customHeight="1" thickBot="1" x14ac:dyDescent="0.3">
      <c r="A1502" s="9"/>
    </row>
    <row r="1503" spans="1:1" ht="15.75" customHeight="1" thickBot="1" x14ac:dyDescent="0.3">
      <c r="A1503" s="9"/>
    </row>
    <row r="1504" spans="1:1" ht="15.75" customHeight="1" thickBot="1" x14ac:dyDescent="0.3">
      <c r="A1504" s="9"/>
    </row>
    <row r="1505" spans="1:1" ht="15.75" customHeight="1" thickBot="1" x14ac:dyDescent="0.3">
      <c r="A1505" s="9"/>
    </row>
    <row r="1506" spans="1:1" ht="15.75" customHeight="1" thickBot="1" x14ac:dyDescent="0.3">
      <c r="A1506" s="9"/>
    </row>
    <row r="1507" spans="1:1" ht="15.75" customHeight="1" thickBot="1" x14ac:dyDescent="0.3">
      <c r="A1507" s="9"/>
    </row>
    <row r="1508" spans="1:1" ht="15.75" customHeight="1" thickBot="1" x14ac:dyDescent="0.3">
      <c r="A1508" s="9"/>
    </row>
    <row r="1509" spans="1:1" ht="15.75" customHeight="1" thickBot="1" x14ac:dyDescent="0.3">
      <c r="A1509" s="9"/>
    </row>
    <row r="1510" spans="1:1" ht="15.75" customHeight="1" thickBot="1" x14ac:dyDescent="0.3">
      <c r="A1510" s="9"/>
    </row>
    <row r="1511" spans="1:1" ht="15.75" customHeight="1" thickBot="1" x14ac:dyDescent="0.3">
      <c r="A1511" s="9"/>
    </row>
    <row r="1512" spans="1:1" ht="15.75" customHeight="1" thickBot="1" x14ac:dyDescent="0.3">
      <c r="A1512" s="9"/>
    </row>
    <row r="1513" spans="1:1" ht="15.75" customHeight="1" thickBot="1" x14ac:dyDescent="0.3">
      <c r="A1513" s="9"/>
    </row>
    <row r="1514" spans="1:1" ht="15.75" customHeight="1" thickBot="1" x14ac:dyDescent="0.3">
      <c r="A1514" s="9"/>
    </row>
    <row r="1515" spans="1:1" ht="15.75" customHeight="1" thickBot="1" x14ac:dyDescent="0.3">
      <c r="A1515" s="9"/>
    </row>
    <row r="1516" spans="1:1" ht="15.75" customHeight="1" thickBot="1" x14ac:dyDescent="0.3">
      <c r="A1516" s="9"/>
    </row>
    <row r="1517" spans="1:1" ht="15.75" customHeight="1" thickBot="1" x14ac:dyDescent="0.3">
      <c r="A1517" s="9"/>
    </row>
    <row r="1518" spans="1:1" ht="15.75" customHeight="1" thickBot="1" x14ac:dyDescent="0.3">
      <c r="A1518" s="9"/>
    </row>
    <row r="1519" spans="1:1" ht="15.75" customHeight="1" thickBot="1" x14ac:dyDescent="0.3">
      <c r="A1519" s="9"/>
    </row>
    <row r="1520" spans="1:1" ht="15.75" customHeight="1" thickBot="1" x14ac:dyDescent="0.3">
      <c r="A1520" s="9"/>
    </row>
    <row r="1521" spans="1:1" ht="15.75" customHeight="1" thickBot="1" x14ac:dyDescent="0.3">
      <c r="A1521" s="9"/>
    </row>
    <row r="1522" spans="1:1" ht="15.75" customHeight="1" thickBot="1" x14ac:dyDescent="0.3">
      <c r="A1522" s="9"/>
    </row>
    <row r="1523" spans="1:1" ht="15.75" customHeight="1" thickBot="1" x14ac:dyDescent="0.3">
      <c r="A1523" s="9"/>
    </row>
    <row r="1524" spans="1:1" ht="15.75" customHeight="1" thickBot="1" x14ac:dyDescent="0.3">
      <c r="A1524" s="9"/>
    </row>
    <row r="1525" spans="1:1" ht="15.75" customHeight="1" thickBot="1" x14ac:dyDescent="0.3">
      <c r="A1525" s="9"/>
    </row>
    <row r="1526" spans="1:1" ht="15.75" customHeight="1" thickBot="1" x14ac:dyDescent="0.3">
      <c r="A1526" s="9"/>
    </row>
    <row r="1527" spans="1:1" ht="15.75" customHeight="1" thickBot="1" x14ac:dyDescent="0.3">
      <c r="A1527" s="9"/>
    </row>
    <row r="1528" spans="1:1" ht="15.75" customHeight="1" thickBot="1" x14ac:dyDescent="0.3">
      <c r="A1528" s="9"/>
    </row>
    <row r="1529" spans="1:1" ht="15.75" customHeight="1" thickBot="1" x14ac:dyDescent="0.3">
      <c r="A1529" s="9"/>
    </row>
    <row r="1530" spans="1:1" ht="15.75" customHeight="1" thickBot="1" x14ac:dyDescent="0.3">
      <c r="A1530" s="9"/>
    </row>
    <row r="1531" spans="1:1" ht="15.75" customHeight="1" thickBot="1" x14ac:dyDescent="0.3">
      <c r="A1531" s="9"/>
    </row>
    <row r="1532" spans="1:1" ht="15.75" customHeight="1" thickBot="1" x14ac:dyDescent="0.3">
      <c r="A1532" s="9"/>
    </row>
    <row r="1533" spans="1:1" ht="15.75" customHeight="1" thickBot="1" x14ac:dyDescent="0.3">
      <c r="A1533" s="9"/>
    </row>
    <row r="1534" spans="1:1" ht="15.75" customHeight="1" thickBot="1" x14ac:dyDescent="0.3">
      <c r="A1534" s="9"/>
    </row>
    <row r="1535" spans="1:1" ht="15.75" customHeight="1" thickBot="1" x14ac:dyDescent="0.3">
      <c r="A1535" s="9"/>
    </row>
    <row r="1536" spans="1:1" ht="15.75" customHeight="1" thickBot="1" x14ac:dyDescent="0.3">
      <c r="A1536" s="9"/>
    </row>
    <row r="1537" spans="1:1" ht="15.75" customHeight="1" thickBot="1" x14ac:dyDescent="0.3">
      <c r="A1537" s="9"/>
    </row>
    <row r="1538" spans="1:1" ht="15.75" customHeight="1" thickBot="1" x14ac:dyDescent="0.3">
      <c r="A1538" s="9"/>
    </row>
    <row r="1539" spans="1:1" ht="15.75" customHeight="1" thickBot="1" x14ac:dyDescent="0.3">
      <c r="A1539" s="9"/>
    </row>
    <row r="1540" spans="1:1" ht="15.75" customHeight="1" thickBot="1" x14ac:dyDescent="0.3">
      <c r="A1540" s="9"/>
    </row>
    <row r="1541" spans="1:1" ht="15.75" customHeight="1" thickBot="1" x14ac:dyDescent="0.3">
      <c r="A1541" s="9"/>
    </row>
    <row r="1542" spans="1:1" ht="15.75" customHeight="1" thickBot="1" x14ac:dyDescent="0.3">
      <c r="A1542" s="9"/>
    </row>
    <row r="1543" spans="1:1" ht="15.75" customHeight="1" thickBot="1" x14ac:dyDescent="0.3">
      <c r="A1543" s="9"/>
    </row>
    <row r="1544" spans="1:1" ht="15.75" customHeight="1" thickBot="1" x14ac:dyDescent="0.3">
      <c r="A1544" s="9"/>
    </row>
    <row r="1545" spans="1:1" ht="15.75" customHeight="1" thickBot="1" x14ac:dyDescent="0.3">
      <c r="A1545" s="9"/>
    </row>
    <row r="1546" spans="1:1" ht="15.75" customHeight="1" thickBot="1" x14ac:dyDescent="0.3">
      <c r="A1546" s="9"/>
    </row>
    <row r="1547" spans="1:1" ht="15.75" customHeight="1" thickBot="1" x14ac:dyDescent="0.3">
      <c r="A1547" s="9"/>
    </row>
    <row r="1548" spans="1:1" ht="15.75" customHeight="1" thickBot="1" x14ac:dyDescent="0.3">
      <c r="A1548" s="9"/>
    </row>
    <row r="1549" spans="1:1" ht="15.75" customHeight="1" thickBot="1" x14ac:dyDescent="0.3">
      <c r="A1549" s="9"/>
    </row>
    <row r="1550" spans="1:1" ht="15.75" customHeight="1" thickBot="1" x14ac:dyDescent="0.3">
      <c r="A1550" s="9"/>
    </row>
    <row r="1551" spans="1:1" ht="15.75" customHeight="1" thickBot="1" x14ac:dyDescent="0.3">
      <c r="A1551" s="9"/>
    </row>
    <row r="1552" spans="1:1" ht="15.75" customHeight="1" thickBot="1" x14ac:dyDescent="0.3">
      <c r="A1552" s="9"/>
    </row>
    <row r="1553" spans="1:1" ht="15.75" customHeight="1" thickBot="1" x14ac:dyDescent="0.3">
      <c r="A1553" s="9"/>
    </row>
    <row r="1554" spans="1:1" ht="15.75" customHeight="1" thickBot="1" x14ac:dyDescent="0.3">
      <c r="A1554" s="9"/>
    </row>
    <row r="1555" spans="1:1" ht="15.75" customHeight="1" thickBot="1" x14ac:dyDescent="0.3">
      <c r="A1555" s="9"/>
    </row>
    <row r="1556" spans="1:1" ht="15.75" customHeight="1" thickBot="1" x14ac:dyDescent="0.3">
      <c r="A1556" s="9"/>
    </row>
    <row r="1557" spans="1:1" ht="15.75" customHeight="1" thickBot="1" x14ac:dyDescent="0.3">
      <c r="A1557" s="9"/>
    </row>
    <row r="1558" spans="1:1" ht="15.75" customHeight="1" thickBot="1" x14ac:dyDescent="0.3">
      <c r="A1558" s="9"/>
    </row>
    <row r="1559" spans="1:1" ht="15.75" customHeight="1" thickBot="1" x14ac:dyDescent="0.3">
      <c r="A1559" s="9"/>
    </row>
    <row r="1560" spans="1:1" ht="15.75" customHeight="1" thickBot="1" x14ac:dyDescent="0.3">
      <c r="A1560" s="9"/>
    </row>
    <row r="1561" spans="1:1" ht="15.75" customHeight="1" thickBot="1" x14ac:dyDescent="0.3">
      <c r="A1561" s="9"/>
    </row>
    <row r="1562" spans="1:1" ht="15.75" customHeight="1" thickBot="1" x14ac:dyDescent="0.3">
      <c r="A1562" s="9"/>
    </row>
    <row r="1563" spans="1:1" ht="15.75" customHeight="1" thickBot="1" x14ac:dyDescent="0.3">
      <c r="A1563" s="9"/>
    </row>
    <row r="1564" spans="1:1" ht="15.75" customHeight="1" thickBot="1" x14ac:dyDescent="0.3">
      <c r="A1564" s="9"/>
    </row>
    <row r="1565" spans="1:1" ht="15.75" customHeight="1" thickBot="1" x14ac:dyDescent="0.3">
      <c r="A1565" s="9"/>
    </row>
    <row r="1566" spans="1:1" ht="15.75" customHeight="1" thickBot="1" x14ac:dyDescent="0.3">
      <c r="A1566" s="9"/>
    </row>
    <row r="1567" spans="1:1" ht="15.75" customHeight="1" thickBot="1" x14ac:dyDescent="0.3">
      <c r="A1567" s="9"/>
    </row>
    <row r="1568" spans="1:1" ht="15.75" customHeight="1" thickBot="1" x14ac:dyDescent="0.3">
      <c r="A1568" s="9"/>
    </row>
    <row r="1569" spans="1:1" ht="15.75" customHeight="1" thickBot="1" x14ac:dyDescent="0.3">
      <c r="A1569" s="9"/>
    </row>
    <row r="1570" spans="1:1" ht="15.75" customHeight="1" thickBot="1" x14ac:dyDescent="0.3">
      <c r="A1570" s="9"/>
    </row>
    <row r="1571" spans="1:1" ht="15.75" customHeight="1" thickBot="1" x14ac:dyDescent="0.3">
      <c r="A1571" s="9"/>
    </row>
    <row r="1572" spans="1:1" ht="15.75" customHeight="1" thickBot="1" x14ac:dyDescent="0.3">
      <c r="A1572" s="9"/>
    </row>
    <row r="1573" spans="1:1" ht="15.75" customHeight="1" thickBot="1" x14ac:dyDescent="0.3">
      <c r="A1573" s="9"/>
    </row>
    <row r="1574" spans="1:1" ht="15.75" customHeight="1" thickBot="1" x14ac:dyDescent="0.3">
      <c r="A1574" s="9"/>
    </row>
    <row r="1575" spans="1:1" ht="15.75" customHeight="1" thickBot="1" x14ac:dyDescent="0.3">
      <c r="A1575" s="9"/>
    </row>
    <row r="1576" spans="1:1" ht="15.75" customHeight="1" thickBot="1" x14ac:dyDescent="0.3">
      <c r="A1576" s="9"/>
    </row>
    <row r="1577" spans="1:1" ht="15.75" customHeight="1" thickBot="1" x14ac:dyDescent="0.3">
      <c r="A1577" s="9"/>
    </row>
    <row r="1578" spans="1:1" ht="15.75" customHeight="1" thickBot="1" x14ac:dyDescent="0.3">
      <c r="A1578" s="9"/>
    </row>
    <row r="1579" spans="1:1" ht="15.75" customHeight="1" thickBot="1" x14ac:dyDescent="0.3">
      <c r="A1579" s="9"/>
    </row>
    <row r="1580" spans="1:1" ht="15.75" customHeight="1" thickBot="1" x14ac:dyDescent="0.3">
      <c r="A1580" s="9"/>
    </row>
    <row r="1581" spans="1:1" ht="15.75" customHeight="1" thickBot="1" x14ac:dyDescent="0.3">
      <c r="A1581" s="9"/>
    </row>
    <row r="1582" spans="1:1" ht="15.75" customHeight="1" thickBot="1" x14ac:dyDescent="0.3">
      <c r="A1582" s="9"/>
    </row>
    <row r="1583" spans="1:1" ht="15.75" customHeight="1" thickBot="1" x14ac:dyDescent="0.3">
      <c r="A1583" s="9"/>
    </row>
    <row r="1584" spans="1:1" ht="15.75" customHeight="1" thickBot="1" x14ac:dyDescent="0.3">
      <c r="A1584" s="9"/>
    </row>
    <row r="1585" spans="1:1" ht="15.75" customHeight="1" thickBot="1" x14ac:dyDescent="0.3">
      <c r="A1585" s="9"/>
    </row>
    <row r="1586" spans="1:1" ht="15.75" customHeight="1" thickBot="1" x14ac:dyDescent="0.3">
      <c r="A1586" s="9"/>
    </row>
    <row r="1587" spans="1:1" ht="15.75" customHeight="1" thickBot="1" x14ac:dyDescent="0.3">
      <c r="A1587" s="9"/>
    </row>
    <row r="1588" spans="1:1" ht="15.75" customHeight="1" thickBot="1" x14ac:dyDescent="0.3">
      <c r="A1588" s="9"/>
    </row>
    <row r="1589" spans="1:1" ht="15.75" customHeight="1" thickBot="1" x14ac:dyDescent="0.3">
      <c r="A1589" s="9"/>
    </row>
    <row r="1590" spans="1:1" ht="15.75" customHeight="1" thickBot="1" x14ac:dyDescent="0.3">
      <c r="A1590" s="9"/>
    </row>
    <row r="1591" spans="1:1" ht="15.75" customHeight="1" thickBot="1" x14ac:dyDescent="0.3">
      <c r="A1591" s="9"/>
    </row>
    <row r="1592" spans="1:1" ht="15.75" customHeight="1" thickBot="1" x14ac:dyDescent="0.3">
      <c r="A1592" s="9"/>
    </row>
    <row r="1593" spans="1:1" ht="15.75" customHeight="1" thickBot="1" x14ac:dyDescent="0.3">
      <c r="A1593" s="9"/>
    </row>
    <row r="1594" spans="1:1" ht="15.75" customHeight="1" thickBot="1" x14ac:dyDescent="0.3">
      <c r="A1594" s="9"/>
    </row>
    <row r="1595" spans="1:1" ht="15.75" customHeight="1" thickBot="1" x14ac:dyDescent="0.3">
      <c r="A1595" s="9"/>
    </row>
    <row r="1596" spans="1:1" ht="15.75" customHeight="1" thickBot="1" x14ac:dyDescent="0.3">
      <c r="A1596" s="9"/>
    </row>
    <row r="1597" spans="1:1" ht="15.75" customHeight="1" thickBot="1" x14ac:dyDescent="0.3">
      <c r="A1597" s="9"/>
    </row>
    <row r="1598" spans="1:1" ht="15.75" customHeight="1" thickBot="1" x14ac:dyDescent="0.3">
      <c r="A1598" s="9"/>
    </row>
    <row r="1599" spans="1:1" ht="15.75" customHeight="1" thickBot="1" x14ac:dyDescent="0.3">
      <c r="A1599" s="9"/>
    </row>
    <row r="1600" spans="1:1" ht="15.75" customHeight="1" thickBot="1" x14ac:dyDescent="0.3">
      <c r="A1600" s="9"/>
    </row>
    <row r="1601" spans="1:1" ht="15.75" customHeight="1" thickBot="1" x14ac:dyDescent="0.3">
      <c r="A1601" s="9"/>
    </row>
    <row r="1602" spans="1:1" ht="15.75" customHeight="1" thickBot="1" x14ac:dyDescent="0.3">
      <c r="A1602" s="9"/>
    </row>
    <row r="1603" spans="1:1" ht="15.75" customHeight="1" thickBot="1" x14ac:dyDescent="0.3">
      <c r="A1603" s="9"/>
    </row>
    <row r="1604" spans="1:1" ht="15.75" customHeight="1" thickBot="1" x14ac:dyDescent="0.3">
      <c r="A1604" s="9"/>
    </row>
    <row r="1605" spans="1:1" ht="15.75" customHeight="1" thickBot="1" x14ac:dyDescent="0.3">
      <c r="A1605" s="9"/>
    </row>
    <row r="1606" spans="1:1" ht="15.75" customHeight="1" thickBot="1" x14ac:dyDescent="0.3">
      <c r="A1606" s="9"/>
    </row>
    <row r="1607" spans="1:1" ht="15.75" customHeight="1" thickBot="1" x14ac:dyDescent="0.3">
      <c r="A1607" s="9"/>
    </row>
    <row r="1608" spans="1:1" ht="15.75" customHeight="1" thickBot="1" x14ac:dyDescent="0.3">
      <c r="A1608" s="9"/>
    </row>
    <row r="1609" spans="1:1" ht="15.75" customHeight="1" thickBot="1" x14ac:dyDescent="0.3">
      <c r="A1609" s="9"/>
    </row>
    <row r="1610" spans="1:1" ht="15.75" customHeight="1" thickBot="1" x14ac:dyDescent="0.3">
      <c r="A1610" s="9"/>
    </row>
    <row r="1611" spans="1:1" ht="15.75" customHeight="1" thickBot="1" x14ac:dyDescent="0.3">
      <c r="A1611" s="9"/>
    </row>
    <row r="1612" spans="1:1" ht="15.75" customHeight="1" thickBot="1" x14ac:dyDescent="0.3">
      <c r="A1612" s="9"/>
    </row>
    <row r="1613" spans="1:1" ht="15.75" customHeight="1" thickBot="1" x14ac:dyDescent="0.3">
      <c r="A1613" s="9"/>
    </row>
    <row r="1614" spans="1:1" ht="15.75" customHeight="1" thickBot="1" x14ac:dyDescent="0.3">
      <c r="A1614" s="9"/>
    </row>
    <row r="1615" spans="1:1" ht="15.75" customHeight="1" thickBot="1" x14ac:dyDescent="0.3">
      <c r="A1615" s="9"/>
    </row>
    <row r="1616" spans="1:1" ht="15.75" customHeight="1" thickBot="1" x14ac:dyDescent="0.3">
      <c r="A1616" s="9"/>
    </row>
    <row r="1617" spans="1:1" ht="15.75" customHeight="1" thickBot="1" x14ac:dyDescent="0.3">
      <c r="A1617" s="9"/>
    </row>
    <row r="1618" spans="1:1" ht="15.75" customHeight="1" thickBot="1" x14ac:dyDescent="0.3">
      <c r="A1618" s="9"/>
    </row>
    <row r="1619" spans="1:1" ht="15.75" customHeight="1" thickBot="1" x14ac:dyDescent="0.3">
      <c r="A1619" s="9"/>
    </row>
    <row r="1620" spans="1:1" ht="15.75" customHeight="1" thickBot="1" x14ac:dyDescent="0.3">
      <c r="A1620" s="9"/>
    </row>
    <row r="1621" spans="1:1" ht="15.75" customHeight="1" thickBot="1" x14ac:dyDescent="0.3">
      <c r="A1621" s="9"/>
    </row>
    <row r="1622" spans="1:1" ht="15.75" customHeight="1" thickBot="1" x14ac:dyDescent="0.3">
      <c r="A1622" s="9"/>
    </row>
    <row r="1623" spans="1:1" ht="15.75" customHeight="1" thickBot="1" x14ac:dyDescent="0.3">
      <c r="A1623" s="9"/>
    </row>
    <row r="1624" spans="1:1" ht="15.75" customHeight="1" thickBot="1" x14ac:dyDescent="0.3">
      <c r="A1624" s="9"/>
    </row>
    <row r="1625" spans="1:1" ht="15.75" customHeight="1" thickBot="1" x14ac:dyDescent="0.3">
      <c r="A1625" s="9"/>
    </row>
    <row r="1626" spans="1:1" ht="15.75" customHeight="1" thickBot="1" x14ac:dyDescent="0.3">
      <c r="A1626" s="9"/>
    </row>
    <row r="1627" spans="1:1" ht="15.75" customHeight="1" thickBot="1" x14ac:dyDescent="0.3">
      <c r="A1627" s="9"/>
    </row>
    <row r="1628" spans="1:1" ht="15.75" customHeight="1" thickBot="1" x14ac:dyDescent="0.3">
      <c r="A1628" s="9"/>
    </row>
    <row r="1629" spans="1:1" ht="15.75" customHeight="1" thickBot="1" x14ac:dyDescent="0.3">
      <c r="A1629" s="9"/>
    </row>
    <row r="1630" spans="1:1" ht="15.75" customHeight="1" thickBot="1" x14ac:dyDescent="0.3">
      <c r="A1630" s="9"/>
    </row>
    <row r="1631" spans="1:1" ht="15.75" customHeight="1" thickBot="1" x14ac:dyDescent="0.3">
      <c r="A1631" s="9"/>
    </row>
    <row r="1632" spans="1:1" ht="15.75" customHeight="1" thickBot="1" x14ac:dyDescent="0.3">
      <c r="A1632" s="9"/>
    </row>
    <row r="1633" spans="1:1" ht="15.75" customHeight="1" thickBot="1" x14ac:dyDescent="0.3">
      <c r="A1633" s="9"/>
    </row>
    <row r="1634" spans="1:1" ht="15.75" customHeight="1" thickBot="1" x14ac:dyDescent="0.3">
      <c r="A1634" s="9"/>
    </row>
    <row r="1635" spans="1:1" ht="15.75" customHeight="1" thickBot="1" x14ac:dyDescent="0.3">
      <c r="A1635" s="9"/>
    </row>
    <row r="1636" spans="1:1" ht="15.75" customHeight="1" thickBot="1" x14ac:dyDescent="0.3">
      <c r="A1636" s="9"/>
    </row>
    <row r="1637" spans="1:1" ht="15.75" customHeight="1" thickBot="1" x14ac:dyDescent="0.3">
      <c r="A1637" s="9"/>
    </row>
    <row r="1638" spans="1:1" ht="15.75" customHeight="1" thickBot="1" x14ac:dyDescent="0.3">
      <c r="A1638" s="9"/>
    </row>
    <row r="1639" spans="1:1" ht="15.75" customHeight="1" thickBot="1" x14ac:dyDescent="0.3">
      <c r="A1639" s="9"/>
    </row>
    <row r="1640" spans="1:1" ht="15.75" customHeight="1" thickBot="1" x14ac:dyDescent="0.3">
      <c r="A1640" s="9"/>
    </row>
    <row r="1641" spans="1:1" ht="15.75" customHeight="1" thickBot="1" x14ac:dyDescent="0.3">
      <c r="A1641" s="9"/>
    </row>
    <row r="1642" spans="1:1" ht="15.75" customHeight="1" thickBot="1" x14ac:dyDescent="0.3">
      <c r="A1642" s="9"/>
    </row>
    <row r="1643" spans="1:1" ht="15.75" customHeight="1" thickBot="1" x14ac:dyDescent="0.3">
      <c r="A1643" s="9"/>
    </row>
    <row r="1644" spans="1:1" ht="15.75" customHeight="1" thickBot="1" x14ac:dyDescent="0.3">
      <c r="A1644" s="9"/>
    </row>
    <row r="1645" spans="1:1" ht="15.75" customHeight="1" thickBot="1" x14ac:dyDescent="0.3">
      <c r="A1645" s="9"/>
    </row>
    <row r="1646" spans="1:1" ht="15.75" customHeight="1" thickBot="1" x14ac:dyDescent="0.3">
      <c r="A1646" s="9"/>
    </row>
    <row r="1647" spans="1:1" ht="15.75" customHeight="1" thickBot="1" x14ac:dyDescent="0.3">
      <c r="A1647" s="9"/>
    </row>
    <row r="1648" spans="1:1" ht="15.75" customHeight="1" thickBot="1" x14ac:dyDescent="0.3">
      <c r="A1648" s="9"/>
    </row>
    <row r="1649" spans="1:1" ht="15.75" customHeight="1" thickBot="1" x14ac:dyDescent="0.3">
      <c r="A1649" s="9"/>
    </row>
    <row r="1650" spans="1:1" ht="15.75" customHeight="1" thickBot="1" x14ac:dyDescent="0.3">
      <c r="A1650" s="9"/>
    </row>
    <row r="1651" spans="1:1" ht="15.75" customHeight="1" thickBot="1" x14ac:dyDescent="0.3">
      <c r="A1651" s="9"/>
    </row>
    <row r="1652" spans="1:1" ht="15.75" customHeight="1" thickBot="1" x14ac:dyDescent="0.3">
      <c r="A1652" s="9"/>
    </row>
    <row r="1653" spans="1:1" ht="15.75" customHeight="1" thickBot="1" x14ac:dyDescent="0.3">
      <c r="A1653" s="9"/>
    </row>
    <row r="1654" spans="1:1" ht="15.75" customHeight="1" thickBot="1" x14ac:dyDescent="0.3">
      <c r="A1654" s="9"/>
    </row>
    <row r="1655" spans="1:1" ht="15.75" customHeight="1" thickBot="1" x14ac:dyDescent="0.3">
      <c r="A1655" s="9"/>
    </row>
    <row r="1656" spans="1:1" ht="15.75" customHeight="1" thickBot="1" x14ac:dyDescent="0.3">
      <c r="A1656" s="9"/>
    </row>
    <row r="1657" spans="1:1" ht="15.75" customHeight="1" thickBot="1" x14ac:dyDescent="0.3">
      <c r="A1657" s="9"/>
    </row>
    <row r="1658" spans="1:1" ht="15.75" customHeight="1" thickBot="1" x14ac:dyDescent="0.3">
      <c r="A1658" s="9"/>
    </row>
    <row r="1659" spans="1:1" ht="15.75" customHeight="1" thickBot="1" x14ac:dyDescent="0.3">
      <c r="A1659" s="9"/>
    </row>
    <row r="1660" spans="1:1" ht="15.75" customHeight="1" thickBot="1" x14ac:dyDescent="0.3">
      <c r="A1660" s="9"/>
    </row>
    <row r="1661" spans="1:1" ht="15.75" customHeight="1" thickBot="1" x14ac:dyDescent="0.3">
      <c r="A1661" s="9"/>
    </row>
    <row r="1662" spans="1:1" ht="15.75" customHeight="1" thickBot="1" x14ac:dyDescent="0.3">
      <c r="A1662" s="9"/>
    </row>
    <row r="1663" spans="1:1" ht="15.75" customHeight="1" thickBot="1" x14ac:dyDescent="0.3">
      <c r="A1663" s="9"/>
    </row>
    <row r="1664" spans="1:1" ht="15.75" customHeight="1" thickBot="1" x14ac:dyDescent="0.3">
      <c r="A1664" s="9"/>
    </row>
    <row r="1665" spans="1:1" ht="15.75" customHeight="1" thickBot="1" x14ac:dyDescent="0.3">
      <c r="A1665" s="9"/>
    </row>
    <row r="1666" spans="1:1" ht="15.75" customHeight="1" thickBot="1" x14ac:dyDescent="0.3">
      <c r="A1666" s="9"/>
    </row>
    <row r="1667" spans="1:1" ht="15.75" customHeight="1" thickBot="1" x14ac:dyDescent="0.3">
      <c r="A1667" s="9"/>
    </row>
    <row r="1668" spans="1:1" ht="15.75" customHeight="1" thickBot="1" x14ac:dyDescent="0.3">
      <c r="A1668" s="9"/>
    </row>
    <row r="1669" spans="1:1" ht="15.75" customHeight="1" thickBot="1" x14ac:dyDescent="0.3">
      <c r="A1669" s="9"/>
    </row>
    <row r="1670" spans="1:1" ht="15.75" customHeight="1" thickBot="1" x14ac:dyDescent="0.3">
      <c r="A1670" s="9"/>
    </row>
    <row r="1671" spans="1:1" ht="15.75" customHeight="1" thickBot="1" x14ac:dyDescent="0.3">
      <c r="A1671" s="9"/>
    </row>
    <row r="1672" spans="1:1" ht="15.75" customHeight="1" thickBot="1" x14ac:dyDescent="0.3">
      <c r="A1672" s="9"/>
    </row>
    <row r="1673" spans="1:1" ht="15.75" customHeight="1" thickBot="1" x14ac:dyDescent="0.3">
      <c r="A1673" s="9"/>
    </row>
    <row r="1674" spans="1:1" ht="15.75" customHeight="1" thickBot="1" x14ac:dyDescent="0.3">
      <c r="A1674" s="9"/>
    </row>
    <row r="1675" spans="1:1" ht="15.75" customHeight="1" thickBot="1" x14ac:dyDescent="0.3">
      <c r="A1675" s="9"/>
    </row>
    <row r="1676" spans="1:1" ht="15.75" customHeight="1" thickBot="1" x14ac:dyDescent="0.3">
      <c r="A1676" s="9"/>
    </row>
    <row r="1677" spans="1:1" ht="15.75" customHeight="1" thickBot="1" x14ac:dyDescent="0.3">
      <c r="A1677" s="9"/>
    </row>
    <row r="1678" spans="1:1" ht="15.75" customHeight="1" thickBot="1" x14ac:dyDescent="0.3">
      <c r="A1678" s="9"/>
    </row>
    <row r="1679" spans="1:1" ht="15.75" customHeight="1" thickBot="1" x14ac:dyDescent="0.3">
      <c r="A1679" s="9"/>
    </row>
    <row r="1680" spans="1:1" ht="15.75" customHeight="1" thickBot="1" x14ac:dyDescent="0.3">
      <c r="A1680" s="9"/>
    </row>
    <row r="1681" spans="1:1" ht="15.75" customHeight="1" thickBot="1" x14ac:dyDescent="0.3">
      <c r="A1681" s="9"/>
    </row>
    <row r="1682" spans="1:1" ht="15.75" customHeight="1" thickBot="1" x14ac:dyDescent="0.3">
      <c r="A1682" s="9"/>
    </row>
    <row r="1683" spans="1:1" ht="15.75" customHeight="1" thickBot="1" x14ac:dyDescent="0.3">
      <c r="A1683" s="9"/>
    </row>
    <row r="1684" spans="1:1" ht="15.75" customHeight="1" thickBot="1" x14ac:dyDescent="0.3">
      <c r="A1684" s="9"/>
    </row>
    <row r="1685" spans="1:1" ht="15.75" customHeight="1" thickBot="1" x14ac:dyDescent="0.3">
      <c r="A1685" s="9"/>
    </row>
    <row r="1686" spans="1:1" ht="15.75" customHeight="1" thickBot="1" x14ac:dyDescent="0.3">
      <c r="A1686" s="9"/>
    </row>
    <row r="1687" spans="1:1" ht="15.75" customHeight="1" thickBot="1" x14ac:dyDescent="0.3">
      <c r="A1687" s="9"/>
    </row>
    <row r="1688" spans="1:1" ht="15.75" customHeight="1" thickBot="1" x14ac:dyDescent="0.3">
      <c r="A1688" s="9"/>
    </row>
    <row r="1689" spans="1:1" ht="15.75" customHeight="1" thickBot="1" x14ac:dyDescent="0.3">
      <c r="A1689" s="9"/>
    </row>
    <row r="1690" spans="1:1" ht="15.75" customHeight="1" thickBot="1" x14ac:dyDescent="0.3">
      <c r="A1690" s="9"/>
    </row>
    <row r="1691" spans="1:1" ht="15.75" customHeight="1" thickBot="1" x14ac:dyDescent="0.3">
      <c r="A1691" s="9"/>
    </row>
    <row r="1692" spans="1:1" ht="15.75" customHeight="1" thickBot="1" x14ac:dyDescent="0.3">
      <c r="A1692" s="9"/>
    </row>
    <row r="1693" spans="1:1" ht="15.75" customHeight="1" thickBot="1" x14ac:dyDescent="0.3">
      <c r="A1693" s="9"/>
    </row>
    <row r="1694" spans="1:1" ht="15.75" customHeight="1" thickBot="1" x14ac:dyDescent="0.3">
      <c r="A1694" s="9"/>
    </row>
    <row r="1695" spans="1:1" ht="15.75" customHeight="1" thickBot="1" x14ac:dyDescent="0.3">
      <c r="A1695" s="9"/>
    </row>
    <row r="1696" spans="1:1" ht="15.75" customHeight="1" thickBot="1" x14ac:dyDescent="0.3">
      <c r="A1696" s="9"/>
    </row>
    <row r="1697" spans="1:1" ht="15.75" customHeight="1" thickBot="1" x14ac:dyDescent="0.3">
      <c r="A1697" s="9"/>
    </row>
    <row r="1698" spans="1:1" ht="15.75" customHeight="1" thickBot="1" x14ac:dyDescent="0.3">
      <c r="A1698" s="9"/>
    </row>
    <row r="1699" spans="1:1" ht="15.75" customHeight="1" thickBot="1" x14ac:dyDescent="0.3">
      <c r="A1699" s="9"/>
    </row>
    <row r="1700" spans="1:1" ht="15.75" customHeight="1" thickBot="1" x14ac:dyDescent="0.3">
      <c r="A1700" s="9"/>
    </row>
    <row r="1701" spans="1:1" ht="15.75" customHeight="1" thickBot="1" x14ac:dyDescent="0.3">
      <c r="A1701" s="9"/>
    </row>
    <row r="1702" spans="1:1" ht="15.75" customHeight="1" thickBot="1" x14ac:dyDescent="0.3">
      <c r="A1702" s="9"/>
    </row>
    <row r="1703" spans="1:1" ht="15.75" customHeight="1" thickBot="1" x14ac:dyDescent="0.3">
      <c r="A1703" s="9"/>
    </row>
    <row r="1704" spans="1:1" ht="15.75" customHeight="1" thickBot="1" x14ac:dyDescent="0.3">
      <c r="A1704" s="9"/>
    </row>
    <row r="1705" spans="1:1" ht="15.75" customHeight="1" thickBot="1" x14ac:dyDescent="0.3">
      <c r="A1705" s="9"/>
    </row>
    <row r="1706" spans="1:1" ht="15.75" customHeight="1" thickBot="1" x14ac:dyDescent="0.3">
      <c r="A1706" s="9"/>
    </row>
    <row r="1707" spans="1:1" ht="15.75" customHeight="1" thickBot="1" x14ac:dyDescent="0.3">
      <c r="A1707" s="9"/>
    </row>
    <row r="1708" spans="1:1" ht="15.75" customHeight="1" thickBot="1" x14ac:dyDescent="0.3">
      <c r="A1708" s="9"/>
    </row>
    <row r="1709" spans="1:1" ht="15.75" customHeight="1" thickBot="1" x14ac:dyDescent="0.3">
      <c r="A1709" s="9"/>
    </row>
    <row r="1710" spans="1:1" ht="15.75" customHeight="1" thickBot="1" x14ac:dyDescent="0.3">
      <c r="A1710" s="9"/>
    </row>
    <row r="1711" spans="1:1" ht="15.75" customHeight="1" thickBot="1" x14ac:dyDescent="0.3">
      <c r="A1711" s="9"/>
    </row>
    <row r="1712" spans="1:1" ht="15.75" customHeight="1" thickBot="1" x14ac:dyDescent="0.3">
      <c r="A1712" s="9"/>
    </row>
    <row r="1713" spans="1:1" ht="15.75" customHeight="1" thickBot="1" x14ac:dyDescent="0.3">
      <c r="A1713" s="9"/>
    </row>
    <row r="1714" spans="1:1" ht="15.75" customHeight="1" thickBot="1" x14ac:dyDescent="0.3">
      <c r="A1714" s="9"/>
    </row>
    <row r="1715" spans="1:1" ht="15.75" customHeight="1" thickBot="1" x14ac:dyDescent="0.3">
      <c r="A1715" s="9"/>
    </row>
    <row r="1716" spans="1:1" ht="15.75" customHeight="1" thickBot="1" x14ac:dyDescent="0.3">
      <c r="A1716" s="9"/>
    </row>
    <row r="1717" spans="1:1" ht="15.75" customHeight="1" thickBot="1" x14ac:dyDescent="0.3">
      <c r="A1717" s="9"/>
    </row>
    <row r="1718" spans="1:1" ht="15.75" customHeight="1" thickBot="1" x14ac:dyDescent="0.3">
      <c r="A1718" s="9"/>
    </row>
    <row r="1719" spans="1:1" ht="15.75" customHeight="1" thickBot="1" x14ac:dyDescent="0.3">
      <c r="A1719" s="9"/>
    </row>
    <row r="1720" spans="1:1" ht="15.75" customHeight="1" thickBot="1" x14ac:dyDescent="0.3">
      <c r="A1720" s="9"/>
    </row>
    <row r="1721" spans="1:1" ht="15.75" customHeight="1" thickBot="1" x14ac:dyDescent="0.3">
      <c r="A1721" s="9"/>
    </row>
    <row r="1722" spans="1:1" ht="15.75" customHeight="1" thickBot="1" x14ac:dyDescent="0.3">
      <c r="A1722" s="9"/>
    </row>
    <row r="1723" spans="1:1" ht="15.75" customHeight="1" thickBot="1" x14ac:dyDescent="0.3">
      <c r="A1723" s="9"/>
    </row>
    <row r="1724" spans="1:1" ht="15.75" customHeight="1" thickBot="1" x14ac:dyDescent="0.3">
      <c r="A1724" s="9"/>
    </row>
    <row r="1725" spans="1:1" ht="15.75" customHeight="1" thickBot="1" x14ac:dyDescent="0.3">
      <c r="A1725" s="9"/>
    </row>
    <row r="1726" spans="1:1" ht="15.75" customHeight="1" thickBot="1" x14ac:dyDescent="0.3">
      <c r="A1726" s="9"/>
    </row>
    <row r="1727" spans="1:1" ht="15.75" customHeight="1" thickBot="1" x14ac:dyDescent="0.3">
      <c r="A1727" s="9"/>
    </row>
    <row r="1728" spans="1:1" ht="15.75" customHeight="1" thickBot="1" x14ac:dyDescent="0.3">
      <c r="A1728" s="9"/>
    </row>
    <row r="1729" spans="1:1" ht="15.75" customHeight="1" thickBot="1" x14ac:dyDescent="0.3">
      <c r="A1729" s="9"/>
    </row>
    <row r="1730" spans="1:1" ht="15.75" customHeight="1" thickBot="1" x14ac:dyDescent="0.3">
      <c r="A1730" s="9"/>
    </row>
    <row r="1731" spans="1:1" ht="15.75" customHeight="1" thickBot="1" x14ac:dyDescent="0.3">
      <c r="A1731" s="9"/>
    </row>
    <row r="1732" spans="1:1" ht="15.75" customHeight="1" thickBot="1" x14ac:dyDescent="0.3">
      <c r="A1732" s="9"/>
    </row>
    <row r="1733" spans="1:1" ht="15.75" customHeight="1" thickBot="1" x14ac:dyDescent="0.3">
      <c r="A1733" s="9"/>
    </row>
    <row r="1734" spans="1:1" ht="15.75" customHeight="1" thickBot="1" x14ac:dyDescent="0.3">
      <c r="A1734" s="9"/>
    </row>
    <row r="1735" spans="1:1" ht="15.75" customHeight="1" thickBot="1" x14ac:dyDescent="0.3">
      <c r="A1735" s="9"/>
    </row>
    <row r="1736" spans="1:1" ht="15.75" customHeight="1" thickBot="1" x14ac:dyDescent="0.3">
      <c r="A1736" s="9"/>
    </row>
    <row r="1737" spans="1:1" ht="15.75" customHeight="1" thickBot="1" x14ac:dyDescent="0.3">
      <c r="A1737" s="9"/>
    </row>
    <row r="1738" spans="1:1" ht="15.75" customHeight="1" thickBot="1" x14ac:dyDescent="0.3">
      <c r="A1738" s="9"/>
    </row>
    <row r="1739" spans="1:1" ht="15.75" customHeight="1" thickBot="1" x14ac:dyDescent="0.3">
      <c r="A1739" s="9"/>
    </row>
    <row r="1740" spans="1:1" ht="15.75" customHeight="1" thickBot="1" x14ac:dyDescent="0.3">
      <c r="A1740" s="9"/>
    </row>
    <row r="1741" spans="1:1" ht="15.75" customHeight="1" thickBot="1" x14ac:dyDescent="0.3">
      <c r="A1741" s="9"/>
    </row>
    <row r="1742" spans="1:1" ht="15.75" customHeight="1" thickBot="1" x14ac:dyDescent="0.3">
      <c r="A1742" s="9"/>
    </row>
    <row r="1743" spans="1:1" ht="15.75" customHeight="1" thickBot="1" x14ac:dyDescent="0.3">
      <c r="A1743" s="9"/>
    </row>
    <row r="1744" spans="1:1" ht="15.75" customHeight="1" thickBot="1" x14ac:dyDescent="0.3">
      <c r="A1744" s="9"/>
    </row>
    <row r="1745" spans="1:1" ht="15.75" customHeight="1" thickBot="1" x14ac:dyDescent="0.3">
      <c r="A1745" s="9"/>
    </row>
    <row r="1746" spans="1:1" ht="15.75" customHeight="1" thickBot="1" x14ac:dyDescent="0.3">
      <c r="A1746" s="9"/>
    </row>
    <row r="1747" spans="1:1" ht="15.75" customHeight="1" thickBot="1" x14ac:dyDescent="0.3">
      <c r="A1747" s="9"/>
    </row>
    <row r="1748" spans="1:1" ht="15.75" customHeight="1" thickBot="1" x14ac:dyDescent="0.3">
      <c r="A1748" s="9"/>
    </row>
    <row r="1749" spans="1:1" ht="15.75" customHeight="1" thickBot="1" x14ac:dyDescent="0.3">
      <c r="A1749" s="9"/>
    </row>
    <row r="1750" spans="1:1" ht="15.75" customHeight="1" thickBot="1" x14ac:dyDescent="0.3">
      <c r="A1750" s="9"/>
    </row>
    <row r="1751" spans="1:1" ht="15.75" customHeight="1" thickBot="1" x14ac:dyDescent="0.3">
      <c r="A1751" s="9"/>
    </row>
    <row r="1752" spans="1:1" ht="15.75" customHeight="1" thickBot="1" x14ac:dyDescent="0.3">
      <c r="A1752" s="9"/>
    </row>
    <row r="1753" spans="1:1" ht="15.75" customHeight="1" thickBot="1" x14ac:dyDescent="0.3">
      <c r="A1753" s="9"/>
    </row>
    <row r="1754" spans="1:1" ht="15.75" customHeight="1" thickBot="1" x14ac:dyDescent="0.3">
      <c r="A1754" s="9"/>
    </row>
    <row r="1755" spans="1:1" ht="15.75" customHeight="1" thickBot="1" x14ac:dyDescent="0.3">
      <c r="A1755" s="9"/>
    </row>
    <row r="1756" spans="1:1" ht="15.75" customHeight="1" thickBot="1" x14ac:dyDescent="0.3">
      <c r="A1756" s="9"/>
    </row>
    <row r="1757" spans="1:1" ht="15.75" customHeight="1" thickBot="1" x14ac:dyDescent="0.3">
      <c r="A1757" s="9"/>
    </row>
    <row r="1758" spans="1:1" ht="15.75" customHeight="1" thickBot="1" x14ac:dyDescent="0.3">
      <c r="A1758" s="9"/>
    </row>
    <row r="1759" spans="1:1" ht="15.75" customHeight="1" thickBot="1" x14ac:dyDescent="0.3">
      <c r="A1759" s="9"/>
    </row>
    <row r="1760" spans="1:1" ht="15.75" customHeight="1" thickBot="1" x14ac:dyDescent="0.3">
      <c r="A1760" s="9"/>
    </row>
    <row r="1761" spans="1:1" ht="15.75" customHeight="1" thickBot="1" x14ac:dyDescent="0.3">
      <c r="A1761" s="9"/>
    </row>
    <row r="1762" spans="1:1" ht="15.75" customHeight="1" thickBot="1" x14ac:dyDescent="0.3">
      <c r="A1762" s="9"/>
    </row>
    <row r="1763" spans="1:1" ht="15.75" customHeight="1" thickBot="1" x14ac:dyDescent="0.3">
      <c r="A1763" s="9"/>
    </row>
    <row r="1764" spans="1:1" ht="15.75" customHeight="1" thickBot="1" x14ac:dyDescent="0.3">
      <c r="A1764" s="9"/>
    </row>
    <row r="1765" spans="1:1" ht="15.75" customHeight="1" thickBot="1" x14ac:dyDescent="0.3">
      <c r="A1765" s="9"/>
    </row>
    <row r="1766" spans="1:1" ht="15.75" customHeight="1" thickBot="1" x14ac:dyDescent="0.3">
      <c r="A1766" s="9"/>
    </row>
    <row r="1767" spans="1:1" ht="15.75" customHeight="1" thickBot="1" x14ac:dyDescent="0.3">
      <c r="A1767" s="9"/>
    </row>
    <row r="1768" spans="1:1" ht="15.75" customHeight="1" thickBot="1" x14ac:dyDescent="0.3">
      <c r="A1768" s="9"/>
    </row>
    <row r="1769" spans="1:1" ht="15.75" customHeight="1" thickBot="1" x14ac:dyDescent="0.3">
      <c r="A1769" s="9"/>
    </row>
    <row r="1770" spans="1:1" ht="15.75" customHeight="1" thickBot="1" x14ac:dyDescent="0.3">
      <c r="A1770" s="9"/>
    </row>
    <row r="1771" spans="1:1" ht="15.75" customHeight="1" thickBot="1" x14ac:dyDescent="0.3">
      <c r="A1771" s="9"/>
    </row>
    <row r="1772" spans="1:1" ht="15.75" customHeight="1" thickBot="1" x14ac:dyDescent="0.3">
      <c r="A1772" s="9"/>
    </row>
    <row r="1773" spans="1:1" ht="15.75" customHeight="1" thickBot="1" x14ac:dyDescent="0.3">
      <c r="A1773" s="9"/>
    </row>
    <row r="1774" spans="1:1" ht="15.75" customHeight="1" thickBot="1" x14ac:dyDescent="0.3">
      <c r="A1774" s="9"/>
    </row>
    <row r="1775" spans="1:1" ht="15.75" customHeight="1" thickBot="1" x14ac:dyDescent="0.3">
      <c r="A1775" s="9"/>
    </row>
    <row r="1776" spans="1:1" ht="15.75" customHeight="1" thickBot="1" x14ac:dyDescent="0.3">
      <c r="A1776" s="9"/>
    </row>
    <row r="1777" spans="1:1" ht="15.75" customHeight="1" thickBot="1" x14ac:dyDescent="0.3">
      <c r="A1777" s="9"/>
    </row>
    <row r="1778" spans="1:1" ht="15.75" customHeight="1" thickBot="1" x14ac:dyDescent="0.3">
      <c r="A1778" s="9"/>
    </row>
    <row r="1779" spans="1:1" ht="15.75" customHeight="1" thickBot="1" x14ac:dyDescent="0.3">
      <c r="A1779" s="9"/>
    </row>
    <row r="1780" spans="1:1" ht="15.75" customHeight="1" thickBot="1" x14ac:dyDescent="0.3">
      <c r="A1780" s="9"/>
    </row>
    <row r="1781" spans="1:1" ht="15.75" customHeight="1" thickBot="1" x14ac:dyDescent="0.3">
      <c r="A1781" s="9"/>
    </row>
    <row r="1782" spans="1:1" ht="15.75" customHeight="1" thickBot="1" x14ac:dyDescent="0.3">
      <c r="A1782" s="9"/>
    </row>
    <row r="1783" spans="1:1" ht="15.75" customHeight="1" thickBot="1" x14ac:dyDescent="0.3">
      <c r="A1783" s="9"/>
    </row>
    <row r="1784" spans="1:1" ht="15.75" customHeight="1" thickBot="1" x14ac:dyDescent="0.3">
      <c r="A1784" s="9"/>
    </row>
    <row r="1785" spans="1:1" ht="15.75" customHeight="1" thickBot="1" x14ac:dyDescent="0.3">
      <c r="A1785" s="9"/>
    </row>
    <row r="1786" spans="1:1" ht="15.75" customHeight="1" thickBot="1" x14ac:dyDescent="0.3">
      <c r="A1786" s="9"/>
    </row>
    <row r="1787" spans="1:1" ht="15.75" customHeight="1" thickBot="1" x14ac:dyDescent="0.3">
      <c r="A1787" s="9"/>
    </row>
    <row r="1788" spans="1:1" ht="15.75" customHeight="1" thickBot="1" x14ac:dyDescent="0.3">
      <c r="A1788" s="9"/>
    </row>
    <row r="1789" spans="1:1" ht="15.75" customHeight="1" thickBot="1" x14ac:dyDescent="0.3">
      <c r="A1789" s="9"/>
    </row>
    <row r="1790" spans="1:1" ht="15.75" customHeight="1" thickBot="1" x14ac:dyDescent="0.3">
      <c r="A1790" s="9"/>
    </row>
    <row r="1791" spans="1:1" ht="15.75" customHeight="1" thickBot="1" x14ac:dyDescent="0.3">
      <c r="A1791" s="9"/>
    </row>
    <row r="1792" spans="1:1" ht="15.75" customHeight="1" thickBot="1" x14ac:dyDescent="0.3">
      <c r="A1792" s="9"/>
    </row>
    <row r="1793" spans="1:1" ht="15.75" customHeight="1" thickBot="1" x14ac:dyDescent="0.3">
      <c r="A1793" s="9"/>
    </row>
    <row r="1794" spans="1:1" ht="15.75" customHeight="1" thickBot="1" x14ac:dyDescent="0.3">
      <c r="A1794" s="9"/>
    </row>
    <row r="1795" spans="1:1" ht="15.75" customHeight="1" thickBot="1" x14ac:dyDescent="0.3">
      <c r="A1795" s="9"/>
    </row>
    <row r="1796" spans="1:1" ht="15.75" customHeight="1" thickBot="1" x14ac:dyDescent="0.3">
      <c r="A1796" s="9"/>
    </row>
    <row r="1797" spans="1:1" ht="15.75" customHeight="1" thickBot="1" x14ac:dyDescent="0.3">
      <c r="A1797" s="9"/>
    </row>
    <row r="1798" spans="1:1" ht="15.75" customHeight="1" thickBot="1" x14ac:dyDescent="0.3">
      <c r="A1798" s="9"/>
    </row>
    <row r="1799" spans="1:1" ht="15.75" customHeight="1" thickBot="1" x14ac:dyDescent="0.3">
      <c r="A1799" s="9"/>
    </row>
    <row r="1800" spans="1:1" ht="15.75" customHeight="1" thickBot="1" x14ac:dyDescent="0.3">
      <c r="A1800" s="9"/>
    </row>
    <row r="1801" spans="1:1" ht="15.75" customHeight="1" thickBot="1" x14ac:dyDescent="0.3">
      <c r="A1801" s="9"/>
    </row>
    <row r="1802" spans="1:1" ht="15.75" customHeight="1" thickBot="1" x14ac:dyDescent="0.3">
      <c r="A1802" s="9"/>
    </row>
    <row r="1803" spans="1:1" ht="15.75" customHeight="1" thickBot="1" x14ac:dyDescent="0.3">
      <c r="A1803" s="9"/>
    </row>
    <row r="1804" spans="1:1" ht="15.75" customHeight="1" thickBot="1" x14ac:dyDescent="0.3">
      <c r="A1804" s="9"/>
    </row>
    <row r="1805" spans="1:1" ht="15.75" customHeight="1" thickBot="1" x14ac:dyDescent="0.3">
      <c r="A1805" s="9"/>
    </row>
    <row r="1806" spans="1:1" ht="15.75" customHeight="1" thickBot="1" x14ac:dyDescent="0.3">
      <c r="A1806" s="9"/>
    </row>
    <row r="1807" spans="1:1" ht="15.75" customHeight="1" thickBot="1" x14ac:dyDescent="0.3">
      <c r="A1807" s="9"/>
    </row>
    <row r="1808" spans="1:1" ht="15.75" customHeight="1" thickBot="1" x14ac:dyDescent="0.3">
      <c r="A1808" s="9"/>
    </row>
    <row r="1809" spans="1:1" ht="15.75" customHeight="1" thickBot="1" x14ac:dyDescent="0.3">
      <c r="A1809" s="9"/>
    </row>
    <row r="1810" spans="1:1" ht="15.75" customHeight="1" thickBot="1" x14ac:dyDescent="0.3">
      <c r="A1810" s="9"/>
    </row>
    <row r="1811" spans="1:1" ht="15.75" customHeight="1" thickBot="1" x14ac:dyDescent="0.3">
      <c r="A1811" s="9"/>
    </row>
    <row r="1812" spans="1:1" ht="15.75" customHeight="1" thickBot="1" x14ac:dyDescent="0.3">
      <c r="A1812" s="9"/>
    </row>
    <row r="1813" spans="1:1" ht="15.75" customHeight="1" thickBot="1" x14ac:dyDescent="0.3">
      <c r="A1813" s="9"/>
    </row>
    <row r="1814" spans="1:1" ht="15.75" customHeight="1" thickBot="1" x14ac:dyDescent="0.3">
      <c r="A1814" s="9"/>
    </row>
    <row r="1815" spans="1:1" ht="15.75" customHeight="1" thickBot="1" x14ac:dyDescent="0.3">
      <c r="A1815" s="9"/>
    </row>
    <row r="1816" spans="1:1" ht="15.75" customHeight="1" thickBot="1" x14ac:dyDescent="0.3">
      <c r="A1816" s="9"/>
    </row>
    <row r="1817" spans="1:1" ht="15.75" customHeight="1" thickBot="1" x14ac:dyDescent="0.3">
      <c r="A1817" s="9"/>
    </row>
    <row r="1818" spans="1:1" ht="15.75" customHeight="1" thickBot="1" x14ac:dyDescent="0.3">
      <c r="A1818" s="9"/>
    </row>
    <row r="1819" spans="1:1" ht="15.75" customHeight="1" thickBot="1" x14ac:dyDescent="0.3">
      <c r="A1819" s="9"/>
    </row>
    <row r="1820" spans="1:1" ht="15.75" customHeight="1" thickBot="1" x14ac:dyDescent="0.3">
      <c r="A1820" s="9"/>
    </row>
    <row r="1821" spans="1:1" ht="15.75" customHeight="1" thickBot="1" x14ac:dyDescent="0.3">
      <c r="A1821" s="9"/>
    </row>
    <row r="1822" spans="1:1" ht="15.75" customHeight="1" thickBot="1" x14ac:dyDescent="0.3">
      <c r="A1822" s="9"/>
    </row>
    <row r="1823" spans="1:1" ht="15.75" customHeight="1" thickBot="1" x14ac:dyDescent="0.3">
      <c r="A1823" s="9"/>
    </row>
    <row r="1824" spans="1:1" ht="15.75" customHeight="1" thickBot="1" x14ac:dyDescent="0.3">
      <c r="A1824" s="9"/>
    </row>
    <row r="1825" spans="1:1" ht="15.75" customHeight="1" thickBot="1" x14ac:dyDescent="0.3">
      <c r="A1825" s="9"/>
    </row>
    <row r="1826" spans="1:1" ht="15.75" customHeight="1" thickBot="1" x14ac:dyDescent="0.3">
      <c r="A1826" s="9"/>
    </row>
    <row r="1827" spans="1:1" ht="15.75" customHeight="1" thickBot="1" x14ac:dyDescent="0.3">
      <c r="A1827" s="9"/>
    </row>
    <row r="1828" spans="1:1" ht="15.75" customHeight="1" thickBot="1" x14ac:dyDescent="0.3">
      <c r="A1828" s="9"/>
    </row>
    <row r="1829" spans="1:1" ht="15.75" customHeight="1" thickBot="1" x14ac:dyDescent="0.3">
      <c r="A1829" s="9"/>
    </row>
    <row r="1830" spans="1:1" ht="15.75" customHeight="1" thickBot="1" x14ac:dyDescent="0.3">
      <c r="A1830" s="9"/>
    </row>
    <row r="1831" spans="1:1" ht="15.75" customHeight="1" thickBot="1" x14ac:dyDescent="0.3">
      <c r="A1831" s="9"/>
    </row>
    <row r="1832" spans="1:1" ht="15.75" customHeight="1" thickBot="1" x14ac:dyDescent="0.3">
      <c r="A1832" s="9"/>
    </row>
    <row r="1833" spans="1:1" ht="15.75" customHeight="1" thickBot="1" x14ac:dyDescent="0.3">
      <c r="A1833" s="9"/>
    </row>
    <row r="1834" spans="1:1" ht="15.75" customHeight="1" thickBot="1" x14ac:dyDescent="0.3">
      <c r="A1834" s="9"/>
    </row>
    <row r="1835" spans="1:1" ht="15.75" customHeight="1" thickBot="1" x14ac:dyDescent="0.3">
      <c r="A1835" s="9"/>
    </row>
    <row r="1836" spans="1:1" ht="15.75" customHeight="1" thickBot="1" x14ac:dyDescent="0.3">
      <c r="A1836" s="9"/>
    </row>
    <row r="1837" spans="1:1" ht="15.75" customHeight="1" thickBot="1" x14ac:dyDescent="0.3">
      <c r="A1837" s="9"/>
    </row>
    <row r="1838" spans="1:1" ht="15.75" customHeight="1" thickBot="1" x14ac:dyDescent="0.3">
      <c r="A1838" s="9"/>
    </row>
    <row r="1839" spans="1:1" ht="15.75" customHeight="1" thickBot="1" x14ac:dyDescent="0.3">
      <c r="A1839" s="9"/>
    </row>
    <row r="1840" spans="1:1" ht="15.75" customHeight="1" thickBot="1" x14ac:dyDescent="0.3">
      <c r="A1840" s="9"/>
    </row>
    <row r="1841" spans="1:1" ht="15.75" customHeight="1" thickBot="1" x14ac:dyDescent="0.3">
      <c r="A1841" s="9"/>
    </row>
    <row r="1842" spans="1:1" ht="15.75" customHeight="1" thickBot="1" x14ac:dyDescent="0.3">
      <c r="A1842" s="9"/>
    </row>
    <row r="1843" spans="1:1" ht="15.75" customHeight="1" thickBot="1" x14ac:dyDescent="0.3">
      <c r="A1843" s="9"/>
    </row>
    <row r="1844" spans="1:1" ht="15.75" customHeight="1" thickBot="1" x14ac:dyDescent="0.3">
      <c r="A1844" s="9"/>
    </row>
    <row r="1845" spans="1:1" ht="15.75" customHeight="1" thickBot="1" x14ac:dyDescent="0.3">
      <c r="A1845" s="9"/>
    </row>
    <row r="1846" spans="1:1" ht="15.75" customHeight="1" thickBot="1" x14ac:dyDescent="0.3">
      <c r="A1846" s="9"/>
    </row>
    <row r="1847" spans="1:1" ht="15.75" customHeight="1" thickBot="1" x14ac:dyDescent="0.3">
      <c r="A1847" s="9"/>
    </row>
    <row r="1848" spans="1:1" ht="15.75" customHeight="1" thickBot="1" x14ac:dyDescent="0.3">
      <c r="A1848" s="9"/>
    </row>
    <row r="1849" spans="1:1" ht="15.75" customHeight="1" thickBot="1" x14ac:dyDescent="0.3">
      <c r="A1849" s="9"/>
    </row>
    <row r="1850" spans="1:1" ht="15.75" customHeight="1" thickBot="1" x14ac:dyDescent="0.3">
      <c r="A1850" s="9"/>
    </row>
    <row r="1851" spans="1:1" ht="15.75" customHeight="1" thickBot="1" x14ac:dyDescent="0.3">
      <c r="A1851" s="9"/>
    </row>
    <row r="1852" spans="1:1" ht="15.75" customHeight="1" thickBot="1" x14ac:dyDescent="0.3">
      <c r="A1852" s="9"/>
    </row>
    <row r="1853" spans="1:1" ht="15.75" customHeight="1" thickBot="1" x14ac:dyDescent="0.3">
      <c r="A1853" s="9"/>
    </row>
    <row r="1854" spans="1:1" ht="15.75" customHeight="1" thickBot="1" x14ac:dyDescent="0.3">
      <c r="A1854" s="9"/>
    </row>
    <row r="1855" spans="1:1" ht="15.75" customHeight="1" thickBot="1" x14ac:dyDescent="0.3">
      <c r="A1855" s="9"/>
    </row>
    <row r="1856" spans="1:1" ht="15.75" customHeight="1" thickBot="1" x14ac:dyDescent="0.3">
      <c r="A1856" s="9"/>
    </row>
    <row r="1857" spans="1:1" ht="15.75" customHeight="1" thickBot="1" x14ac:dyDescent="0.3">
      <c r="A1857" s="9"/>
    </row>
    <row r="1858" spans="1:1" ht="15.75" customHeight="1" thickBot="1" x14ac:dyDescent="0.3">
      <c r="A1858" s="9"/>
    </row>
    <row r="1859" spans="1:1" ht="15.75" customHeight="1" thickBot="1" x14ac:dyDescent="0.3">
      <c r="A1859" s="9"/>
    </row>
    <row r="1860" spans="1:1" ht="15.75" customHeight="1" thickBot="1" x14ac:dyDescent="0.3">
      <c r="A1860" s="9"/>
    </row>
    <row r="1861" spans="1:1" ht="15.75" customHeight="1" thickBot="1" x14ac:dyDescent="0.3">
      <c r="A1861" s="9"/>
    </row>
    <row r="1862" spans="1:1" ht="15.75" customHeight="1" thickBot="1" x14ac:dyDescent="0.3">
      <c r="A1862" s="9"/>
    </row>
    <row r="1863" spans="1:1" ht="15.75" customHeight="1" thickBot="1" x14ac:dyDescent="0.3">
      <c r="A1863" s="9"/>
    </row>
    <row r="1864" spans="1:1" ht="15.75" customHeight="1" thickBot="1" x14ac:dyDescent="0.3">
      <c r="A1864" s="9"/>
    </row>
    <row r="1865" spans="1:1" ht="15.75" customHeight="1" thickBot="1" x14ac:dyDescent="0.3">
      <c r="A1865" s="9"/>
    </row>
    <row r="1866" spans="1:1" ht="15.75" customHeight="1" thickBot="1" x14ac:dyDescent="0.3">
      <c r="A1866" s="9"/>
    </row>
    <row r="1867" spans="1:1" ht="15.75" customHeight="1" thickBot="1" x14ac:dyDescent="0.3">
      <c r="A1867" s="9"/>
    </row>
    <row r="1868" spans="1:1" ht="15.75" customHeight="1" thickBot="1" x14ac:dyDescent="0.3">
      <c r="A1868" s="9"/>
    </row>
    <row r="1869" spans="1:1" ht="15.75" customHeight="1" thickBot="1" x14ac:dyDescent="0.3">
      <c r="A1869" s="9"/>
    </row>
    <row r="1870" spans="1:1" ht="15.75" customHeight="1" thickBot="1" x14ac:dyDescent="0.3">
      <c r="A1870" s="9"/>
    </row>
    <row r="1871" spans="1:1" ht="15.75" customHeight="1" thickBot="1" x14ac:dyDescent="0.3">
      <c r="A1871" s="9"/>
    </row>
    <row r="1872" spans="1:1" ht="15.75" customHeight="1" thickBot="1" x14ac:dyDescent="0.3">
      <c r="A1872" s="9"/>
    </row>
    <row r="1873" spans="1:1" ht="15.75" customHeight="1" thickBot="1" x14ac:dyDescent="0.3">
      <c r="A1873" s="9"/>
    </row>
    <row r="1874" spans="1:1" ht="15.75" customHeight="1" thickBot="1" x14ac:dyDescent="0.3">
      <c r="A1874" s="9"/>
    </row>
    <row r="1875" spans="1:1" ht="15.75" customHeight="1" thickBot="1" x14ac:dyDescent="0.3">
      <c r="A1875" s="9"/>
    </row>
    <row r="1876" spans="1:1" ht="15.75" customHeight="1" thickBot="1" x14ac:dyDescent="0.3">
      <c r="A1876" s="9"/>
    </row>
    <row r="1877" spans="1:1" ht="15.75" customHeight="1" thickBot="1" x14ac:dyDescent="0.3">
      <c r="A1877" s="9"/>
    </row>
    <row r="1878" spans="1:1" ht="15.75" customHeight="1" thickBot="1" x14ac:dyDescent="0.3">
      <c r="A1878" s="9"/>
    </row>
    <row r="1879" spans="1:1" ht="15.75" customHeight="1" thickBot="1" x14ac:dyDescent="0.3">
      <c r="A1879" s="9"/>
    </row>
    <row r="1880" spans="1:1" ht="15.75" customHeight="1" thickBot="1" x14ac:dyDescent="0.3">
      <c r="A1880" s="9"/>
    </row>
    <row r="1881" spans="1:1" ht="15.75" customHeight="1" thickBot="1" x14ac:dyDescent="0.3">
      <c r="A1881" s="9"/>
    </row>
    <row r="1882" spans="1:1" ht="15.75" customHeight="1" thickBot="1" x14ac:dyDescent="0.3">
      <c r="A1882" s="9"/>
    </row>
    <row r="1883" spans="1:1" ht="15.75" customHeight="1" thickBot="1" x14ac:dyDescent="0.3">
      <c r="A1883" s="9"/>
    </row>
    <row r="1884" spans="1:1" ht="15.75" customHeight="1" thickBot="1" x14ac:dyDescent="0.3">
      <c r="A1884" s="9"/>
    </row>
    <row r="1885" spans="1:1" ht="15.75" customHeight="1" thickBot="1" x14ac:dyDescent="0.3">
      <c r="A1885" s="9"/>
    </row>
    <row r="1886" spans="1:1" ht="15.75" customHeight="1" thickBot="1" x14ac:dyDescent="0.3">
      <c r="A1886" s="9"/>
    </row>
    <row r="1887" spans="1:1" ht="15.75" customHeight="1" thickBot="1" x14ac:dyDescent="0.3">
      <c r="A1887" s="9"/>
    </row>
    <row r="1888" spans="1:1" ht="15.75" customHeight="1" thickBot="1" x14ac:dyDescent="0.3">
      <c r="A1888" s="9"/>
    </row>
    <row r="1889" spans="1:1" ht="15.75" customHeight="1" thickBot="1" x14ac:dyDescent="0.3">
      <c r="A1889" s="9"/>
    </row>
    <row r="1890" spans="1:1" ht="15.75" customHeight="1" thickBot="1" x14ac:dyDescent="0.3">
      <c r="A1890" s="9"/>
    </row>
    <row r="1891" spans="1:1" ht="15.75" customHeight="1" thickBot="1" x14ac:dyDescent="0.3">
      <c r="A1891" s="9"/>
    </row>
    <row r="1892" spans="1:1" ht="15.75" customHeight="1" thickBot="1" x14ac:dyDescent="0.3">
      <c r="A1892" s="9"/>
    </row>
    <row r="1893" spans="1:1" ht="15.75" customHeight="1" thickBot="1" x14ac:dyDescent="0.3">
      <c r="A1893" s="9"/>
    </row>
    <row r="1894" spans="1:1" ht="15.75" customHeight="1" thickBot="1" x14ac:dyDescent="0.3">
      <c r="A1894" s="9"/>
    </row>
    <row r="1895" spans="1:1" ht="15.75" customHeight="1" thickBot="1" x14ac:dyDescent="0.3">
      <c r="A1895" s="9"/>
    </row>
    <row r="1896" spans="1:1" ht="15.75" customHeight="1" thickBot="1" x14ac:dyDescent="0.3">
      <c r="A1896" s="9"/>
    </row>
    <row r="1897" spans="1:1" ht="15.75" customHeight="1" thickBot="1" x14ac:dyDescent="0.3">
      <c r="A1897" s="9"/>
    </row>
    <row r="1898" spans="1:1" ht="15.75" customHeight="1" thickBot="1" x14ac:dyDescent="0.3">
      <c r="A1898" s="9"/>
    </row>
    <row r="1899" spans="1:1" ht="15.75" customHeight="1" thickBot="1" x14ac:dyDescent="0.3">
      <c r="A1899" s="9"/>
    </row>
    <row r="1900" spans="1:1" ht="15.75" customHeight="1" thickBot="1" x14ac:dyDescent="0.3">
      <c r="A1900" s="9"/>
    </row>
    <row r="1901" spans="1:1" ht="15.75" customHeight="1" thickBot="1" x14ac:dyDescent="0.3">
      <c r="A1901" s="9"/>
    </row>
    <row r="1902" spans="1:1" ht="15.75" customHeight="1" thickBot="1" x14ac:dyDescent="0.3">
      <c r="A1902" s="9"/>
    </row>
    <row r="1903" spans="1:1" ht="15.75" customHeight="1" thickBot="1" x14ac:dyDescent="0.3">
      <c r="A1903" s="9"/>
    </row>
    <row r="1904" spans="1:1" ht="15.75" customHeight="1" thickBot="1" x14ac:dyDescent="0.3">
      <c r="A1904" s="9"/>
    </row>
    <row r="1905" spans="1:1" ht="15.75" customHeight="1" thickBot="1" x14ac:dyDescent="0.3">
      <c r="A1905" s="9"/>
    </row>
    <row r="1906" spans="1:1" ht="15.75" customHeight="1" thickBot="1" x14ac:dyDescent="0.3">
      <c r="A1906" s="9"/>
    </row>
    <row r="1907" spans="1:1" ht="15.75" customHeight="1" thickBot="1" x14ac:dyDescent="0.3">
      <c r="A1907" s="9"/>
    </row>
    <row r="1908" spans="1:1" ht="15.75" customHeight="1" thickBot="1" x14ac:dyDescent="0.3">
      <c r="A1908" s="9"/>
    </row>
    <row r="1909" spans="1:1" ht="15.75" customHeight="1" thickBot="1" x14ac:dyDescent="0.3">
      <c r="A1909" s="9"/>
    </row>
    <row r="1910" spans="1:1" ht="15.75" customHeight="1" thickBot="1" x14ac:dyDescent="0.3">
      <c r="A1910" s="9"/>
    </row>
    <row r="1911" spans="1:1" ht="15.75" customHeight="1" thickBot="1" x14ac:dyDescent="0.3">
      <c r="A1911" s="9"/>
    </row>
    <row r="1912" spans="1:1" ht="15.75" customHeight="1" thickBot="1" x14ac:dyDescent="0.3">
      <c r="A1912" s="9"/>
    </row>
    <row r="1913" spans="1:1" ht="15.75" customHeight="1" thickBot="1" x14ac:dyDescent="0.3">
      <c r="A1913" s="9"/>
    </row>
    <row r="1914" spans="1:1" ht="15.75" customHeight="1" thickBot="1" x14ac:dyDescent="0.3">
      <c r="A1914" s="9"/>
    </row>
    <row r="1915" spans="1:1" ht="15.75" customHeight="1" thickBot="1" x14ac:dyDescent="0.3">
      <c r="A1915" s="9"/>
    </row>
    <row r="1916" spans="1:1" ht="15.75" customHeight="1" thickBot="1" x14ac:dyDescent="0.3">
      <c r="A1916" s="9"/>
    </row>
    <row r="1917" spans="1:1" ht="15.75" customHeight="1" thickBot="1" x14ac:dyDescent="0.3">
      <c r="A1917" s="9"/>
    </row>
    <row r="1918" spans="1:1" ht="15.75" customHeight="1" thickBot="1" x14ac:dyDescent="0.3">
      <c r="A1918" s="9"/>
    </row>
    <row r="1919" spans="1:1" ht="15.75" customHeight="1" thickBot="1" x14ac:dyDescent="0.3">
      <c r="A1919" s="9"/>
    </row>
    <row r="1920" spans="1:1" ht="15.75" customHeight="1" thickBot="1" x14ac:dyDescent="0.3">
      <c r="A1920" s="9"/>
    </row>
    <row r="1921" spans="1:1" ht="15.75" customHeight="1" thickBot="1" x14ac:dyDescent="0.3">
      <c r="A1921" s="9"/>
    </row>
    <row r="1922" spans="1:1" ht="15.75" customHeight="1" thickBot="1" x14ac:dyDescent="0.3">
      <c r="A1922" s="9"/>
    </row>
    <row r="1923" spans="1:1" ht="15.75" customHeight="1" thickBot="1" x14ac:dyDescent="0.3">
      <c r="A1923" s="9"/>
    </row>
    <row r="1924" spans="1:1" ht="15.75" customHeight="1" thickBot="1" x14ac:dyDescent="0.3">
      <c r="A1924" s="9"/>
    </row>
    <row r="1925" spans="1:1" ht="15.75" customHeight="1" thickBot="1" x14ac:dyDescent="0.3">
      <c r="A1925" s="9"/>
    </row>
    <row r="1926" spans="1:1" ht="15.75" customHeight="1" thickBot="1" x14ac:dyDescent="0.3">
      <c r="A1926" s="9"/>
    </row>
    <row r="1927" spans="1:1" ht="15.75" customHeight="1" thickBot="1" x14ac:dyDescent="0.3">
      <c r="A1927" s="9"/>
    </row>
    <row r="1928" spans="1:1" ht="15.75" customHeight="1" thickBot="1" x14ac:dyDescent="0.3">
      <c r="A1928" s="9"/>
    </row>
    <row r="1929" spans="1:1" ht="15.75" customHeight="1" thickBot="1" x14ac:dyDescent="0.3">
      <c r="A1929" s="9"/>
    </row>
    <row r="1930" spans="1:1" ht="15.75" customHeight="1" thickBot="1" x14ac:dyDescent="0.3">
      <c r="A1930" s="9"/>
    </row>
    <row r="1931" spans="1:1" ht="15.75" customHeight="1" thickBot="1" x14ac:dyDescent="0.3">
      <c r="A1931" s="9"/>
    </row>
    <row r="1932" spans="1:1" ht="15.75" customHeight="1" thickBot="1" x14ac:dyDescent="0.3">
      <c r="A1932" s="9"/>
    </row>
    <row r="1933" spans="1:1" ht="15.75" customHeight="1" thickBot="1" x14ac:dyDescent="0.3">
      <c r="A1933" s="9"/>
    </row>
    <row r="1934" spans="1:1" ht="15.75" customHeight="1" thickBot="1" x14ac:dyDescent="0.3">
      <c r="A1934" s="9"/>
    </row>
    <row r="1935" spans="1:1" ht="15.75" customHeight="1" thickBot="1" x14ac:dyDescent="0.3">
      <c r="A1935" s="9"/>
    </row>
    <row r="1936" spans="1:1" ht="15.75" customHeight="1" thickBot="1" x14ac:dyDescent="0.3">
      <c r="A1936" s="9"/>
    </row>
    <row r="1937" spans="1:1" ht="15.75" customHeight="1" thickBot="1" x14ac:dyDescent="0.3">
      <c r="A1937" s="9"/>
    </row>
    <row r="1938" spans="1:1" ht="15.75" customHeight="1" thickBot="1" x14ac:dyDescent="0.3">
      <c r="A1938" s="9"/>
    </row>
    <row r="1939" spans="1:1" ht="15.75" customHeight="1" thickBot="1" x14ac:dyDescent="0.3">
      <c r="A1939" s="9"/>
    </row>
    <row r="1940" spans="1:1" ht="15.75" customHeight="1" thickBot="1" x14ac:dyDescent="0.3">
      <c r="A1940" s="9"/>
    </row>
    <row r="1941" spans="1:1" ht="15.75" customHeight="1" thickBot="1" x14ac:dyDescent="0.3">
      <c r="A1941" s="9"/>
    </row>
    <row r="1942" spans="1:1" ht="15.75" customHeight="1" thickBot="1" x14ac:dyDescent="0.3">
      <c r="A1942" s="9"/>
    </row>
    <row r="1943" spans="1:1" ht="15.75" customHeight="1" thickBot="1" x14ac:dyDescent="0.3">
      <c r="A1943" s="9"/>
    </row>
    <row r="1944" spans="1:1" ht="15.75" customHeight="1" thickBot="1" x14ac:dyDescent="0.3">
      <c r="A1944" s="9"/>
    </row>
    <row r="1945" spans="1:1" ht="15.75" customHeight="1" thickBot="1" x14ac:dyDescent="0.3">
      <c r="A1945" s="9"/>
    </row>
    <row r="1946" spans="1:1" ht="15.75" customHeight="1" thickBot="1" x14ac:dyDescent="0.3">
      <c r="A1946" s="9"/>
    </row>
    <row r="1947" spans="1:1" ht="15.75" customHeight="1" thickBot="1" x14ac:dyDescent="0.3">
      <c r="A1947" s="9"/>
    </row>
    <row r="1948" spans="1:1" ht="15.75" customHeight="1" thickBot="1" x14ac:dyDescent="0.3">
      <c r="A1948" s="9"/>
    </row>
    <row r="1949" spans="1:1" ht="15.75" customHeight="1" thickBot="1" x14ac:dyDescent="0.3">
      <c r="A1949" s="9"/>
    </row>
    <row r="1950" spans="1:1" ht="15.75" customHeight="1" thickBot="1" x14ac:dyDescent="0.3">
      <c r="A1950" s="9"/>
    </row>
    <row r="1951" spans="1:1" ht="15.75" customHeight="1" thickBot="1" x14ac:dyDescent="0.3">
      <c r="A1951" s="9"/>
    </row>
    <row r="1952" spans="1:1" ht="15.75" customHeight="1" thickBot="1" x14ac:dyDescent="0.3">
      <c r="A1952" s="9"/>
    </row>
    <row r="1953" spans="1:1" ht="15.75" customHeight="1" thickBot="1" x14ac:dyDescent="0.3">
      <c r="A1953" s="9"/>
    </row>
    <row r="1954" spans="1:1" ht="15.75" customHeight="1" thickBot="1" x14ac:dyDescent="0.3">
      <c r="A1954" s="9"/>
    </row>
    <row r="1955" spans="1:1" ht="15.75" customHeight="1" thickBot="1" x14ac:dyDescent="0.3">
      <c r="A1955" s="9"/>
    </row>
    <row r="1956" spans="1:1" ht="15.75" customHeight="1" thickBot="1" x14ac:dyDescent="0.3">
      <c r="A1956" s="9"/>
    </row>
    <row r="1957" spans="1:1" ht="15.75" customHeight="1" thickBot="1" x14ac:dyDescent="0.3">
      <c r="A1957" s="9"/>
    </row>
    <row r="1958" spans="1:1" ht="15.75" customHeight="1" thickBot="1" x14ac:dyDescent="0.3">
      <c r="A1958" s="9"/>
    </row>
    <row r="1959" spans="1:1" ht="15.75" customHeight="1" thickBot="1" x14ac:dyDescent="0.3">
      <c r="A1959" s="9"/>
    </row>
    <row r="1960" spans="1:1" ht="15.75" customHeight="1" thickBot="1" x14ac:dyDescent="0.3">
      <c r="A1960" s="9"/>
    </row>
    <row r="1961" spans="1:1" ht="15.75" customHeight="1" thickBot="1" x14ac:dyDescent="0.3">
      <c r="A1961" s="9"/>
    </row>
    <row r="1962" spans="1:1" ht="15.75" customHeight="1" thickBot="1" x14ac:dyDescent="0.3">
      <c r="A1962" s="9"/>
    </row>
    <row r="1963" spans="1:1" ht="15.75" customHeight="1" thickBot="1" x14ac:dyDescent="0.3">
      <c r="A1963" s="9"/>
    </row>
    <row r="1964" spans="1:1" ht="15.75" customHeight="1" thickBot="1" x14ac:dyDescent="0.3">
      <c r="A1964" s="9"/>
    </row>
    <row r="1965" spans="1:1" ht="15.75" customHeight="1" thickBot="1" x14ac:dyDescent="0.3">
      <c r="A1965" s="9"/>
    </row>
    <row r="1966" spans="1:1" ht="15.75" customHeight="1" thickBot="1" x14ac:dyDescent="0.3">
      <c r="A1966" s="9"/>
    </row>
    <row r="1967" spans="1:1" ht="15.75" customHeight="1" thickBot="1" x14ac:dyDescent="0.3">
      <c r="A1967" s="9"/>
    </row>
    <row r="1968" spans="1:1" ht="15.75" customHeight="1" thickBot="1" x14ac:dyDescent="0.3">
      <c r="A1968" s="9"/>
    </row>
    <row r="1969" spans="1:1" ht="15.75" customHeight="1" thickBot="1" x14ac:dyDescent="0.3">
      <c r="A1969" s="9"/>
    </row>
    <row r="1970" spans="1:1" ht="15.75" customHeight="1" thickBot="1" x14ac:dyDescent="0.3">
      <c r="A1970" s="9"/>
    </row>
    <row r="1971" spans="1:1" ht="15.75" customHeight="1" thickBot="1" x14ac:dyDescent="0.3">
      <c r="A1971" s="9"/>
    </row>
    <row r="1972" spans="1:1" ht="15.75" customHeight="1" thickBot="1" x14ac:dyDescent="0.3">
      <c r="A1972" s="9"/>
    </row>
    <row r="1973" spans="1:1" ht="15.75" customHeight="1" thickBot="1" x14ac:dyDescent="0.3">
      <c r="A1973" s="9"/>
    </row>
    <row r="1974" spans="1:1" ht="15.75" customHeight="1" thickBot="1" x14ac:dyDescent="0.3">
      <c r="A1974" s="9"/>
    </row>
    <row r="1975" spans="1:1" ht="15.75" customHeight="1" thickBot="1" x14ac:dyDescent="0.3">
      <c r="A1975" s="9"/>
    </row>
    <row r="1976" spans="1:1" ht="15.75" customHeight="1" thickBot="1" x14ac:dyDescent="0.3">
      <c r="A1976" s="9"/>
    </row>
    <row r="1977" spans="1:1" ht="15.75" customHeight="1" thickBot="1" x14ac:dyDescent="0.3">
      <c r="A1977" s="9"/>
    </row>
    <row r="1978" spans="1:1" ht="15.75" customHeight="1" thickBot="1" x14ac:dyDescent="0.3">
      <c r="A1978" s="9"/>
    </row>
    <row r="1979" spans="1:1" ht="15.75" customHeight="1" thickBot="1" x14ac:dyDescent="0.3">
      <c r="A1979" s="9"/>
    </row>
    <row r="1980" spans="1:1" ht="15.75" customHeight="1" thickBot="1" x14ac:dyDescent="0.3">
      <c r="A1980" s="9"/>
    </row>
    <row r="1981" spans="1:1" ht="15.75" customHeight="1" thickBot="1" x14ac:dyDescent="0.3">
      <c r="A1981" s="9"/>
    </row>
    <row r="1982" spans="1:1" ht="15.75" customHeight="1" thickBot="1" x14ac:dyDescent="0.3">
      <c r="A1982" s="9"/>
    </row>
    <row r="1983" spans="1:1" ht="15.75" customHeight="1" thickBot="1" x14ac:dyDescent="0.3">
      <c r="A1983" s="9"/>
    </row>
    <row r="1984" spans="1:1" ht="15.75" customHeight="1" thickBot="1" x14ac:dyDescent="0.3">
      <c r="A1984" s="9"/>
    </row>
    <row r="1985" spans="1:1" ht="15.75" customHeight="1" thickBot="1" x14ac:dyDescent="0.3">
      <c r="A1985" s="9"/>
    </row>
    <row r="1986" spans="1:1" ht="15.75" customHeight="1" thickBot="1" x14ac:dyDescent="0.3">
      <c r="A1986" s="9"/>
    </row>
    <row r="1987" spans="1:1" ht="15.75" customHeight="1" thickBot="1" x14ac:dyDescent="0.3">
      <c r="A1987" s="9"/>
    </row>
    <row r="1988" spans="1:1" ht="15.75" customHeight="1" thickBot="1" x14ac:dyDescent="0.3">
      <c r="A1988" s="9"/>
    </row>
    <row r="1989" spans="1:1" ht="15.75" customHeight="1" thickBot="1" x14ac:dyDescent="0.3">
      <c r="A1989" s="9"/>
    </row>
    <row r="1990" spans="1:1" ht="15.75" customHeight="1" thickBot="1" x14ac:dyDescent="0.3">
      <c r="A1990" s="9"/>
    </row>
    <row r="1991" spans="1:1" ht="15.75" customHeight="1" thickBot="1" x14ac:dyDescent="0.3">
      <c r="A1991" s="9"/>
    </row>
    <row r="1992" spans="1:1" ht="15.75" customHeight="1" thickBot="1" x14ac:dyDescent="0.3">
      <c r="A1992" s="9"/>
    </row>
    <row r="1993" spans="1:1" ht="15.75" customHeight="1" thickBot="1" x14ac:dyDescent="0.3">
      <c r="A1993" s="9"/>
    </row>
    <row r="1994" spans="1:1" ht="15.75" customHeight="1" thickBot="1" x14ac:dyDescent="0.3">
      <c r="A1994" s="9"/>
    </row>
    <row r="1995" spans="1:1" ht="15.75" customHeight="1" thickBot="1" x14ac:dyDescent="0.3">
      <c r="A1995" s="9"/>
    </row>
    <row r="1996" spans="1:1" ht="15.75" customHeight="1" thickBot="1" x14ac:dyDescent="0.3">
      <c r="A1996" s="9"/>
    </row>
    <row r="1997" spans="1:1" ht="15.75" customHeight="1" thickBot="1" x14ac:dyDescent="0.3">
      <c r="A1997" s="9"/>
    </row>
    <row r="1998" spans="1:1" ht="15.75" customHeight="1" thickBot="1" x14ac:dyDescent="0.3">
      <c r="A1998" s="9"/>
    </row>
    <row r="1999" spans="1:1" ht="15.75" customHeight="1" thickBot="1" x14ac:dyDescent="0.3">
      <c r="A1999" s="9"/>
    </row>
    <row r="2000" spans="1:1" ht="15.75" customHeight="1" thickBot="1" x14ac:dyDescent="0.3">
      <c r="A2000" s="9"/>
    </row>
    <row r="2001" spans="1:1" ht="15.75" customHeight="1" thickBot="1" x14ac:dyDescent="0.3">
      <c r="A2001" s="9"/>
    </row>
    <row r="2002" spans="1:1" ht="15.75" customHeight="1" thickBot="1" x14ac:dyDescent="0.3">
      <c r="A2002" s="9"/>
    </row>
    <row r="2003" spans="1:1" ht="15.75" customHeight="1" thickBot="1" x14ac:dyDescent="0.3">
      <c r="A2003" s="9"/>
    </row>
    <row r="2004" spans="1:1" ht="15.75" customHeight="1" thickBot="1" x14ac:dyDescent="0.3">
      <c r="A2004" s="9"/>
    </row>
    <row r="2005" spans="1:1" ht="15.75" customHeight="1" thickBot="1" x14ac:dyDescent="0.3">
      <c r="A2005" s="9"/>
    </row>
    <row r="2006" spans="1:1" ht="15.75" customHeight="1" thickBot="1" x14ac:dyDescent="0.3">
      <c r="A2006" s="9"/>
    </row>
    <row r="2007" spans="1:1" ht="15.75" customHeight="1" thickBot="1" x14ac:dyDescent="0.3">
      <c r="A2007" s="9"/>
    </row>
    <row r="2008" spans="1:1" ht="15.75" customHeight="1" thickBot="1" x14ac:dyDescent="0.3">
      <c r="A2008" s="9"/>
    </row>
    <row r="2009" spans="1:1" ht="15.75" customHeight="1" thickBot="1" x14ac:dyDescent="0.3">
      <c r="A2009" s="9"/>
    </row>
    <row r="2010" spans="1:1" ht="15.75" customHeight="1" thickBot="1" x14ac:dyDescent="0.3">
      <c r="A2010" s="9"/>
    </row>
    <row r="2011" spans="1:1" ht="15.75" customHeight="1" thickBot="1" x14ac:dyDescent="0.3">
      <c r="A2011" s="9"/>
    </row>
    <row r="2012" spans="1:1" ht="15.75" customHeight="1" thickBot="1" x14ac:dyDescent="0.3">
      <c r="A2012" s="9"/>
    </row>
    <row r="2013" spans="1:1" ht="15.75" customHeight="1" thickBot="1" x14ac:dyDescent="0.3">
      <c r="A2013" s="9"/>
    </row>
    <row r="2014" spans="1:1" ht="15.75" customHeight="1" thickBot="1" x14ac:dyDescent="0.3">
      <c r="A2014" s="9"/>
    </row>
    <row r="2015" spans="1:1" ht="15.75" customHeight="1" thickBot="1" x14ac:dyDescent="0.3">
      <c r="A2015" s="9"/>
    </row>
    <row r="2016" spans="1:1" ht="15.75" customHeight="1" thickBot="1" x14ac:dyDescent="0.3">
      <c r="A2016" s="9"/>
    </row>
    <row r="2017" spans="1:1" ht="15.75" customHeight="1" thickBot="1" x14ac:dyDescent="0.3">
      <c r="A2017" s="9"/>
    </row>
    <row r="2018" spans="1:1" ht="15.75" customHeight="1" thickBot="1" x14ac:dyDescent="0.3">
      <c r="A2018" s="9"/>
    </row>
    <row r="2019" spans="1:1" ht="15.75" customHeight="1" thickBot="1" x14ac:dyDescent="0.3">
      <c r="A2019" s="9"/>
    </row>
    <row r="2020" spans="1:1" ht="15.75" customHeight="1" thickBot="1" x14ac:dyDescent="0.3">
      <c r="A2020" s="9"/>
    </row>
    <row r="2021" spans="1:1" ht="15.75" customHeight="1" thickBot="1" x14ac:dyDescent="0.3">
      <c r="A2021" s="9"/>
    </row>
    <row r="2022" spans="1:1" ht="15.75" customHeight="1" thickBot="1" x14ac:dyDescent="0.3">
      <c r="A2022" s="9"/>
    </row>
    <row r="2023" spans="1:1" ht="15.75" customHeight="1" thickBot="1" x14ac:dyDescent="0.3">
      <c r="A2023" s="9"/>
    </row>
    <row r="2024" spans="1:1" ht="15.75" customHeight="1" thickBot="1" x14ac:dyDescent="0.3">
      <c r="A2024" s="9"/>
    </row>
    <row r="2025" spans="1:1" ht="15.75" customHeight="1" thickBot="1" x14ac:dyDescent="0.3">
      <c r="A2025" s="9"/>
    </row>
    <row r="2026" spans="1:1" ht="15.75" customHeight="1" thickBot="1" x14ac:dyDescent="0.3">
      <c r="A2026" s="9"/>
    </row>
    <row r="2027" spans="1:1" ht="15.75" customHeight="1" thickBot="1" x14ac:dyDescent="0.3">
      <c r="A2027" s="9"/>
    </row>
    <row r="2028" spans="1:1" ht="15.75" customHeight="1" thickBot="1" x14ac:dyDescent="0.3">
      <c r="A2028" s="9"/>
    </row>
    <row r="2029" spans="1:1" ht="15.75" customHeight="1" thickBot="1" x14ac:dyDescent="0.3">
      <c r="A2029" s="9"/>
    </row>
    <row r="2030" spans="1:1" ht="15.75" customHeight="1" thickBot="1" x14ac:dyDescent="0.3">
      <c r="A2030" s="9"/>
    </row>
    <row r="2031" spans="1:1" ht="15.75" customHeight="1" thickBot="1" x14ac:dyDescent="0.3">
      <c r="A2031" s="9"/>
    </row>
    <row r="2032" spans="1:1" ht="15.75" customHeight="1" thickBot="1" x14ac:dyDescent="0.3">
      <c r="A2032" s="9"/>
    </row>
    <row r="2033" spans="1:1" ht="15.75" customHeight="1" thickBot="1" x14ac:dyDescent="0.3">
      <c r="A2033" s="9"/>
    </row>
    <row r="2034" spans="1:1" ht="15.75" customHeight="1" thickBot="1" x14ac:dyDescent="0.3">
      <c r="A2034" s="9"/>
    </row>
    <row r="2035" spans="1:1" ht="15.75" customHeight="1" thickBot="1" x14ac:dyDescent="0.3">
      <c r="A2035" s="9"/>
    </row>
    <row r="2036" spans="1:1" ht="15.75" customHeight="1" thickBot="1" x14ac:dyDescent="0.3">
      <c r="A2036" s="9"/>
    </row>
    <row r="2037" spans="1:1" ht="15.75" customHeight="1" thickBot="1" x14ac:dyDescent="0.3">
      <c r="A2037" s="9"/>
    </row>
    <row r="2038" spans="1:1" ht="15.75" customHeight="1" thickBot="1" x14ac:dyDescent="0.3">
      <c r="A2038" s="9"/>
    </row>
    <row r="2039" spans="1:1" ht="15.75" customHeight="1" thickBot="1" x14ac:dyDescent="0.3">
      <c r="A2039" s="9"/>
    </row>
    <row r="2040" spans="1:1" ht="15.75" customHeight="1" thickBot="1" x14ac:dyDescent="0.3">
      <c r="A2040" s="9"/>
    </row>
    <row r="2041" spans="1:1" ht="15.75" customHeight="1" thickBot="1" x14ac:dyDescent="0.3">
      <c r="A2041" s="9"/>
    </row>
    <row r="2042" spans="1:1" ht="15.75" customHeight="1" thickBot="1" x14ac:dyDescent="0.3">
      <c r="A2042" s="9"/>
    </row>
    <row r="2043" spans="1:1" ht="15.75" customHeight="1" thickBot="1" x14ac:dyDescent="0.3">
      <c r="A2043" s="9"/>
    </row>
    <row r="2044" spans="1:1" ht="15.75" customHeight="1" thickBot="1" x14ac:dyDescent="0.3">
      <c r="A2044" s="9"/>
    </row>
    <row r="2045" spans="1:1" ht="15.75" customHeight="1" thickBot="1" x14ac:dyDescent="0.3">
      <c r="A2045" s="9"/>
    </row>
    <row r="2046" spans="1:1" ht="15.75" customHeight="1" thickBot="1" x14ac:dyDescent="0.3">
      <c r="A2046" s="9"/>
    </row>
    <row r="2047" spans="1:1" ht="15.75" customHeight="1" thickBot="1" x14ac:dyDescent="0.3">
      <c r="A2047" s="9"/>
    </row>
    <row r="2048" spans="1:1" ht="15.75" customHeight="1" thickBot="1" x14ac:dyDescent="0.3">
      <c r="A2048" s="9"/>
    </row>
    <row r="2049" spans="1:1" ht="15.75" customHeight="1" thickBot="1" x14ac:dyDescent="0.3">
      <c r="A2049" s="9"/>
    </row>
    <row r="2050" spans="1:1" ht="15.75" customHeight="1" thickBot="1" x14ac:dyDescent="0.3">
      <c r="A2050" s="9"/>
    </row>
    <row r="2051" spans="1:1" ht="15.75" customHeight="1" thickBot="1" x14ac:dyDescent="0.3">
      <c r="A2051" s="9"/>
    </row>
    <row r="2052" spans="1:1" ht="15.75" customHeight="1" thickBot="1" x14ac:dyDescent="0.3">
      <c r="A2052" s="9"/>
    </row>
    <row r="2053" spans="1:1" ht="15.75" customHeight="1" thickBot="1" x14ac:dyDescent="0.3">
      <c r="A2053" s="9"/>
    </row>
    <row r="2054" spans="1:1" ht="15.75" customHeight="1" thickBot="1" x14ac:dyDescent="0.3">
      <c r="A2054" s="9"/>
    </row>
    <row r="2055" spans="1:1" ht="15.75" customHeight="1" thickBot="1" x14ac:dyDescent="0.3">
      <c r="A2055" s="9"/>
    </row>
    <row r="2056" spans="1:1" ht="15.75" customHeight="1" thickBot="1" x14ac:dyDescent="0.3">
      <c r="A2056" s="9"/>
    </row>
    <row r="2057" spans="1:1" ht="15.75" customHeight="1" thickBot="1" x14ac:dyDescent="0.3">
      <c r="A2057" s="9"/>
    </row>
    <row r="2058" spans="1:1" ht="15.75" customHeight="1" thickBot="1" x14ac:dyDescent="0.3">
      <c r="A2058" s="9"/>
    </row>
    <row r="2059" spans="1:1" ht="15.75" customHeight="1" thickBot="1" x14ac:dyDescent="0.3">
      <c r="A2059" s="9"/>
    </row>
    <row r="2060" spans="1:1" ht="15.75" customHeight="1" thickBot="1" x14ac:dyDescent="0.3">
      <c r="A2060" s="9"/>
    </row>
    <row r="2061" spans="1:1" ht="15.75" customHeight="1" thickBot="1" x14ac:dyDescent="0.3">
      <c r="A2061" s="9"/>
    </row>
    <row r="2062" spans="1:1" ht="15.75" customHeight="1" thickBot="1" x14ac:dyDescent="0.3">
      <c r="A2062" s="9"/>
    </row>
    <row r="2063" spans="1:1" ht="15.75" customHeight="1" thickBot="1" x14ac:dyDescent="0.3">
      <c r="A2063" s="9"/>
    </row>
    <row r="2064" spans="1:1" ht="15.75" customHeight="1" thickBot="1" x14ac:dyDescent="0.3">
      <c r="A2064" s="9"/>
    </row>
    <row r="2065" spans="1:1" ht="15.75" customHeight="1" thickBot="1" x14ac:dyDescent="0.3">
      <c r="A2065" s="9"/>
    </row>
    <row r="2066" spans="1:1" ht="15.75" customHeight="1" thickBot="1" x14ac:dyDescent="0.3">
      <c r="A2066" s="9"/>
    </row>
    <row r="2067" spans="1:1" ht="15.75" customHeight="1" thickBot="1" x14ac:dyDescent="0.3">
      <c r="A2067" s="9"/>
    </row>
    <row r="2068" spans="1:1" ht="15.75" customHeight="1" thickBot="1" x14ac:dyDescent="0.3">
      <c r="A2068" s="9"/>
    </row>
    <row r="2069" spans="1:1" ht="15.75" customHeight="1" thickBot="1" x14ac:dyDescent="0.3">
      <c r="A2069" s="9"/>
    </row>
    <row r="2070" spans="1:1" ht="15.75" customHeight="1" thickBot="1" x14ac:dyDescent="0.3">
      <c r="A2070" s="9"/>
    </row>
    <row r="2071" spans="1:1" ht="15.75" customHeight="1" thickBot="1" x14ac:dyDescent="0.3">
      <c r="A2071" s="9"/>
    </row>
    <row r="2072" spans="1:1" ht="15.75" customHeight="1" thickBot="1" x14ac:dyDescent="0.3">
      <c r="A2072" s="9"/>
    </row>
    <row r="2073" spans="1:1" ht="15.75" customHeight="1" thickBot="1" x14ac:dyDescent="0.3">
      <c r="A2073" s="9"/>
    </row>
    <row r="2074" spans="1:1" ht="15.75" customHeight="1" thickBot="1" x14ac:dyDescent="0.3">
      <c r="A2074" s="9"/>
    </row>
    <row r="2075" spans="1:1" ht="15.75" customHeight="1" thickBot="1" x14ac:dyDescent="0.3">
      <c r="A2075" s="9"/>
    </row>
    <row r="2076" spans="1:1" ht="15.75" customHeight="1" thickBot="1" x14ac:dyDescent="0.3">
      <c r="A2076" s="9"/>
    </row>
    <row r="2077" spans="1:1" ht="15.75" customHeight="1" thickBot="1" x14ac:dyDescent="0.3">
      <c r="A2077" s="9"/>
    </row>
    <row r="2078" spans="1:1" ht="15.75" customHeight="1" thickBot="1" x14ac:dyDescent="0.3">
      <c r="A2078" s="9"/>
    </row>
    <row r="2079" spans="1:1" ht="15.75" customHeight="1" thickBot="1" x14ac:dyDescent="0.3">
      <c r="A2079" s="9"/>
    </row>
    <row r="2080" spans="1:1" ht="15.75" customHeight="1" thickBot="1" x14ac:dyDescent="0.3">
      <c r="A2080" s="9"/>
    </row>
    <row r="2081" spans="1:1" ht="15.75" customHeight="1" thickBot="1" x14ac:dyDescent="0.3">
      <c r="A2081" s="9"/>
    </row>
    <row r="2082" spans="1:1" ht="15.75" customHeight="1" thickBot="1" x14ac:dyDescent="0.3">
      <c r="A2082" s="9"/>
    </row>
    <row r="2083" spans="1:1" ht="15.75" customHeight="1" thickBot="1" x14ac:dyDescent="0.3">
      <c r="A2083" s="9"/>
    </row>
    <row r="2084" spans="1:1" ht="15.75" customHeight="1" thickBot="1" x14ac:dyDescent="0.3">
      <c r="A2084" s="9"/>
    </row>
    <row r="2085" spans="1:1" ht="15.75" customHeight="1" thickBot="1" x14ac:dyDescent="0.3">
      <c r="A2085" s="9"/>
    </row>
    <row r="2086" spans="1:1" ht="15.75" customHeight="1" thickBot="1" x14ac:dyDescent="0.3">
      <c r="A2086" s="9"/>
    </row>
    <row r="2087" spans="1:1" ht="15.75" customHeight="1" thickBot="1" x14ac:dyDescent="0.3">
      <c r="A2087" s="9"/>
    </row>
    <row r="2088" spans="1:1" ht="15.75" customHeight="1" thickBot="1" x14ac:dyDescent="0.3">
      <c r="A2088" s="9"/>
    </row>
    <row r="2089" spans="1:1" ht="15.75" customHeight="1" thickBot="1" x14ac:dyDescent="0.3">
      <c r="A2089" s="9"/>
    </row>
    <row r="2090" spans="1:1" ht="15.75" customHeight="1" thickBot="1" x14ac:dyDescent="0.3">
      <c r="A2090" s="9"/>
    </row>
    <row r="2091" spans="1:1" ht="15.75" customHeight="1" thickBot="1" x14ac:dyDescent="0.3">
      <c r="A2091" s="9"/>
    </row>
    <row r="2092" spans="1:1" ht="15.75" customHeight="1" thickBot="1" x14ac:dyDescent="0.3">
      <c r="A2092" s="9"/>
    </row>
    <row r="2093" spans="1:1" ht="15.75" customHeight="1" thickBot="1" x14ac:dyDescent="0.3">
      <c r="A2093" s="9"/>
    </row>
    <row r="2094" spans="1:1" ht="15.75" customHeight="1" thickBot="1" x14ac:dyDescent="0.3">
      <c r="A2094" s="9"/>
    </row>
    <row r="2095" spans="1:1" ht="15.75" customHeight="1" thickBot="1" x14ac:dyDescent="0.3">
      <c r="A2095" s="9"/>
    </row>
    <row r="2096" spans="1:1" ht="15.75" customHeight="1" thickBot="1" x14ac:dyDescent="0.3">
      <c r="A2096" s="9"/>
    </row>
    <row r="2097" spans="1:1" ht="15.75" customHeight="1" thickBot="1" x14ac:dyDescent="0.3">
      <c r="A2097" s="9"/>
    </row>
    <row r="2098" spans="1:1" ht="15.75" customHeight="1" thickBot="1" x14ac:dyDescent="0.3">
      <c r="A2098" s="9"/>
    </row>
    <row r="2099" spans="1:1" ht="15.75" customHeight="1" thickBot="1" x14ac:dyDescent="0.3">
      <c r="A2099" s="9"/>
    </row>
    <row r="2100" spans="1:1" ht="15.75" customHeight="1" thickBot="1" x14ac:dyDescent="0.3">
      <c r="A2100" s="9"/>
    </row>
    <row r="2101" spans="1:1" ht="15.75" customHeight="1" thickBot="1" x14ac:dyDescent="0.3">
      <c r="A2101" s="9"/>
    </row>
    <row r="2102" spans="1:1" ht="15.75" customHeight="1" thickBot="1" x14ac:dyDescent="0.3">
      <c r="A2102" s="9"/>
    </row>
    <row r="2103" spans="1:1" ht="15.75" customHeight="1" thickBot="1" x14ac:dyDescent="0.3">
      <c r="A2103" s="9"/>
    </row>
    <row r="2104" spans="1:1" ht="15.75" customHeight="1" thickBot="1" x14ac:dyDescent="0.3">
      <c r="A2104" s="9"/>
    </row>
    <row r="2105" spans="1:1" ht="15.75" customHeight="1" thickBot="1" x14ac:dyDescent="0.3">
      <c r="A2105" s="9"/>
    </row>
    <row r="2106" spans="1:1" ht="15.75" customHeight="1" thickBot="1" x14ac:dyDescent="0.3">
      <c r="A2106" s="9"/>
    </row>
    <row r="2107" spans="1:1" ht="15.75" customHeight="1" thickBot="1" x14ac:dyDescent="0.3">
      <c r="A2107" s="9"/>
    </row>
    <row r="2108" spans="1:1" ht="15.75" customHeight="1" thickBot="1" x14ac:dyDescent="0.3">
      <c r="A2108" s="9"/>
    </row>
    <row r="2109" spans="1:1" ht="15.75" customHeight="1" thickBot="1" x14ac:dyDescent="0.3">
      <c r="A2109" s="9"/>
    </row>
    <row r="2110" spans="1:1" ht="15.75" customHeight="1" thickBot="1" x14ac:dyDescent="0.3">
      <c r="A2110" s="9"/>
    </row>
    <row r="2111" spans="1:1" ht="15.75" customHeight="1" thickBot="1" x14ac:dyDescent="0.3">
      <c r="A2111" s="9"/>
    </row>
    <row r="2112" spans="1:1" ht="15.75" customHeight="1" thickBot="1" x14ac:dyDescent="0.3">
      <c r="A2112" s="9"/>
    </row>
    <row r="2113" spans="1:1" ht="15.75" customHeight="1" thickBot="1" x14ac:dyDescent="0.3">
      <c r="A2113" s="9"/>
    </row>
    <row r="2114" spans="1:1" ht="15.75" customHeight="1" thickBot="1" x14ac:dyDescent="0.3">
      <c r="A2114" s="9"/>
    </row>
    <row r="2115" spans="1:1" ht="15.75" customHeight="1" thickBot="1" x14ac:dyDescent="0.3">
      <c r="A2115" s="9"/>
    </row>
    <row r="2116" spans="1:1" ht="15.75" customHeight="1" thickBot="1" x14ac:dyDescent="0.3">
      <c r="A2116" s="9"/>
    </row>
    <row r="2117" spans="1:1" ht="15.75" customHeight="1" thickBot="1" x14ac:dyDescent="0.3">
      <c r="A2117" s="9"/>
    </row>
    <row r="2118" spans="1:1" ht="15.75" customHeight="1" thickBot="1" x14ac:dyDescent="0.3">
      <c r="A2118" s="9"/>
    </row>
    <row r="2119" spans="1:1" ht="15.75" customHeight="1" thickBot="1" x14ac:dyDescent="0.3">
      <c r="A2119" s="9"/>
    </row>
    <row r="2120" spans="1:1" ht="15.75" customHeight="1" thickBot="1" x14ac:dyDescent="0.3">
      <c r="A2120" s="9"/>
    </row>
    <row r="2121" spans="1:1" ht="15.75" customHeight="1" thickBot="1" x14ac:dyDescent="0.3">
      <c r="A2121" s="9"/>
    </row>
    <row r="2122" spans="1:1" ht="15.75" customHeight="1" thickBot="1" x14ac:dyDescent="0.3">
      <c r="A2122" s="9"/>
    </row>
    <row r="2123" spans="1:1" ht="15.75" customHeight="1" thickBot="1" x14ac:dyDescent="0.3">
      <c r="A2123" s="9"/>
    </row>
    <row r="2124" spans="1:1" ht="15.75" customHeight="1" thickBot="1" x14ac:dyDescent="0.3">
      <c r="A2124" s="9"/>
    </row>
    <row r="2125" spans="1:1" ht="15.75" customHeight="1" thickBot="1" x14ac:dyDescent="0.3">
      <c r="A2125" s="9"/>
    </row>
    <row r="2126" spans="1:1" ht="15.75" customHeight="1" thickBot="1" x14ac:dyDescent="0.3">
      <c r="A2126" s="9"/>
    </row>
    <row r="2127" spans="1:1" ht="15.75" customHeight="1" thickBot="1" x14ac:dyDescent="0.3">
      <c r="A2127" s="9"/>
    </row>
    <row r="2128" spans="1:1" ht="15.75" customHeight="1" thickBot="1" x14ac:dyDescent="0.3">
      <c r="A2128" s="9"/>
    </row>
    <row r="2129" spans="1:1" ht="15.75" customHeight="1" thickBot="1" x14ac:dyDescent="0.3">
      <c r="A2129" s="9"/>
    </row>
    <row r="2130" spans="1:1" ht="15.75" customHeight="1" thickBot="1" x14ac:dyDescent="0.3">
      <c r="A2130" s="9"/>
    </row>
    <row r="2131" spans="1:1" ht="15.75" customHeight="1" thickBot="1" x14ac:dyDescent="0.3">
      <c r="A2131" s="9"/>
    </row>
    <row r="2132" spans="1:1" ht="15.75" customHeight="1" thickBot="1" x14ac:dyDescent="0.3">
      <c r="A2132" s="9"/>
    </row>
    <row r="2133" spans="1:1" ht="15.75" customHeight="1" thickBot="1" x14ac:dyDescent="0.3">
      <c r="A2133" s="9"/>
    </row>
    <row r="2134" spans="1:1" ht="15.75" customHeight="1" thickBot="1" x14ac:dyDescent="0.3">
      <c r="A2134" s="9"/>
    </row>
    <row r="2135" spans="1:1" ht="15.75" customHeight="1" thickBot="1" x14ac:dyDescent="0.3">
      <c r="A2135" s="9"/>
    </row>
    <row r="2136" spans="1:1" ht="15.75" customHeight="1" thickBot="1" x14ac:dyDescent="0.3">
      <c r="A2136" s="9"/>
    </row>
    <row r="2137" spans="1:1" ht="15.75" customHeight="1" thickBot="1" x14ac:dyDescent="0.3">
      <c r="A2137" s="9"/>
    </row>
    <row r="2138" spans="1:1" ht="15.75" customHeight="1" thickBot="1" x14ac:dyDescent="0.3">
      <c r="A2138" s="9"/>
    </row>
    <row r="2139" spans="1:1" ht="15.75" customHeight="1" thickBot="1" x14ac:dyDescent="0.3">
      <c r="A2139" s="9"/>
    </row>
    <row r="2140" spans="1:1" ht="15.75" customHeight="1" thickBot="1" x14ac:dyDescent="0.3">
      <c r="A2140" s="9"/>
    </row>
    <row r="2141" spans="1:1" ht="15.75" customHeight="1" thickBot="1" x14ac:dyDescent="0.3">
      <c r="A2141" s="9"/>
    </row>
    <row r="2142" spans="1:1" ht="15.75" customHeight="1" thickBot="1" x14ac:dyDescent="0.3">
      <c r="A2142" s="9"/>
    </row>
    <row r="2143" spans="1:1" ht="15.75" customHeight="1" thickBot="1" x14ac:dyDescent="0.3">
      <c r="A2143" s="9"/>
    </row>
    <row r="2144" spans="1:1" ht="15.75" customHeight="1" thickBot="1" x14ac:dyDescent="0.3">
      <c r="A2144" s="9"/>
    </row>
    <row r="2145" spans="1:1" ht="15.75" customHeight="1" thickBot="1" x14ac:dyDescent="0.3">
      <c r="A2145" s="9"/>
    </row>
    <row r="2146" spans="1:1" ht="15.75" customHeight="1" thickBot="1" x14ac:dyDescent="0.3">
      <c r="A2146" s="9"/>
    </row>
    <row r="2147" spans="1:1" ht="15.75" customHeight="1" thickBot="1" x14ac:dyDescent="0.3">
      <c r="A2147" s="9"/>
    </row>
    <row r="2148" spans="1:1" ht="15.75" customHeight="1" thickBot="1" x14ac:dyDescent="0.3">
      <c r="A2148" s="9"/>
    </row>
    <row r="2149" spans="1:1" ht="15.75" customHeight="1" thickBot="1" x14ac:dyDescent="0.3">
      <c r="A2149" s="9"/>
    </row>
    <row r="2150" spans="1:1" ht="15.75" customHeight="1" thickBot="1" x14ac:dyDescent="0.3">
      <c r="A2150" s="9"/>
    </row>
    <row r="2151" spans="1:1" ht="15.75" customHeight="1" thickBot="1" x14ac:dyDescent="0.3">
      <c r="A2151" s="9"/>
    </row>
    <row r="2152" spans="1:1" ht="15.75" customHeight="1" thickBot="1" x14ac:dyDescent="0.3">
      <c r="A2152" s="9"/>
    </row>
    <row r="2153" spans="1:1" ht="15.75" customHeight="1" thickBot="1" x14ac:dyDescent="0.3">
      <c r="A2153" s="9"/>
    </row>
    <row r="2154" spans="1:1" ht="15.75" customHeight="1" thickBot="1" x14ac:dyDescent="0.3">
      <c r="A2154" s="9"/>
    </row>
    <row r="2155" spans="1:1" ht="15.75" customHeight="1" thickBot="1" x14ac:dyDescent="0.3">
      <c r="A2155" s="9"/>
    </row>
    <row r="2156" spans="1:1" ht="15.75" customHeight="1" thickBot="1" x14ac:dyDescent="0.3">
      <c r="A2156" s="9"/>
    </row>
    <row r="2157" spans="1:1" ht="15.75" customHeight="1" thickBot="1" x14ac:dyDescent="0.3">
      <c r="A2157" s="9"/>
    </row>
    <row r="2158" spans="1:1" ht="15.75" customHeight="1" thickBot="1" x14ac:dyDescent="0.3">
      <c r="A2158" s="9"/>
    </row>
    <row r="2159" spans="1:1" ht="15.75" customHeight="1" thickBot="1" x14ac:dyDescent="0.3">
      <c r="A2159" s="9"/>
    </row>
    <row r="2160" spans="1:1" ht="15.75" customHeight="1" thickBot="1" x14ac:dyDescent="0.3">
      <c r="A2160" s="9"/>
    </row>
    <row r="2161" spans="1:1" ht="15.75" customHeight="1" thickBot="1" x14ac:dyDescent="0.3">
      <c r="A2161" s="9"/>
    </row>
    <row r="2162" spans="1:1" ht="15.75" customHeight="1" thickBot="1" x14ac:dyDescent="0.3">
      <c r="A2162" s="9"/>
    </row>
    <row r="2163" spans="1:1" ht="15.75" customHeight="1" thickBot="1" x14ac:dyDescent="0.3">
      <c r="A2163" s="9"/>
    </row>
    <row r="2164" spans="1:1" ht="15.75" customHeight="1" thickBot="1" x14ac:dyDescent="0.3">
      <c r="A2164" s="9"/>
    </row>
    <row r="2165" spans="1:1" ht="15.75" customHeight="1" thickBot="1" x14ac:dyDescent="0.3">
      <c r="A2165" s="9"/>
    </row>
    <row r="2166" spans="1:1" ht="15.75" customHeight="1" thickBot="1" x14ac:dyDescent="0.3">
      <c r="A2166" s="9"/>
    </row>
    <row r="2167" spans="1:1" ht="15.75" customHeight="1" thickBot="1" x14ac:dyDescent="0.3">
      <c r="A2167" s="9"/>
    </row>
    <row r="2168" spans="1:1" ht="15.75" customHeight="1" thickBot="1" x14ac:dyDescent="0.3">
      <c r="A2168" s="9"/>
    </row>
    <row r="2169" spans="1:1" ht="15.75" customHeight="1" thickBot="1" x14ac:dyDescent="0.3">
      <c r="A2169" s="9"/>
    </row>
    <row r="2170" spans="1:1" ht="15.75" customHeight="1" thickBot="1" x14ac:dyDescent="0.3">
      <c r="A2170" s="9"/>
    </row>
    <row r="2171" spans="1:1" ht="15.75" customHeight="1" thickBot="1" x14ac:dyDescent="0.3">
      <c r="A2171" s="9"/>
    </row>
    <row r="2172" spans="1:1" ht="15.75" customHeight="1" thickBot="1" x14ac:dyDescent="0.3">
      <c r="A2172" s="9"/>
    </row>
    <row r="2173" spans="1:1" ht="15.75" customHeight="1" thickBot="1" x14ac:dyDescent="0.3">
      <c r="A2173" s="9"/>
    </row>
    <row r="2174" spans="1:1" ht="15.75" customHeight="1" thickBot="1" x14ac:dyDescent="0.3">
      <c r="A2174" s="9"/>
    </row>
    <row r="2175" spans="1:1" ht="15.75" customHeight="1" thickBot="1" x14ac:dyDescent="0.3">
      <c r="A2175" s="9"/>
    </row>
    <row r="2176" spans="1:1" ht="15.75" customHeight="1" thickBot="1" x14ac:dyDescent="0.3">
      <c r="A2176" s="9"/>
    </row>
    <row r="2177" spans="1:1" ht="15.75" customHeight="1" thickBot="1" x14ac:dyDescent="0.3">
      <c r="A2177" s="9"/>
    </row>
    <row r="2178" spans="1:1" ht="15.75" customHeight="1" thickBot="1" x14ac:dyDescent="0.3">
      <c r="A2178" s="9"/>
    </row>
    <row r="2179" spans="1:1" ht="15.75" customHeight="1" thickBot="1" x14ac:dyDescent="0.3">
      <c r="A2179" s="9"/>
    </row>
    <row r="2180" spans="1:1" ht="15.75" customHeight="1" thickBot="1" x14ac:dyDescent="0.3">
      <c r="A2180" s="9"/>
    </row>
    <row r="2181" spans="1:1" ht="15.75" customHeight="1" thickBot="1" x14ac:dyDescent="0.3">
      <c r="A2181" s="9"/>
    </row>
    <row r="2182" spans="1:1" ht="15.75" customHeight="1" thickBot="1" x14ac:dyDescent="0.3">
      <c r="A2182" s="9"/>
    </row>
    <row r="2183" spans="1:1" ht="15.75" customHeight="1" thickBot="1" x14ac:dyDescent="0.3">
      <c r="A2183" s="9"/>
    </row>
    <row r="2184" spans="1:1" ht="15.75" customHeight="1" thickBot="1" x14ac:dyDescent="0.3">
      <c r="A2184" s="9"/>
    </row>
    <row r="2185" spans="1:1" ht="15.75" customHeight="1" thickBot="1" x14ac:dyDescent="0.3">
      <c r="A2185" s="9"/>
    </row>
    <row r="2186" spans="1:1" ht="15.75" customHeight="1" thickBot="1" x14ac:dyDescent="0.3">
      <c r="A2186" s="9"/>
    </row>
    <row r="2187" spans="1:1" ht="15.75" customHeight="1" thickBot="1" x14ac:dyDescent="0.3">
      <c r="A2187" s="9"/>
    </row>
    <row r="2188" spans="1:1" ht="15.75" customHeight="1" thickBot="1" x14ac:dyDescent="0.3">
      <c r="A2188" s="9"/>
    </row>
    <row r="2189" spans="1:1" ht="15.75" customHeight="1" thickBot="1" x14ac:dyDescent="0.3">
      <c r="A2189" s="9"/>
    </row>
    <row r="2190" spans="1:1" ht="15.75" customHeight="1" thickBot="1" x14ac:dyDescent="0.3">
      <c r="A2190" s="9"/>
    </row>
    <row r="2191" spans="1:1" ht="15.75" customHeight="1" thickBot="1" x14ac:dyDescent="0.3">
      <c r="A2191" s="9"/>
    </row>
    <row r="2192" spans="1:1" ht="15.75" customHeight="1" thickBot="1" x14ac:dyDescent="0.3">
      <c r="A2192" s="9"/>
    </row>
    <row r="2193" spans="1:1" ht="15.75" customHeight="1" thickBot="1" x14ac:dyDescent="0.3">
      <c r="A2193" s="9"/>
    </row>
    <row r="2194" spans="1:1" ht="15.75" customHeight="1" thickBot="1" x14ac:dyDescent="0.3">
      <c r="A2194" s="9"/>
    </row>
    <row r="2195" spans="1:1" ht="15.75" customHeight="1" thickBot="1" x14ac:dyDescent="0.3">
      <c r="A2195" s="9"/>
    </row>
    <row r="2196" spans="1:1" ht="15.75" customHeight="1" thickBot="1" x14ac:dyDescent="0.3">
      <c r="A2196" s="9"/>
    </row>
    <row r="2197" spans="1:1" ht="15.75" customHeight="1" thickBot="1" x14ac:dyDescent="0.3">
      <c r="A2197" s="9"/>
    </row>
    <row r="2198" spans="1:1" ht="15.75" customHeight="1" thickBot="1" x14ac:dyDescent="0.3">
      <c r="A2198" s="9"/>
    </row>
    <row r="2199" spans="1:1" ht="15.75" customHeight="1" thickBot="1" x14ac:dyDescent="0.3">
      <c r="A2199" s="9"/>
    </row>
    <row r="2200" spans="1:1" ht="15.75" customHeight="1" thickBot="1" x14ac:dyDescent="0.3">
      <c r="A2200" s="9"/>
    </row>
    <row r="2201" spans="1:1" ht="15.75" customHeight="1" thickBot="1" x14ac:dyDescent="0.3">
      <c r="A2201" s="9"/>
    </row>
    <row r="2202" spans="1:1" ht="15.75" customHeight="1" thickBot="1" x14ac:dyDescent="0.3">
      <c r="A2202" s="9"/>
    </row>
    <row r="2203" spans="1:1" ht="15.75" customHeight="1" thickBot="1" x14ac:dyDescent="0.3">
      <c r="A2203" s="9"/>
    </row>
    <row r="2204" spans="1:1" ht="15.75" customHeight="1" thickBot="1" x14ac:dyDescent="0.3">
      <c r="A2204" s="9"/>
    </row>
    <row r="2205" spans="1:1" ht="15.75" customHeight="1" thickBot="1" x14ac:dyDescent="0.3">
      <c r="A2205" s="9"/>
    </row>
    <row r="2206" spans="1:1" ht="15.75" customHeight="1" thickBot="1" x14ac:dyDescent="0.3">
      <c r="A2206" s="9"/>
    </row>
    <row r="2207" spans="1:1" ht="15.75" customHeight="1" thickBot="1" x14ac:dyDescent="0.3">
      <c r="A2207" s="9"/>
    </row>
    <row r="2208" spans="1:1" ht="15.75" customHeight="1" thickBot="1" x14ac:dyDescent="0.3">
      <c r="A2208" s="9"/>
    </row>
    <row r="2209" spans="1:1" ht="15.75" customHeight="1" thickBot="1" x14ac:dyDescent="0.3">
      <c r="A2209" s="9"/>
    </row>
    <row r="2210" spans="1:1" ht="15.75" customHeight="1" thickBot="1" x14ac:dyDescent="0.3">
      <c r="A2210" s="9"/>
    </row>
    <row r="2211" spans="1:1" ht="15.75" customHeight="1" thickBot="1" x14ac:dyDescent="0.3">
      <c r="A2211" s="9"/>
    </row>
    <row r="2212" spans="1:1" ht="15.75" customHeight="1" thickBot="1" x14ac:dyDescent="0.3">
      <c r="A2212" s="9"/>
    </row>
    <row r="2213" spans="1:1" ht="15.75" customHeight="1" thickBot="1" x14ac:dyDescent="0.3">
      <c r="A2213" s="9"/>
    </row>
    <row r="2214" spans="1:1" ht="15.75" customHeight="1" thickBot="1" x14ac:dyDescent="0.3">
      <c r="A2214" s="9"/>
    </row>
    <row r="2215" spans="1:1" ht="15.75" customHeight="1" thickBot="1" x14ac:dyDescent="0.3">
      <c r="A2215" s="9"/>
    </row>
    <row r="2216" spans="1:1" ht="15.75" customHeight="1" thickBot="1" x14ac:dyDescent="0.3">
      <c r="A2216" s="9"/>
    </row>
    <row r="2217" spans="1:1" ht="15.75" customHeight="1" thickBot="1" x14ac:dyDescent="0.3">
      <c r="A2217" s="9"/>
    </row>
    <row r="2218" spans="1:1" ht="15.75" customHeight="1" thickBot="1" x14ac:dyDescent="0.3">
      <c r="A2218" s="9"/>
    </row>
    <row r="2219" spans="1:1" ht="15.75" customHeight="1" thickBot="1" x14ac:dyDescent="0.3">
      <c r="A2219" s="9"/>
    </row>
    <row r="2220" spans="1:1" ht="15.75" customHeight="1" thickBot="1" x14ac:dyDescent="0.3">
      <c r="A2220" s="9"/>
    </row>
    <row r="2221" spans="1:1" ht="15.75" customHeight="1" thickBot="1" x14ac:dyDescent="0.3">
      <c r="A2221" s="9"/>
    </row>
    <row r="2222" spans="1:1" ht="15.75" customHeight="1" thickBot="1" x14ac:dyDescent="0.3">
      <c r="A2222" s="9"/>
    </row>
    <row r="2223" spans="1:1" ht="15.75" customHeight="1" thickBot="1" x14ac:dyDescent="0.3">
      <c r="A2223" s="9"/>
    </row>
    <row r="2224" spans="1:1" ht="15.75" customHeight="1" thickBot="1" x14ac:dyDescent="0.3">
      <c r="A2224" s="9"/>
    </row>
    <row r="2225" spans="1:1" ht="15.75" customHeight="1" thickBot="1" x14ac:dyDescent="0.3">
      <c r="A2225" s="9"/>
    </row>
    <row r="2226" spans="1:1" ht="15.75" customHeight="1" thickBot="1" x14ac:dyDescent="0.3">
      <c r="A2226" s="9"/>
    </row>
    <row r="2227" spans="1:1" ht="15.75" customHeight="1" thickBot="1" x14ac:dyDescent="0.3">
      <c r="A2227" s="9"/>
    </row>
    <row r="2228" spans="1:1" ht="15.75" customHeight="1" thickBot="1" x14ac:dyDescent="0.3">
      <c r="A2228" s="9"/>
    </row>
    <row r="2229" spans="1:1" ht="15.75" customHeight="1" thickBot="1" x14ac:dyDescent="0.3">
      <c r="A2229" s="9"/>
    </row>
    <row r="2230" spans="1:1" ht="15.75" customHeight="1" thickBot="1" x14ac:dyDescent="0.3">
      <c r="A2230" s="9"/>
    </row>
    <row r="2231" spans="1:1" ht="15.75" customHeight="1" thickBot="1" x14ac:dyDescent="0.3">
      <c r="A2231" s="9"/>
    </row>
    <row r="2232" spans="1:1" ht="15.75" customHeight="1" thickBot="1" x14ac:dyDescent="0.3">
      <c r="A2232" s="9"/>
    </row>
    <row r="2233" spans="1:1" ht="15.75" customHeight="1" thickBot="1" x14ac:dyDescent="0.3">
      <c r="A2233" s="9"/>
    </row>
    <row r="2234" spans="1:1" ht="15.75" customHeight="1" thickBot="1" x14ac:dyDescent="0.3">
      <c r="A2234" s="9"/>
    </row>
    <row r="2235" spans="1:1" ht="15.75" customHeight="1" thickBot="1" x14ac:dyDescent="0.3">
      <c r="A2235" s="9"/>
    </row>
    <row r="2236" spans="1:1" ht="15.75" customHeight="1" thickBot="1" x14ac:dyDescent="0.3">
      <c r="A2236" s="9"/>
    </row>
    <row r="2237" spans="1:1" ht="15.75" customHeight="1" thickBot="1" x14ac:dyDescent="0.3">
      <c r="A2237" s="9"/>
    </row>
    <row r="2238" spans="1:1" ht="15.75" customHeight="1" thickBot="1" x14ac:dyDescent="0.3">
      <c r="A2238" s="9"/>
    </row>
    <row r="2239" spans="1:1" ht="15.75" customHeight="1" thickBot="1" x14ac:dyDescent="0.3">
      <c r="A2239" s="9"/>
    </row>
    <row r="2240" spans="1:1" ht="15.75" customHeight="1" thickBot="1" x14ac:dyDescent="0.3">
      <c r="A2240" s="9"/>
    </row>
    <row r="2241" spans="1:1" ht="15.75" customHeight="1" thickBot="1" x14ac:dyDescent="0.3">
      <c r="A2241" s="9"/>
    </row>
    <row r="2242" spans="1:1" ht="15.75" customHeight="1" thickBot="1" x14ac:dyDescent="0.3">
      <c r="A2242" s="9"/>
    </row>
    <row r="2243" spans="1:1" ht="15.75" customHeight="1" thickBot="1" x14ac:dyDescent="0.3">
      <c r="A2243" s="9"/>
    </row>
    <row r="2244" spans="1:1" ht="15.75" customHeight="1" thickBot="1" x14ac:dyDescent="0.3">
      <c r="A2244" s="9"/>
    </row>
    <row r="2245" spans="1:1" ht="15.75" customHeight="1" thickBot="1" x14ac:dyDescent="0.3">
      <c r="A2245" s="9"/>
    </row>
    <row r="2246" spans="1:1" ht="15.75" customHeight="1" thickBot="1" x14ac:dyDescent="0.3">
      <c r="A2246" s="9"/>
    </row>
    <row r="2247" spans="1:1" ht="15.75" customHeight="1" thickBot="1" x14ac:dyDescent="0.3">
      <c r="A2247" s="9"/>
    </row>
    <row r="2248" spans="1:1" ht="15.75" customHeight="1" thickBot="1" x14ac:dyDescent="0.3">
      <c r="A2248" s="9"/>
    </row>
    <row r="2249" spans="1:1" ht="15.75" customHeight="1" thickBot="1" x14ac:dyDescent="0.3">
      <c r="A2249" s="9"/>
    </row>
    <row r="2250" spans="1:1" ht="15.75" customHeight="1" thickBot="1" x14ac:dyDescent="0.3">
      <c r="A2250" s="9"/>
    </row>
    <row r="2251" spans="1:1" ht="15.75" customHeight="1" thickBot="1" x14ac:dyDescent="0.3">
      <c r="A2251" s="9"/>
    </row>
    <row r="2252" spans="1:1" ht="15.75" customHeight="1" thickBot="1" x14ac:dyDescent="0.3">
      <c r="A2252" s="9"/>
    </row>
    <row r="2253" spans="1:1" ht="15.75" customHeight="1" thickBot="1" x14ac:dyDescent="0.3">
      <c r="A2253" s="9"/>
    </row>
    <row r="2254" spans="1:1" ht="15.75" customHeight="1" thickBot="1" x14ac:dyDescent="0.3">
      <c r="A2254" s="9"/>
    </row>
    <row r="2255" spans="1:1" ht="15.75" customHeight="1" thickBot="1" x14ac:dyDescent="0.3">
      <c r="A2255" s="9"/>
    </row>
    <row r="2256" spans="1:1" ht="15.75" customHeight="1" thickBot="1" x14ac:dyDescent="0.3">
      <c r="A2256" s="9"/>
    </row>
    <row r="2257" spans="1:1" ht="15.75" customHeight="1" thickBot="1" x14ac:dyDescent="0.3">
      <c r="A2257" s="9"/>
    </row>
    <row r="2258" spans="1:1" ht="15.75" customHeight="1" thickBot="1" x14ac:dyDescent="0.3">
      <c r="A2258" s="9"/>
    </row>
    <row r="2259" spans="1:1" ht="15.75" customHeight="1" thickBot="1" x14ac:dyDescent="0.3">
      <c r="A2259" s="9"/>
    </row>
    <row r="2260" spans="1:1" ht="15.75" customHeight="1" thickBot="1" x14ac:dyDescent="0.3">
      <c r="A2260" s="9"/>
    </row>
    <row r="2261" spans="1:1" ht="15.75" customHeight="1" thickBot="1" x14ac:dyDescent="0.3">
      <c r="A2261" s="9"/>
    </row>
    <row r="2262" spans="1:1" ht="15.75" customHeight="1" thickBot="1" x14ac:dyDescent="0.3">
      <c r="A2262" s="9"/>
    </row>
    <row r="2263" spans="1:1" ht="15.75" customHeight="1" thickBot="1" x14ac:dyDescent="0.3">
      <c r="A2263" s="9"/>
    </row>
    <row r="2264" spans="1:1" ht="15.75" customHeight="1" thickBot="1" x14ac:dyDescent="0.3">
      <c r="A2264" s="9"/>
    </row>
    <row r="2265" spans="1:1" ht="15.75" customHeight="1" thickBot="1" x14ac:dyDescent="0.3">
      <c r="A2265" s="9"/>
    </row>
    <row r="2266" spans="1:1" ht="15.75" customHeight="1" thickBot="1" x14ac:dyDescent="0.3">
      <c r="A2266" s="9"/>
    </row>
    <row r="2267" spans="1:1" ht="15.75" customHeight="1" thickBot="1" x14ac:dyDescent="0.3">
      <c r="A2267" s="9"/>
    </row>
    <row r="2268" spans="1:1" ht="15.75" customHeight="1" thickBot="1" x14ac:dyDescent="0.3">
      <c r="A2268" s="9"/>
    </row>
    <row r="2269" spans="1:1" ht="15.75" customHeight="1" thickBot="1" x14ac:dyDescent="0.3">
      <c r="A2269" s="9"/>
    </row>
    <row r="2270" spans="1:1" ht="15.75" customHeight="1" thickBot="1" x14ac:dyDescent="0.3">
      <c r="A2270" s="9"/>
    </row>
    <row r="2271" spans="1:1" ht="15.75" customHeight="1" thickBot="1" x14ac:dyDescent="0.3">
      <c r="A2271" s="9"/>
    </row>
    <row r="2272" spans="1:1" ht="15.75" customHeight="1" thickBot="1" x14ac:dyDescent="0.3">
      <c r="A2272" s="9"/>
    </row>
    <row r="2273" spans="1:1" ht="15.75" customHeight="1" thickBot="1" x14ac:dyDescent="0.3">
      <c r="A2273" s="9"/>
    </row>
    <row r="2274" spans="1:1" ht="15.75" customHeight="1" thickBot="1" x14ac:dyDescent="0.3">
      <c r="A2274" s="9"/>
    </row>
    <row r="2275" spans="1:1" ht="15.75" customHeight="1" thickBot="1" x14ac:dyDescent="0.3">
      <c r="A2275" s="9"/>
    </row>
    <row r="2276" spans="1:1" ht="15.75" customHeight="1" thickBot="1" x14ac:dyDescent="0.3">
      <c r="A2276" s="9"/>
    </row>
    <row r="2277" spans="1:1" ht="15.75" customHeight="1" thickBot="1" x14ac:dyDescent="0.3">
      <c r="A2277" s="9"/>
    </row>
    <row r="2278" spans="1:1" ht="15.75" customHeight="1" thickBot="1" x14ac:dyDescent="0.3">
      <c r="A2278" s="9"/>
    </row>
    <row r="2279" spans="1:1" ht="15.75" customHeight="1" thickBot="1" x14ac:dyDescent="0.3">
      <c r="A2279" s="9"/>
    </row>
    <row r="2280" spans="1:1" ht="15.75" customHeight="1" thickBot="1" x14ac:dyDescent="0.3">
      <c r="A2280" s="9"/>
    </row>
    <row r="2281" spans="1:1" ht="15.75" customHeight="1" thickBot="1" x14ac:dyDescent="0.3">
      <c r="A2281" s="9"/>
    </row>
    <row r="2282" spans="1:1" ht="15.75" customHeight="1" thickBot="1" x14ac:dyDescent="0.3">
      <c r="A2282" s="9"/>
    </row>
    <row r="2283" spans="1:1" ht="15.75" customHeight="1" thickBot="1" x14ac:dyDescent="0.3">
      <c r="A2283" s="9"/>
    </row>
    <row r="2284" spans="1:1" ht="15.75" customHeight="1" thickBot="1" x14ac:dyDescent="0.3">
      <c r="A2284" s="9"/>
    </row>
    <row r="2285" spans="1:1" ht="15.75" customHeight="1" thickBot="1" x14ac:dyDescent="0.3">
      <c r="A2285" s="9"/>
    </row>
    <row r="2286" spans="1:1" ht="15.75" customHeight="1" thickBot="1" x14ac:dyDescent="0.3">
      <c r="A2286" s="9"/>
    </row>
    <row r="2287" spans="1:1" ht="15.75" customHeight="1" thickBot="1" x14ac:dyDescent="0.3">
      <c r="A2287" s="9"/>
    </row>
    <row r="2288" spans="1:1" ht="15.75" customHeight="1" thickBot="1" x14ac:dyDescent="0.3">
      <c r="A2288" s="9"/>
    </row>
    <row r="2289" spans="1:1" ht="15.75" customHeight="1" thickBot="1" x14ac:dyDescent="0.3">
      <c r="A2289" s="9"/>
    </row>
    <row r="2290" spans="1:1" ht="15.75" customHeight="1" thickBot="1" x14ac:dyDescent="0.3">
      <c r="A2290" s="9"/>
    </row>
    <row r="2291" spans="1:1" ht="15.75" customHeight="1" thickBot="1" x14ac:dyDescent="0.3">
      <c r="A2291" s="9"/>
    </row>
    <row r="2292" spans="1:1" ht="15.75" customHeight="1" thickBot="1" x14ac:dyDescent="0.3">
      <c r="A2292" s="9"/>
    </row>
    <row r="2293" spans="1:1" ht="15.75" customHeight="1" thickBot="1" x14ac:dyDescent="0.3">
      <c r="A2293" s="9"/>
    </row>
    <row r="2294" spans="1:1" ht="15.75" customHeight="1" thickBot="1" x14ac:dyDescent="0.3">
      <c r="A2294" s="9"/>
    </row>
    <row r="2295" spans="1:1" ht="15.75" customHeight="1" thickBot="1" x14ac:dyDescent="0.3">
      <c r="A2295" s="9"/>
    </row>
    <row r="2296" spans="1:1" ht="15.75" customHeight="1" thickBot="1" x14ac:dyDescent="0.3">
      <c r="A2296" s="9"/>
    </row>
    <row r="2297" spans="1:1" ht="15.75" customHeight="1" thickBot="1" x14ac:dyDescent="0.3">
      <c r="A2297" s="9"/>
    </row>
    <row r="2298" spans="1:1" ht="15.75" customHeight="1" thickBot="1" x14ac:dyDescent="0.3">
      <c r="A2298" s="9"/>
    </row>
    <row r="2299" spans="1:1" ht="15.75" customHeight="1" thickBot="1" x14ac:dyDescent="0.3">
      <c r="A2299" s="9"/>
    </row>
    <row r="2300" spans="1:1" ht="15.75" customHeight="1" thickBot="1" x14ac:dyDescent="0.3">
      <c r="A2300" s="9"/>
    </row>
    <row r="2301" spans="1:1" ht="15.75" customHeight="1" thickBot="1" x14ac:dyDescent="0.3">
      <c r="A2301" s="9"/>
    </row>
    <row r="2302" spans="1:1" ht="15.75" customHeight="1" thickBot="1" x14ac:dyDescent="0.3">
      <c r="A2302" s="9"/>
    </row>
    <row r="2303" spans="1:1" ht="15.75" customHeight="1" thickBot="1" x14ac:dyDescent="0.3">
      <c r="A2303" s="9"/>
    </row>
    <row r="2304" spans="1:1" ht="15.75" customHeight="1" thickBot="1" x14ac:dyDescent="0.3">
      <c r="A2304" s="9"/>
    </row>
    <row r="2305" spans="1:1" ht="15.75" customHeight="1" thickBot="1" x14ac:dyDescent="0.3">
      <c r="A2305" s="9"/>
    </row>
    <row r="2306" spans="1:1" ht="15.75" customHeight="1" thickBot="1" x14ac:dyDescent="0.3">
      <c r="A2306" s="9"/>
    </row>
    <row r="2307" spans="1:1" ht="15.75" customHeight="1" thickBot="1" x14ac:dyDescent="0.3">
      <c r="A2307" s="9"/>
    </row>
    <row r="2308" spans="1:1" ht="15.75" customHeight="1" thickBot="1" x14ac:dyDescent="0.3">
      <c r="A2308" s="9"/>
    </row>
    <row r="2309" spans="1:1" ht="15.75" customHeight="1" thickBot="1" x14ac:dyDescent="0.3">
      <c r="A2309" s="9"/>
    </row>
    <row r="2310" spans="1:1" ht="15.75" customHeight="1" thickBot="1" x14ac:dyDescent="0.3">
      <c r="A2310" s="9"/>
    </row>
    <row r="2311" spans="1:1" ht="15.75" customHeight="1" thickBot="1" x14ac:dyDescent="0.3">
      <c r="A2311" s="9"/>
    </row>
    <row r="2312" spans="1:1" ht="15.75" customHeight="1" thickBot="1" x14ac:dyDescent="0.3">
      <c r="A2312" s="9"/>
    </row>
    <row r="2313" spans="1:1" ht="15.75" customHeight="1" thickBot="1" x14ac:dyDescent="0.3">
      <c r="A2313" s="9"/>
    </row>
    <row r="2314" spans="1:1" ht="15.75" customHeight="1" thickBot="1" x14ac:dyDescent="0.3">
      <c r="A2314" s="9"/>
    </row>
    <row r="2315" spans="1:1" ht="15.75" customHeight="1" thickBot="1" x14ac:dyDescent="0.3">
      <c r="A2315" s="9"/>
    </row>
    <row r="2316" spans="1:1" ht="15.75" customHeight="1" thickBot="1" x14ac:dyDescent="0.3">
      <c r="A2316" s="9"/>
    </row>
    <row r="2317" spans="1:1" ht="15.75" customHeight="1" thickBot="1" x14ac:dyDescent="0.3">
      <c r="A2317" s="9"/>
    </row>
    <row r="2318" spans="1:1" ht="15.75" customHeight="1" thickBot="1" x14ac:dyDescent="0.3">
      <c r="A2318" s="9"/>
    </row>
    <row r="2319" spans="1:1" ht="15.75" customHeight="1" thickBot="1" x14ac:dyDescent="0.3">
      <c r="A2319" s="9"/>
    </row>
    <row r="2320" spans="1:1" ht="15.75" customHeight="1" thickBot="1" x14ac:dyDescent="0.3">
      <c r="A2320" s="9"/>
    </row>
    <row r="2321" spans="1:1" ht="15.75" customHeight="1" thickBot="1" x14ac:dyDescent="0.3">
      <c r="A2321" s="9"/>
    </row>
    <row r="2322" spans="1:1" ht="15.75" customHeight="1" thickBot="1" x14ac:dyDescent="0.3">
      <c r="A2322" s="9"/>
    </row>
    <row r="2323" spans="1:1" ht="15.75" customHeight="1" thickBot="1" x14ac:dyDescent="0.3">
      <c r="A2323" s="9"/>
    </row>
    <row r="2324" spans="1:1" ht="15.75" customHeight="1" thickBot="1" x14ac:dyDescent="0.3">
      <c r="A2324" s="9"/>
    </row>
    <row r="2325" spans="1:1" ht="15.75" customHeight="1" thickBot="1" x14ac:dyDescent="0.3">
      <c r="A2325" s="9"/>
    </row>
    <row r="2326" spans="1:1" ht="15.75" customHeight="1" thickBot="1" x14ac:dyDescent="0.3">
      <c r="A2326" s="9"/>
    </row>
    <row r="2327" spans="1:1" ht="15.75" customHeight="1" thickBot="1" x14ac:dyDescent="0.3">
      <c r="A2327" s="9"/>
    </row>
    <row r="2328" spans="1:1" ht="15.75" customHeight="1" thickBot="1" x14ac:dyDescent="0.3">
      <c r="A2328" s="9"/>
    </row>
    <row r="2329" spans="1:1" ht="15.75" customHeight="1" thickBot="1" x14ac:dyDescent="0.3">
      <c r="A2329" s="9"/>
    </row>
    <row r="2330" spans="1:1" ht="15.75" customHeight="1" thickBot="1" x14ac:dyDescent="0.3">
      <c r="A2330" s="9"/>
    </row>
    <row r="2331" spans="1:1" ht="15.75" customHeight="1" thickBot="1" x14ac:dyDescent="0.3">
      <c r="A2331" s="9"/>
    </row>
    <row r="2332" spans="1:1" ht="15.75" customHeight="1" thickBot="1" x14ac:dyDescent="0.3">
      <c r="A2332" s="9"/>
    </row>
    <row r="2333" spans="1:1" ht="15.75" customHeight="1" thickBot="1" x14ac:dyDescent="0.3">
      <c r="A2333" s="9"/>
    </row>
    <row r="2334" spans="1:1" ht="15.75" customHeight="1" thickBot="1" x14ac:dyDescent="0.3">
      <c r="A2334" s="9"/>
    </row>
    <row r="2335" spans="1:1" ht="15.75" customHeight="1" thickBot="1" x14ac:dyDescent="0.3">
      <c r="A2335" s="9"/>
    </row>
    <row r="2336" spans="1:1" ht="15.75" customHeight="1" thickBot="1" x14ac:dyDescent="0.3">
      <c r="A2336" s="9"/>
    </row>
    <row r="2337" spans="1:1" ht="15.75" customHeight="1" thickBot="1" x14ac:dyDescent="0.3">
      <c r="A2337" s="9"/>
    </row>
    <row r="2338" spans="1:1" ht="15.75" customHeight="1" thickBot="1" x14ac:dyDescent="0.3">
      <c r="A2338" s="9"/>
    </row>
    <row r="2339" spans="1:1" ht="15.75" customHeight="1" thickBot="1" x14ac:dyDescent="0.3">
      <c r="A2339" s="9"/>
    </row>
    <row r="2340" spans="1:1" ht="15.75" customHeight="1" thickBot="1" x14ac:dyDescent="0.3">
      <c r="A2340" s="9"/>
    </row>
    <row r="2341" spans="1:1" ht="15.75" customHeight="1" thickBot="1" x14ac:dyDescent="0.3">
      <c r="A2341" s="9"/>
    </row>
    <row r="2342" spans="1:1" ht="15.75" customHeight="1" thickBot="1" x14ac:dyDescent="0.3">
      <c r="A2342" s="9"/>
    </row>
    <row r="2343" spans="1:1" ht="15.75" customHeight="1" thickBot="1" x14ac:dyDescent="0.3">
      <c r="A2343" s="9"/>
    </row>
    <row r="2344" spans="1:1" ht="15.75" customHeight="1" thickBot="1" x14ac:dyDescent="0.3">
      <c r="A2344" s="9"/>
    </row>
    <row r="2345" spans="1:1" ht="15.75" customHeight="1" thickBot="1" x14ac:dyDescent="0.3">
      <c r="A2345" s="9"/>
    </row>
    <row r="2346" spans="1:1" ht="15.75" customHeight="1" thickBot="1" x14ac:dyDescent="0.3">
      <c r="A2346" s="9"/>
    </row>
    <row r="2347" spans="1:1" ht="15.75" customHeight="1" thickBot="1" x14ac:dyDescent="0.3">
      <c r="A2347" s="9"/>
    </row>
    <row r="2348" spans="1:1" ht="15.75" customHeight="1" thickBot="1" x14ac:dyDescent="0.3">
      <c r="A2348" s="9"/>
    </row>
    <row r="2349" spans="1:1" ht="15.75" customHeight="1" thickBot="1" x14ac:dyDescent="0.3">
      <c r="A2349" s="9"/>
    </row>
    <row r="2350" spans="1:1" ht="15.75" customHeight="1" thickBot="1" x14ac:dyDescent="0.3">
      <c r="A2350" s="9"/>
    </row>
    <row r="2351" spans="1:1" ht="15.75" customHeight="1" thickBot="1" x14ac:dyDescent="0.3">
      <c r="A2351" s="9"/>
    </row>
    <row r="2352" spans="1:1" ht="15.75" customHeight="1" thickBot="1" x14ac:dyDescent="0.3">
      <c r="A2352" s="9"/>
    </row>
    <row r="2353" spans="1:1" ht="15.75" customHeight="1" thickBot="1" x14ac:dyDescent="0.3">
      <c r="A2353" s="9"/>
    </row>
    <row r="2354" spans="1:1" ht="15.75" customHeight="1" thickBot="1" x14ac:dyDescent="0.3">
      <c r="A2354" s="9"/>
    </row>
    <row r="2355" spans="1:1" ht="15.75" customHeight="1" thickBot="1" x14ac:dyDescent="0.3">
      <c r="A2355" s="9"/>
    </row>
    <row r="2356" spans="1:1" ht="15.75" customHeight="1" thickBot="1" x14ac:dyDescent="0.3">
      <c r="A2356" s="9"/>
    </row>
    <row r="2357" spans="1:1" ht="15.75" customHeight="1" thickBot="1" x14ac:dyDescent="0.3">
      <c r="A2357" s="9"/>
    </row>
    <row r="2358" spans="1:1" ht="15.75" customHeight="1" thickBot="1" x14ac:dyDescent="0.3">
      <c r="A2358" s="9"/>
    </row>
    <row r="2359" spans="1:1" ht="15.75" customHeight="1" thickBot="1" x14ac:dyDescent="0.3">
      <c r="A2359" s="9"/>
    </row>
    <row r="2360" spans="1:1" ht="15.75" customHeight="1" thickBot="1" x14ac:dyDescent="0.3">
      <c r="A2360" s="9"/>
    </row>
    <row r="2361" spans="1:1" ht="15.75" customHeight="1" thickBot="1" x14ac:dyDescent="0.3">
      <c r="A2361" s="9"/>
    </row>
    <row r="2362" spans="1:1" ht="15.75" customHeight="1" thickBot="1" x14ac:dyDescent="0.3">
      <c r="A2362" s="9"/>
    </row>
    <row r="2363" spans="1:1" ht="15.75" customHeight="1" thickBot="1" x14ac:dyDescent="0.3">
      <c r="A2363" s="9"/>
    </row>
    <row r="2364" spans="1:1" ht="15.75" customHeight="1" thickBot="1" x14ac:dyDescent="0.3">
      <c r="A2364" s="9"/>
    </row>
    <row r="2365" spans="1:1" ht="15.75" customHeight="1" thickBot="1" x14ac:dyDescent="0.3">
      <c r="A2365" s="9"/>
    </row>
    <row r="2366" spans="1:1" ht="15.75" customHeight="1" thickBot="1" x14ac:dyDescent="0.3">
      <c r="A2366" s="9"/>
    </row>
    <row r="2367" spans="1:1" ht="15.75" customHeight="1" thickBot="1" x14ac:dyDescent="0.3">
      <c r="A2367" s="9"/>
    </row>
    <row r="2368" spans="1:1" ht="15.75" customHeight="1" thickBot="1" x14ac:dyDescent="0.3">
      <c r="A2368" s="9"/>
    </row>
    <row r="2369" spans="1:1" ht="15.75" customHeight="1" thickBot="1" x14ac:dyDescent="0.3">
      <c r="A2369" s="9"/>
    </row>
    <row r="2370" spans="1:1" ht="15.75" customHeight="1" thickBot="1" x14ac:dyDescent="0.3">
      <c r="A2370" s="9"/>
    </row>
    <row r="2371" spans="1:1" ht="15.75" customHeight="1" thickBot="1" x14ac:dyDescent="0.3">
      <c r="A2371" s="9"/>
    </row>
    <row r="2372" spans="1:1" ht="15.75" customHeight="1" thickBot="1" x14ac:dyDescent="0.3">
      <c r="A2372" s="9"/>
    </row>
    <row r="2373" spans="1:1" ht="15.75" customHeight="1" thickBot="1" x14ac:dyDescent="0.3">
      <c r="A2373" s="9"/>
    </row>
    <row r="2374" spans="1:1" ht="15.75" customHeight="1" thickBot="1" x14ac:dyDescent="0.3">
      <c r="A2374" s="9"/>
    </row>
    <row r="2375" spans="1:1" ht="15.75" customHeight="1" thickBot="1" x14ac:dyDescent="0.3">
      <c r="A2375" s="9"/>
    </row>
    <row r="2376" spans="1:1" ht="15.75" customHeight="1" thickBot="1" x14ac:dyDescent="0.3">
      <c r="A2376" s="9"/>
    </row>
    <row r="2377" spans="1:1" ht="15.75" customHeight="1" thickBot="1" x14ac:dyDescent="0.3">
      <c r="A2377" s="9"/>
    </row>
    <row r="2378" spans="1:1" ht="15.75" customHeight="1" thickBot="1" x14ac:dyDescent="0.3">
      <c r="A2378" s="9"/>
    </row>
    <row r="2379" spans="1:1" ht="15.75" customHeight="1" thickBot="1" x14ac:dyDescent="0.3">
      <c r="A2379" s="9"/>
    </row>
    <row r="2380" spans="1:1" ht="15.75" customHeight="1" thickBot="1" x14ac:dyDescent="0.3">
      <c r="A2380" s="9"/>
    </row>
    <row r="2381" spans="1:1" ht="15.75" customHeight="1" thickBot="1" x14ac:dyDescent="0.3">
      <c r="A2381" s="9"/>
    </row>
    <row r="2382" spans="1:1" ht="15.75" customHeight="1" thickBot="1" x14ac:dyDescent="0.3">
      <c r="A2382" s="9"/>
    </row>
    <row r="2383" spans="1:1" ht="15.75" customHeight="1" thickBot="1" x14ac:dyDescent="0.3">
      <c r="A2383" s="9"/>
    </row>
    <row r="2384" spans="1:1" ht="15.75" customHeight="1" thickBot="1" x14ac:dyDescent="0.3">
      <c r="A2384" s="9"/>
    </row>
    <row r="2385" spans="1:1" ht="15.75" customHeight="1" thickBot="1" x14ac:dyDescent="0.3">
      <c r="A2385" s="9"/>
    </row>
    <row r="2386" spans="1:1" ht="15.75" customHeight="1" thickBot="1" x14ac:dyDescent="0.3">
      <c r="A2386" s="9"/>
    </row>
    <row r="2387" spans="1:1" ht="15.75" customHeight="1" thickBot="1" x14ac:dyDescent="0.3">
      <c r="A2387" s="9"/>
    </row>
    <row r="2388" spans="1:1" ht="15.75" customHeight="1" thickBot="1" x14ac:dyDescent="0.3">
      <c r="A2388" s="9"/>
    </row>
    <row r="2389" spans="1:1" ht="15.75" customHeight="1" thickBot="1" x14ac:dyDescent="0.3">
      <c r="A2389" s="9"/>
    </row>
    <row r="2390" spans="1:1" ht="15.75" customHeight="1" thickBot="1" x14ac:dyDescent="0.3">
      <c r="A2390" s="9"/>
    </row>
    <row r="2391" spans="1:1" ht="15.75" customHeight="1" thickBot="1" x14ac:dyDescent="0.3">
      <c r="A2391" s="9"/>
    </row>
    <row r="2392" spans="1:1" ht="15.75" customHeight="1" thickBot="1" x14ac:dyDescent="0.3">
      <c r="A2392" s="9"/>
    </row>
    <row r="2393" spans="1:1" ht="15.75" customHeight="1" thickBot="1" x14ac:dyDescent="0.3">
      <c r="A2393" s="9"/>
    </row>
    <row r="2394" spans="1:1" ht="15.75" customHeight="1" thickBot="1" x14ac:dyDescent="0.3">
      <c r="A2394" s="9"/>
    </row>
    <row r="2395" spans="1:1" ht="15.75" customHeight="1" thickBot="1" x14ac:dyDescent="0.3">
      <c r="A2395" s="9"/>
    </row>
    <row r="2396" spans="1:1" ht="15.75" customHeight="1" thickBot="1" x14ac:dyDescent="0.3">
      <c r="A2396" s="9"/>
    </row>
    <row r="2397" spans="1:1" ht="15.75" customHeight="1" thickBot="1" x14ac:dyDescent="0.3">
      <c r="A2397" s="9"/>
    </row>
    <row r="2398" spans="1:1" ht="15.75" customHeight="1" thickBot="1" x14ac:dyDescent="0.3">
      <c r="A2398" s="9"/>
    </row>
    <row r="2399" spans="1:1" ht="15.75" customHeight="1" thickBot="1" x14ac:dyDescent="0.3">
      <c r="A2399" s="9"/>
    </row>
    <row r="2400" spans="1:1" ht="15.75" customHeight="1" thickBot="1" x14ac:dyDescent="0.3">
      <c r="A2400" s="9"/>
    </row>
    <row r="2401" spans="1:1" ht="15.75" customHeight="1" thickBot="1" x14ac:dyDescent="0.3">
      <c r="A2401" s="9"/>
    </row>
    <row r="2402" spans="1:1" ht="15.75" customHeight="1" thickBot="1" x14ac:dyDescent="0.3">
      <c r="A2402" s="9"/>
    </row>
    <row r="2403" spans="1:1" ht="15.75" customHeight="1" thickBot="1" x14ac:dyDescent="0.3">
      <c r="A2403" s="9"/>
    </row>
    <row r="2404" spans="1:1" ht="15.75" customHeight="1" thickBot="1" x14ac:dyDescent="0.3">
      <c r="A2404" s="9"/>
    </row>
    <row r="2405" spans="1:1" ht="15.75" customHeight="1" thickBot="1" x14ac:dyDescent="0.3">
      <c r="A2405" s="9"/>
    </row>
    <row r="2406" spans="1:1" ht="15.75" customHeight="1" thickBot="1" x14ac:dyDescent="0.3">
      <c r="A2406" s="9"/>
    </row>
    <row r="2407" spans="1:1" ht="15.75" customHeight="1" thickBot="1" x14ac:dyDescent="0.3">
      <c r="A2407" s="9"/>
    </row>
    <row r="2408" spans="1:1" ht="15.75" customHeight="1" thickBot="1" x14ac:dyDescent="0.3">
      <c r="A2408" s="9"/>
    </row>
    <row r="2409" spans="1:1" ht="15.75" customHeight="1" thickBot="1" x14ac:dyDescent="0.3">
      <c r="A2409" s="9"/>
    </row>
    <row r="2410" spans="1:1" ht="15.75" customHeight="1" thickBot="1" x14ac:dyDescent="0.3">
      <c r="A2410" s="9"/>
    </row>
    <row r="2411" spans="1:1" ht="15.75" customHeight="1" thickBot="1" x14ac:dyDescent="0.3">
      <c r="A2411" s="9"/>
    </row>
    <row r="2412" spans="1:1" ht="15.75" customHeight="1" thickBot="1" x14ac:dyDescent="0.3">
      <c r="A2412" s="9"/>
    </row>
    <row r="2413" spans="1:1" ht="15.75" customHeight="1" thickBot="1" x14ac:dyDescent="0.3">
      <c r="A2413" s="9"/>
    </row>
    <row r="2414" spans="1:1" ht="15.75" customHeight="1" thickBot="1" x14ac:dyDescent="0.3">
      <c r="A2414" s="9"/>
    </row>
    <row r="2415" spans="1:1" ht="15.75" customHeight="1" thickBot="1" x14ac:dyDescent="0.3">
      <c r="A2415" s="9"/>
    </row>
    <row r="2416" spans="1:1" ht="15.75" customHeight="1" thickBot="1" x14ac:dyDescent="0.3">
      <c r="A2416" s="9"/>
    </row>
    <row r="2417" spans="1:1" ht="15.75" customHeight="1" thickBot="1" x14ac:dyDescent="0.3">
      <c r="A2417" s="9"/>
    </row>
    <row r="2418" spans="1:1" ht="15.75" customHeight="1" thickBot="1" x14ac:dyDescent="0.3">
      <c r="A2418" s="9"/>
    </row>
    <row r="2419" spans="1:1" ht="15.75" customHeight="1" thickBot="1" x14ac:dyDescent="0.3">
      <c r="A2419" s="9"/>
    </row>
    <row r="2420" spans="1:1" ht="15.75" customHeight="1" thickBot="1" x14ac:dyDescent="0.3">
      <c r="A2420" s="9"/>
    </row>
    <row r="2421" spans="1:1" ht="15.75" customHeight="1" thickBot="1" x14ac:dyDescent="0.3">
      <c r="A2421" s="9"/>
    </row>
    <row r="2422" spans="1:1" ht="15.75" customHeight="1" thickBot="1" x14ac:dyDescent="0.3">
      <c r="A2422" s="9"/>
    </row>
    <row r="2423" spans="1:1" ht="15.75" customHeight="1" thickBot="1" x14ac:dyDescent="0.3">
      <c r="A2423" s="9"/>
    </row>
    <row r="2424" spans="1:1" ht="15.75" customHeight="1" thickBot="1" x14ac:dyDescent="0.3">
      <c r="A2424" s="9"/>
    </row>
    <row r="2425" spans="1:1" ht="15.75" customHeight="1" thickBot="1" x14ac:dyDescent="0.3">
      <c r="A2425" s="9"/>
    </row>
    <row r="2426" spans="1:1" ht="15.75" customHeight="1" thickBot="1" x14ac:dyDescent="0.3">
      <c r="A2426" s="9"/>
    </row>
    <row r="2427" spans="1:1" ht="15.75" customHeight="1" thickBot="1" x14ac:dyDescent="0.3">
      <c r="A2427" s="9"/>
    </row>
    <row r="2428" spans="1:1" ht="15.75" customHeight="1" thickBot="1" x14ac:dyDescent="0.3">
      <c r="A2428" s="9"/>
    </row>
    <row r="2429" spans="1:1" ht="15.75" customHeight="1" thickBot="1" x14ac:dyDescent="0.3">
      <c r="A2429" s="9"/>
    </row>
    <row r="2430" spans="1:1" ht="15.75" customHeight="1" thickBot="1" x14ac:dyDescent="0.3">
      <c r="A2430" s="9"/>
    </row>
    <row r="2431" spans="1:1" ht="15.75" customHeight="1" thickBot="1" x14ac:dyDescent="0.3">
      <c r="A2431" s="9"/>
    </row>
    <row r="2432" spans="1:1" ht="15.75" customHeight="1" thickBot="1" x14ac:dyDescent="0.3">
      <c r="A2432" s="9"/>
    </row>
    <row r="2433" spans="1:1" ht="15.75" customHeight="1" thickBot="1" x14ac:dyDescent="0.3">
      <c r="A2433" s="9"/>
    </row>
    <row r="2434" spans="1:1" ht="15.75" customHeight="1" thickBot="1" x14ac:dyDescent="0.3">
      <c r="A2434" s="9"/>
    </row>
    <row r="2435" spans="1:1" ht="15.75" customHeight="1" thickBot="1" x14ac:dyDescent="0.3">
      <c r="A2435" s="9"/>
    </row>
    <row r="2436" spans="1:1" ht="15.75" customHeight="1" thickBot="1" x14ac:dyDescent="0.3">
      <c r="A2436" s="9"/>
    </row>
    <row r="2437" spans="1:1" ht="15.75" customHeight="1" thickBot="1" x14ac:dyDescent="0.3">
      <c r="A2437" s="9"/>
    </row>
    <row r="2438" spans="1:1" ht="15.75" customHeight="1" thickBot="1" x14ac:dyDescent="0.3">
      <c r="A2438" s="9"/>
    </row>
    <row r="2439" spans="1:1" ht="15.75" customHeight="1" thickBot="1" x14ac:dyDescent="0.3">
      <c r="A2439" s="9"/>
    </row>
    <row r="2440" spans="1:1" ht="15.75" customHeight="1" thickBot="1" x14ac:dyDescent="0.3">
      <c r="A2440" s="9"/>
    </row>
    <row r="2441" spans="1:1" ht="15.75" customHeight="1" thickBot="1" x14ac:dyDescent="0.3">
      <c r="A2441" s="9"/>
    </row>
    <row r="2442" spans="1:1" ht="15.75" customHeight="1" thickBot="1" x14ac:dyDescent="0.3">
      <c r="A2442" s="9"/>
    </row>
    <row r="2443" spans="1:1" ht="15.75" customHeight="1" thickBot="1" x14ac:dyDescent="0.3">
      <c r="A2443" s="9"/>
    </row>
    <row r="2444" spans="1:1" ht="15.75" customHeight="1" thickBot="1" x14ac:dyDescent="0.3">
      <c r="A2444" s="9"/>
    </row>
    <row r="2445" spans="1:1" ht="15.75" customHeight="1" thickBot="1" x14ac:dyDescent="0.3">
      <c r="A2445" s="9"/>
    </row>
    <row r="2446" spans="1:1" ht="15.75" customHeight="1" thickBot="1" x14ac:dyDescent="0.3">
      <c r="A2446" s="9"/>
    </row>
    <row r="2447" spans="1:1" ht="15.75" customHeight="1" thickBot="1" x14ac:dyDescent="0.3">
      <c r="A2447" s="9"/>
    </row>
    <row r="2448" spans="1:1" ht="15.75" customHeight="1" thickBot="1" x14ac:dyDescent="0.3">
      <c r="A2448" s="9"/>
    </row>
    <row r="2449" spans="1:1" ht="15.75" customHeight="1" thickBot="1" x14ac:dyDescent="0.3">
      <c r="A2449" s="9"/>
    </row>
    <row r="2450" spans="1:1" ht="15.75" customHeight="1" thickBot="1" x14ac:dyDescent="0.3">
      <c r="A2450" s="9"/>
    </row>
    <row r="2451" spans="1:1" ht="15.75" customHeight="1" thickBot="1" x14ac:dyDescent="0.3">
      <c r="A2451" s="9"/>
    </row>
    <row r="2452" spans="1:1" ht="15.75" customHeight="1" thickBot="1" x14ac:dyDescent="0.3">
      <c r="A2452" s="9"/>
    </row>
    <row r="2453" spans="1:1" ht="15.75" customHeight="1" thickBot="1" x14ac:dyDescent="0.3">
      <c r="A2453" s="9"/>
    </row>
    <row r="2454" spans="1:1" ht="15.75" customHeight="1" thickBot="1" x14ac:dyDescent="0.3">
      <c r="A2454" s="9"/>
    </row>
    <row r="2455" spans="1:1" ht="15.75" customHeight="1" thickBot="1" x14ac:dyDescent="0.3">
      <c r="A2455" s="9"/>
    </row>
    <row r="2456" spans="1:1" ht="15.75" customHeight="1" thickBot="1" x14ac:dyDescent="0.3">
      <c r="A2456" s="9"/>
    </row>
    <row r="2457" spans="1:1" ht="15.75" customHeight="1" thickBot="1" x14ac:dyDescent="0.3">
      <c r="A2457" s="9"/>
    </row>
    <row r="2458" spans="1:1" ht="15.75" customHeight="1" thickBot="1" x14ac:dyDescent="0.3">
      <c r="A2458" s="9"/>
    </row>
    <row r="2459" spans="1:1" ht="15.75" customHeight="1" thickBot="1" x14ac:dyDescent="0.3">
      <c r="A2459" s="9"/>
    </row>
    <row r="2460" spans="1:1" ht="15.75" customHeight="1" thickBot="1" x14ac:dyDescent="0.3">
      <c r="A2460" s="9"/>
    </row>
    <row r="2461" spans="1:1" ht="15.75" customHeight="1" thickBot="1" x14ac:dyDescent="0.3">
      <c r="A2461" s="9"/>
    </row>
    <row r="2462" spans="1:1" ht="15.75" customHeight="1" thickBot="1" x14ac:dyDescent="0.3">
      <c r="A2462" s="9"/>
    </row>
    <row r="2463" spans="1:1" ht="15.75" customHeight="1" thickBot="1" x14ac:dyDescent="0.3">
      <c r="A2463" s="9"/>
    </row>
    <row r="2464" spans="1:1" ht="15.75" customHeight="1" thickBot="1" x14ac:dyDescent="0.3">
      <c r="A2464" s="9"/>
    </row>
    <row r="2465" spans="1:1" ht="15.75" customHeight="1" thickBot="1" x14ac:dyDescent="0.3">
      <c r="A2465" s="9"/>
    </row>
    <row r="2466" spans="1:1" ht="15.75" customHeight="1" thickBot="1" x14ac:dyDescent="0.3">
      <c r="A2466" s="9"/>
    </row>
    <row r="2467" spans="1:1" ht="15.75" customHeight="1" thickBot="1" x14ac:dyDescent="0.3">
      <c r="A2467" s="9"/>
    </row>
    <row r="2468" spans="1:1" ht="15.75" customHeight="1" thickBot="1" x14ac:dyDescent="0.3">
      <c r="A2468" s="9"/>
    </row>
    <row r="2469" spans="1:1" ht="15.75" customHeight="1" thickBot="1" x14ac:dyDescent="0.3">
      <c r="A2469" s="9"/>
    </row>
    <row r="2470" spans="1:1" ht="15.75" customHeight="1" thickBot="1" x14ac:dyDescent="0.3">
      <c r="A2470" s="9"/>
    </row>
    <row r="2471" spans="1:1" ht="15.75" customHeight="1" thickBot="1" x14ac:dyDescent="0.3">
      <c r="A2471" s="9"/>
    </row>
    <row r="2472" spans="1:1" ht="15.75" customHeight="1" thickBot="1" x14ac:dyDescent="0.3">
      <c r="A2472" s="9"/>
    </row>
    <row r="2473" spans="1:1" ht="15.75" customHeight="1" thickBot="1" x14ac:dyDescent="0.3">
      <c r="A2473" s="9"/>
    </row>
    <row r="2474" spans="1:1" ht="15.75" customHeight="1" thickBot="1" x14ac:dyDescent="0.3">
      <c r="A2474" s="9"/>
    </row>
    <row r="2475" spans="1:1" ht="15.75" customHeight="1" thickBot="1" x14ac:dyDescent="0.3">
      <c r="A2475" s="9"/>
    </row>
    <row r="2476" spans="1:1" ht="15.75" customHeight="1" thickBot="1" x14ac:dyDescent="0.3">
      <c r="A2476" s="9"/>
    </row>
    <row r="2477" spans="1:1" ht="15.75" customHeight="1" thickBot="1" x14ac:dyDescent="0.3">
      <c r="A2477" s="9"/>
    </row>
    <row r="2478" spans="1:1" ht="15.75" customHeight="1" thickBot="1" x14ac:dyDescent="0.3">
      <c r="A2478" s="9"/>
    </row>
    <row r="2479" spans="1:1" ht="15.75" customHeight="1" thickBot="1" x14ac:dyDescent="0.3">
      <c r="A2479" s="9"/>
    </row>
    <row r="2480" spans="1:1" ht="15.75" customHeight="1" thickBot="1" x14ac:dyDescent="0.3">
      <c r="A2480" s="9"/>
    </row>
    <row r="2481" spans="1:1" ht="15.75" customHeight="1" thickBot="1" x14ac:dyDescent="0.3">
      <c r="A2481" s="9"/>
    </row>
    <row r="2482" spans="1:1" ht="15.75" customHeight="1" thickBot="1" x14ac:dyDescent="0.3">
      <c r="A2482" s="9"/>
    </row>
    <row r="2483" spans="1:1" ht="15.75" customHeight="1" thickBot="1" x14ac:dyDescent="0.3">
      <c r="A2483" s="9"/>
    </row>
    <row r="2484" spans="1:1" ht="15.75" customHeight="1" thickBot="1" x14ac:dyDescent="0.3">
      <c r="A2484" s="9"/>
    </row>
    <row r="2485" spans="1:1" ht="15.75" customHeight="1" thickBot="1" x14ac:dyDescent="0.3">
      <c r="A2485" s="9"/>
    </row>
    <row r="2486" spans="1:1" ht="15.75" customHeight="1" thickBot="1" x14ac:dyDescent="0.3">
      <c r="A2486" s="9"/>
    </row>
    <row r="2487" spans="1:1" ht="15.75" customHeight="1" thickBot="1" x14ac:dyDescent="0.3">
      <c r="A2487" s="9"/>
    </row>
    <row r="2488" spans="1:1" ht="15.75" customHeight="1" thickBot="1" x14ac:dyDescent="0.3">
      <c r="A2488" s="9"/>
    </row>
    <row r="2489" spans="1:1" ht="15.75" customHeight="1" thickBot="1" x14ac:dyDescent="0.3">
      <c r="A2489" s="9"/>
    </row>
    <row r="2490" spans="1:1" ht="15.75" customHeight="1" thickBot="1" x14ac:dyDescent="0.3">
      <c r="A2490" s="9"/>
    </row>
    <row r="2491" spans="1:1" ht="15.75" customHeight="1" thickBot="1" x14ac:dyDescent="0.3">
      <c r="A2491" s="9"/>
    </row>
    <row r="2492" spans="1:1" ht="15.75" customHeight="1" thickBot="1" x14ac:dyDescent="0.3">
      <c r="A2492" s="9"/>
    </row>
    <row r="2493" spans="1:1" ht="15.75" customHeight="1" thickBot="1" x14ac:dyDescent="0.3">
      <c r="A2493" s="9"/>
    </row>
    <row r="2494" spans="1:1" ht="15.75" customHeight="1" thickBot="1" x14ac:dyDescent="0.3">
      <c r="A2494" s="9"/>
    </row>
    <row r="2495" spans="1:1" ht="15.75" customHeight="1" thickBot="1" x14ac:dyDescent="0.3">
      <c r="A2495" s="9"/>
    </row>
    <row r="2496" spans="1:1" ht="15.75" customHeight="1" thickBot="1" x14ac:dyDescent="0.3">
      <c r="A2496" s="9"/>
    </row>
    <row r="2497" spans="1:1" ht="15.75" customHeight="1" thickBot="1" x14ac:dyDescent="0.3">
      <c r="A2497" s="9"/>
    </row>
    <row r="2498" spans="1:1" ht="15.75" customHeight="1" thickBot="1" x14ac:dyDescent="0.3">
      <c r="A2498" s="9"/>
    </row>
    <row r="2499" spans="1:1" ht="15.75" customHeight="1" thickBot="1" x14ac:dyDescent="0.3">
      <c r="A2499" s="9"/>
    </row>
    <row r="2500" spans="1:1" ht="15.75" customHeight="1" thickBot="1" x14ac:dyDescent="0.3">
      <c r="A2500" s="9"/>
    </row>
    <row r="2501" spans="1:1" ht="15.75" customHeight="1" thickBot="1" x14ac:dyDescent="0.3">
      <c r="A2501" s="9"/>
    </row>
    <row r="2502" spans="1:1" ht="15.75" customHeight="1" thickBot="1" x14ac:dyDescent="0.3">
      <c r="A2502" s="9"/>
    </row>
    <row r="2503" spans="1:1" ht="15.75" customHeight="1" thickBot="1" x14ac:dyDescent="0.3">
      <c r="A2503" s="9"/>
    </row>
    <row r="2504" spans="1:1" ht="15.75" customHeight="1" thickBot="1" x14ac:dyDescent="0.3">
      <c r="A2504" s="9"/>
    </row>
    <row r="2505" spans="1:1" ht="15.75" customHeight="1" thickBot="1" x14ac:dyDescent="0.3">
      <c r="A2505" s="9"/>
    </row>
    <row r="2506" spans="1:1" ht="15.75" customHeight="1" thickBot="1" x14ac:dyDescent="0.3">
      <c r="A2506" s="9"/>
    </row>
    <row r="2507" spans="1:1" ht="15.75" customHeight="1" thickBot="1" x14ac:dyDescent="0.3">
      <c r="A2507" s="9"/>
    </row>
    <row r="2508" spans="1:1" ht="15.75" customHeight="1" thickBot="1" x14ac:dyDescent="0.3">
      <c r="A2508" s="9"/>
    </row>
    <row r="2509" spans="1:1" ht="15.75" customHeight="1" thickBot="1" x14ac:dyDescent="0.3">
      <c r="A2509" s="9"/>
    </row>
    <row r="2510" spans="1:1" ht="15.75" customHeight="1" thickBot="1" x14ac:dyDescent="0.3">
      <c r="A2510" s="9"/>
    </row>
    <row r="2511" spans="1:1" ht="15.75" customHeight="1" thickBot="1" x14ac:dyDescent="0.3">
      <c r="A2511" s="9"/>
    </row>
    <row r="2512" spans="1:1" ht="15.75" customHeight="1" thickBot="1" x14ac:dyDescent="0.3">
      <c r="A2512" s="9"/>
    </row>
    <row r="2513" spans="1:1" ht="15.75" customHeight="1" thickBot="1" x14ac:dyDescent="0.3">
      <c r="A2513" s="9"/>
    </row>
    <row r="2514" spans="1:1" ht="15.75" customHeight="1" thickBot="1" x14ac:dyDescent="0.3">
      <c r="A2514" s="9"/>
    </row>
    <row r="2515" spans="1:1" ht="15.75" customHeight="1" thickBot="1" x14ac:dyDescent="0.3">
      <c r="A2515" s="9"/>
    </row>
    <row r="2516" spans="1:1" ht="15.75" customHeight="1" thickBot="1" x14ac:dyDescent="0.3">
      <c r="A2516" s="9"/>
    </row>
    <row r="2517" spans="1:1" ht="15.75" customHeight="1" thickBot="1" x14ac:dyDescent="0.3">
      <c r="A2517" s="9"/>
    </row>
    <row r="2518" spans="1:1" ht="15.75" customHeight="1" thickBot="1" x14ac:dyDescent="0.3">
      <c r="A2518" s="9"/>
    </row>
    <row r="2519" spans="1:1" ht="15.75" customHeight="1" thickBot="1" x14ac:dyDescent="0.3">
      <c r="A2519" s="9"/>
    </row>
    <row r="2520" spans="1:1" ht="15.75" customHeight="1" thickBot="1" x14ac:dyDescent="0.3">
      <c r="A2520" s="9"/>
    </row>
    <row r="2521" spans="1:1" ht="15.75" customHeight="1" thickBot="1" x14ac:dyDescent="0.3">
      <c r="A2521" s="9"/>
    </row>
    <row r="2522" spans="1:1" ht="15.75" customHeight="1" thickBot="1" x14ac:dyDescent="0.3">
      <c r="A2522" s="9"/>
    </row>
    <row r="2523" spans="1:1" ht="15.75" customHeight="1" thickBot="1" x14ac:dyDescent="0.3">
      <c r="A2523" s="9"/>
    </row>
    <row r="2524" spans="1:1" ht="15.75" customHeight="1" thickBot="1" x14ac:dyDescent="0.3">
      <c r="A2524" s="9"/>
    </row>
    <row r="2525" spans="1:1" ht="15.75" customHeight="1" thickBot="1" x14ac:dyDescent="0.3">
      <c r="A2525" s="9"/>
    </row>
    <row r="2526" spans="1:1" ht="15.75" customHeight="1" thickBot="1" x14ac:dyDescent="0.3">
      <c r="A2526" s="9"/>
    </row>
    <row r="2527" spans="1:1" ht="15.75" customHeight="1" thickBot="1" x14ac:dyDescent="0.3">
      <c r="A2527" s="9"/>
    </row>
    <row r="2528" spans="1:1" ht="15.75" customHeight="1" thickBot="1" x14ac:dyDescent="0.3">
      <c r="A2528" s="9"/>
    </row>
    <row r="2529" spans="1:1" ht="15.75" customHeight="1" thickBot="1" x14ac:dyDescent="0.3">
      <c r="A2529" s="9"/>
    </row>
    <row r="2530" spans="1:1" ht="15.75" customHeight="1" thickBot="1" x14ac:dyDescent="0.3">
      <c r="A2530" s="9"/>
    </row>
    <row r="2531" spans="1:1" ht="15.75" customHeight="1" thickBot="1" x14ac:dyDescent="0.3">
      <c r="A2531" s="9"/>
    </row>
    <row r="2532" spans="1:1" ht="15.75" customHeight="1" thickBot="1" x14ac:dyDescent="0.3">
      <c r="A2532" s="9"/>
    </row>
    <row r="2533" spans="1:1" ht="15.75" customHeight="1" thickBot="1" x14ac:dyDescent="0.3">
      <c r="A2533" s="9"/>
    </row>
    <row r="2534" spans="1:1" ht="15.75" customHeight="1" thickBot="1" x14ac:dyDescent="0.3">
      <c r="A2534" s="9"/>
    </row>
    <row r="2535" spans="1:1" ht="15.75" customHeight="1" thickBot="1" x14ac:dyDescent="0.3">
      <c r="A2535" s="9"/>
    </row>
    <row r="2536" spans="1:1" ht="15.75" customHeight="1" thickBot="1" x14ac:dyDescent="0.3">
      <c r="A2536" s="9"/>
    </row>
    <row r="2537" spans="1:1" ht="15.75" customHeight="1" thickBot="1" x14ac:dyDescent="0.3">
      <c r="A2537" s="9"/>
    </row>
    <row r="2538" spans="1:1" ht="15.75" customHeight="1" thickBot="1" x14ac:dyDescent="0.3">
      <c r="A2538" s="9"/>
    </row>
    <row r="2539" spans="1:1" ht="15.75" customHeight="1" thickBot="1" x14ac:dyDescent="0.3">
      <c r="A2539" s="9"/>
    </row>
    <row r="2540" spans="1:1" ht="15.75" customHeight="1" thickBot="1" x14ac:dyDescent="0.3">
      <c r="A2540" s="9"/>
    </row>
    <row r="2541" spans="1:1" ht="15.75" customHeight="1" thickBot="1" x14ac:dyDescent="0.3">
      <c r="A2541" s="9"/>
    </row>
    <row r="2542" spans="1:1" ht="15.75" customHeight="1" thickBot="1" x14ac:dyDescent="0.3">
      <c r="A2542" s="9"/>
    </row>
    <row r="2543" spans="1:1" ht="15.75" customHeight="1" thickBot="1" x14ac:dyDescent="0.3">
      <c r="A2543" s="9"/>
    </row>
    <row r="2544" spans="1:1" ht="15.75" customHeight="1" thickBot="1" x14ac:dyDescent="0.3">
      <c r="A2544" s="9"/>
    </row>
    <row r="2545" spans="1:1" ht="15.75" customHeight="1" thickBot="1" x14ac:dyDescent="0.3">
      <c r="A2545" s="9"/>
    </row>
    <row r="2546" spans="1:1" ht="15.75" customHeight="1" thickBot="1" x14ac:dyDescent="0.3">
      <c r="A2546" s="9"/>
    </row>
    <row r="2547" spans="1:1" ht="15.75" customHeight="1" thickBot="1" x14ac:dyDescent="0.3">
      <c r="A2547" s="9"/>
    </row>
    <row r="2548" spans="1:1" ht="15.75" customHeight="1" thickBot="1" x14ac:dyDescent="0.3">
      <c r="A2548" s="9"/>
    </row>
    <row r="2549" spans="1:1" ht="15.75" customHeight="1" thickBot="1" x14ac:dyDescent="0.3">
      <c r="A2549" s="9"/>
    </row>
    <row r="2550" spans="1:1" ht="15.75" customHeight="1" thickBot="1" x14ac:dyDescent="0.3">
      <c r="A2550" s="9"/>
    </row>
    <row r="2551" spans="1:1" ht="15.75" customHeight="1" thickBot="1" x14ac:dyDescent="0.3">
      <c r="A2551" s="9"/>
    </row>
    <row r="2552" spans="1:1" ht="15.75" customHeight="1" thickBot="1" x14ac:dyDescent="0.3">
      <c r="A2552" s="9"/>
    </row>
    <row r="2553" spans="1:1" ht="15.75" customHeight="1" thickBot="1" x14ac:dyDescent="0.3">
      <c r="A2553" s="9"/>
    </row>
    <row r="2554" spans="1:1" ht="15.75" customHeight="1" thickBot="1" x14ac:dyDescent="0.3">
      <c r="A2554" s="9"/>
    </row>
    <row r="2555" spans="1:1" ht="15.75" customHeight="1" thickBot="1" x14ac:dyDescent="0.3">
      <c r="A2555" s="9"/>
    </row>
    <row r="2556" spans="1:1" ht="15.75" customHeight="1" thickBot="1" x14ac:dyDescent="0.3">
      <c r="A2556" s="9"/>
    </row>
    <row r="2557" spans="1:1" ht="15.75" customHeight="1" thickBot="1" x14ac:dyDescent="0.3">
      <c r="A2557" s="9"/>
    </row>
    <row r="2558" spans="1:1" ht="15.75" customHeight="1" thickBot="1" x14ac:dyDescent="0.3">
      <c r="A2558" s="9"/>
    </row>
    <row r="2559" spans="1:1" ht="15.75" customHeight="1" thickBot="1" x14ac:dyDescent="0.3">
      <c r="A2559" s="9"/>
    </row>
    <row r="2560" spans="1:1" ht="15.75" customHeight="1" thickBot="1" x14ac:dyDescent="0.3">
      <c r="A2560" s="9"/>
    </row>
    <row r="2561" spans="1:1" ht="15.75" customHeight="1" thickBot="1" x14ac:dyDescent="0.3">
      <c r="A2561" s="9"/>
    </row>
    <row r="2562" spans="1:1" ht="15.75" customHeight="1" thickBot="1" x14ac:dyDescent="0.3">
      <c r="A2562" s="9"/>
    </row>
    <row r="2563" spans="1:1" ht="15.75" customHeight="1" thickBot="1" x14ac:dyDescent="0.3">
      <c r="A2563" s="9"/>
    </row>
    <row r="2564" spans="1:1" ht="15.75" customHeight="1" thickBot="1" x14ac:dyDescent="0.3">
      <c r="A2564" s="9"/>
    </row>
    <row r="2565" spans="1:1" ht="15.75" customHeight="1" thickBot="1" x14ac:dyDescent="0.3">
      <c r="A2565" s="9"/>
    </row>
    <row r="2566" spans="1:1" ht="15.75" customHeight="1" thickBot="1" x14ac:dyDescent="0.3">
      <c r="A2566" s="9"/>
    </row>
    <row r="2567" spans="1:1" ht="15.75" customHeight="1" thickBot="1" x14ac:dyDescent="0.3">
      <c r="A2567" s="9"/>
    </row>
    <row r="2568" spans="1:1" ht="15.75" customHeight="1" thickBot="1" x14ac:dyDescent="0.3">
      <c r="A2568" s="9"/>
    </row>
    <row r="2569" spans="1:1" ht="15.75" customHeight="1" thickBot="1" x14ac:dyDescent="0.3">
      <c r="A2569" s="9"/>
    </row>
    <row r="2570" spans="1:1" ht="15.75" customHeight="1" thickBot="1" x14ac:dyDescent="0.3">
      <c r="A2570" s="9"/>
    </row>
    <row r="2571" spans="1:1" ht="15.75" customHeight="1" thickBot="1" x14ac:dyDescent="0.3">
      <c r="A2571" s="9"/>
    </row>
    <row r="2572" spans="1:1" ht="15.75" customHeight="1" thickBot="1" x14ac:dyDescent="0.3">
      <c r="A2572" s="9"/>
    </row>
    <row r="2573" spans="1:1" ht="15.75" customHeight="1" thickBot="1" x14ac:dyDescent="0.3">
      <c r="A2573" s="9"/>
    </row>
    <row r="2574" spans="1:1" ht="15.75" customHeight="1" thickBot="1" x14ac:dyDescent="0.3">
      <c r="A2574" s="9"/>
    </row>
    <row r="2575" spans="1:1" ht="15.75" customHeight="1" thickBot="1" x14ac:dyDescent="0.3">
      <c r="A2575" s="9"/>
    </row>
    <row r="2576" spans="1:1" ht="15.75" customHeight="1" thickBot="1" x14ac:dyDescent="0.3">
      <c r="A2576" s="9"/>
    </row>
    <row r="2577" spans="1:1" ht="15.75" customHeight="1" thickBot="1" x14ac:dyDescent="0.3">
      <c r="A2577" s="9"/>
    </row>
    <row r="2578" spans="1:1" ht="15.75" customHeight="1" thickBot="1" x14ac:dyDescent="0.3">
      <c r="A2578" s="9"/>
    </row>
    <row r="2579" spans="1:1" ht="15.75" customHeight="1" thickBot="1" x14ac:dyDescent="0.3">
      <c r="A2579" s="9"/>
    </row>
    <row r="2580" spans="1:1" ht="15.75" customHeight="1" thickBot="1" x14ac:dyDescent="0.3">
      <c r="A2580" s="9"/>
    </row>
    <row r="2581" spans="1:1" ht="15.75" customHeight="1" thickBot="1" x14ac:dyDescent="0.3">
      <c r="A2581" s="9"/>
    </row>
    <row r="2582" spans="1:1" ht="15.75" customHeight="1" thickBot="1" x14ac:dyDescent="0.3">
      <c r="A2582" s="9"/>
    </row>
    <row r="2583" spans="1:1" ht="15.75" customHeight="1" thickBot="1" x14ac:dyDescent="0.3">
      <c r="A2583" s="9"/>
    </row>
    <row r="2584" spans="1:1" ht="15.75" customHeight="1" thickBot="1" x14ac:dyDescent="0.3">
      <c r="A2584" s="9"/>
    </row>
    <row r="2585" spans="1:1" ht="15.75" customHeight="1" thickBot="1" x14ac:dyDescent="0.3">
      <c r="A2585" s="9"/>
    </row>
    <row r="2586" spans="1:1" ht="15.75" customHeight="1" thickBot="1" x14ac:dyDescent="0.3">
      <c r="A2586" s="9"/>
    </row>
    <row r="2587" spans="1:1" ht="15.75" customHeight="1" thickBot="1" x14ac:dyDescent="0.3">
      <c r="A2587" s="9"/>
    </row>
    <row r="2588" spans="1:1" ht="15.75" customHeight="1" thickBot="1" x14ac:dyDescent="0.3">
      <c r="A2588" s="9"/>
    </row>
    <row r="2589" spans="1:1" ht="15.75" customHeight="1" thickBot="1" x14ac:dyDescent="0.3">
      <c r="A2589" s="9"/>
    </row>
    <row r="2590" spans="1:1" ht="15.75" customHeight="1" thickBot="1" x14ac:dyDescent="0.3">
      <c r="A2590" s="9"/>
    </row>
    <row r="2591" spans="1:1" ht="15.75" customHeight="1" thickBot="1" x14ac:dyDescent="0.3">
      <c r="A2591" s="9"/>
    </row>
    <row r="2592" spans="1:1" ht="15.75" customHeight="1" thickBot="1" x14ac:dyDescent="0.3">
      <c r="A2592" s="9"/>
    </row>
    <row r="2593" spans="1:1" ht="15.75" customHeight="1" thickBot="1" x14ac:dyDescent="0.3">
      <c r="A2593" s="9"/>
    </row>
    <row r="2594" spans="1:1" ht="15.75" customHeight="1" thickBot="1" x14ac:dyDescent="0.3">
      <c r="A2594" s="9"/>
    </row>
    <row r="2595" spans="1:1" ht="15.75" customHeight="1" thickBot="1" x14ac:dyDescent="0.3">
      <c r="A2595" s="9"/>
    </row>
    <row r="2596" spans="1:1" ht="15.75" customHeight="1" thickBot="1" x14ac:dyDescent="0.3">
      <c r="A2596" s="9"/>
    </row>
    <row r="2597" spans="1:1" ht="15.75" customHeight="1" thickBot="1" x14ac:dyDescent="0.3">
      <c r="A2597" s="9"/>
    </row>
    <row r="2598" spans="1:1" ht="15.75" customHeight="1" thickBot="1" x14ac:dyDescent="0.3">
      <c r="A2598" s="9"/>
    </row>
    <row r="2599" spans="1:1" ht="15.75" customHeight="1" thickBot="1" x14ac:dyDescent="0.3">
      <c r="A2599" s="9"/>
    </row>
    <row r="2600" spans="1:1" ht="15.75" customHeight="1" thickBot="1" x14ac:dyDescent="0.3">
      <c r="A2600" s="9"/>
    </row>
    <row r="2601" spans="1:1" ht="15.75" customHeight="1" thickBot="1" x14ac:dyDescent="0.3">
      <c r="A2601" s="9"/>
    </row>
    <row r="2602" spans="1:1" ht="15.75" customHeight="1" thickBot="1" x14ac:dyDescent="0.3">
      <c r="A2602" s="9"/>
    </row>
    <row r="2603" spans="1:1" ht="15.75" customHeight="1" thickBot="1" x14ac:dyDescent="0.3">
      <c r="A2603" s="9"/>
    </row>
    <row r="2604" spans="1:1" ht="15.75" customHeight="1" thickBot="1" x14ac:dyDescent="0.3">
      <c r="A2604" s="9"/>
    </row>
    <row r="2605" spans="1:1" ht="15.75" customHeight="1" thickBot="1" x14ac:dyDescent="0.3">
      <c r="A2605" s="9"/>
    </row>
    <row r="2606" spans="1:1" ht="15.75" customHeight="1" thickBot="1" x14ac:dyDescent="0.3">
      <c r="A2606" s="9"/>
    </row>
    <row r="2607" spans="1:1" ht="15.75" customHeight="1" thickBot="1" x14ac:dyDescent="0.3">
      <c r="A2607" s="9"/>
    </row>
    <row r="2608" spans="1:1" ht="15.75" customHeight="1" thickBot="1" x14ac:dyDescent="0.3">
      <c r="A2608" s="9"/>
    </row>
    <row r="2609" spans="1:1" ht="15.75" customHeight="1" thickBot="1" x14ac:dyDescent="0.3">
      <c r="A2609" s="9"/>
    </row>
    <row r="2610" spans="1:1" ht="15.75" customHeight="1" thickBot="1" x14ac:dyDescent="0.3">
      <c r="A2610" s="9"/>
    </row>
    <row r="2611" spans="1:1" ht="15.75" customHeight="1" thickBot="1" x14ac:dyDescent="0.3">
      <c r="A2611" s="9"/>
    </row>
    <row r="2612" spans="1:1" ht="15.75" customHeight="1" thickBot="1" x14ac:dyDescent="0.3">
      <c r="A2612" s="9"/>
    </row>
    <row r="2613" spans="1:1" ht="15.75" customHeight="1" thickBot="1" x14ac:dyDescent="0.3">
      <c r="A2613" s="9"/>
    </row>
    <row r="2614" spans="1:1" ht="15.75" customHeight="1" thickBot="1" x14ac:dyDescent="0.3">
      <c r="A2614" s="9"/>
    </row>
    <row r="2615" spans="1:1" ht="15.75" customHeight="1" thickBot="1" x14ac:dyDescent="0.3">
      <c r="A2615" s="9"/>
    </row>
    <row r="2616" spans="1:1" ht="15.75" customHeight="1" thickBot="1" x14ac:dyDescent="0.3">
      <c r="A2616" s="9"/>
    </row>
    <row r="2617" spans="1:1" ht="15.75" customHeight="1" thickBot="1" x14ac:dyDescent="0.3">
      <c r="A2617" s="9"/>
    </row>
    <row r="2618" spans="1:1" ht="15.75" customHeight="1" thickBot="1" x14ac:dyDescent="0.3">
      <c r="A2618" s="9"/>
    </row>
    <row r="2619" spans="1:1" ht="15.75" customHeight="1" thickBot="1" x14ac:dyDescent="0.3">
      <c r="A2619" s="9"/>
    </row>
    <row r="2620" spans="1:1" ht="15.75" customHeight="1" thickBot="1" x14ac:dyDescent="0.3">
      <c r="A2620" s="9"/>
    </row>
    <row r="2621" spans="1:1" ht="15.75" customHeight="1" thickBot="1" x14ac:dyDescent="0.3">
      <c r="A2621" s="9"/>
    </row>
    <row r="2622" spans="1:1" ht="15.75" customHeight="1" thickBot="1" x14ac:dyDescent="0.3">
      <c r="A2622" s="9"/>
    </row>
    <row r="2623" spans="1:1" ht="15.75" customHeight="1" thickBot="1" x14ac:dyDescent="0.3">
      <c r="A2623" s="9"/>
    </row>
    <row r="2624" spans="1:1" ht="15.75" customHeight="1" thickBot="1" x14ac:dyDescent="0.3">
      <c r="A2624" s="9"/>
    </row>
    <row r="2625" spans="1:1" ht="15.75" customHeight="1" thickBot="1" x14ac:dyDescent="0.3">
      <c r="A2625" s="9"/>
    </row>
    <row r="2626" spans="1:1" ht="15.75" customHeight="1" thickBot="1" x14ac:dyDescent="0.3">
      <c r="A2626" s="9"/>
    </row>
    <row r="2627" spans="1:1" ht="15.75" customHeight="1" thickBot="1" x14ac:dyDescent="0.3">
      <c r="A2627" s="9"/>
    </row>
    <row r="2628" spans="1:1" ht="15.75" customHeight="1" thickBot="1" x14ac:dyDescent="0.3">
      <c r="A2628" s="9"/>
    </row>
    <row r="2629" spans="1:1" ht="15.75" customHeight="1" thickBot="1" x14ac:dyDescent="0.3">
      <c r="A2629" s="9"/>
    </row>
    <row r="2630" spans="1:1" ht="15.75" customHeight="1" thickBot="1" x14ac:dyDescent="0.3">
      <c r="A2630" s="9"/>
    </row>
    <row r="2631" spans="1:1" ht="15.75" customHeight="1" thickBot="1" x14ac:dyDescent="0.3">
      <c r="A2631" s="9"/>
    </row>
    <row r="2632" spans="1:1" ht="15.75" customHeight="1" thickBot="1" x14ac:dyDescent="0.3">
      <c r="A2632" s="9"/>
    </row>
    <row r="2633" spans="1:1" ht="15.75" customHeight="1" thickBot="1" x14ac:dyDescent="0.3">
      <c r="A2633" s="9"/>
    </row>
    <row r="2634" spans="1:1" ht="15.75" customHeight="1" thickBot="1" x14ac:dyDescent="0.3">
      <c r="A2634" s="9"/>
    </row>
    <row r="2635" spans="1:1" ht="15.75" customHeight="1" thickBot="1" x14ac:dyDescent="0.3">
      <c r="A2635" s="9"/>
    </row>
    <row r="2636" spans="1:1" ht="15.75" customHeight="1" thickBot="1" x14ac:dyDescent="0.3">
      <c r="A2636" s="9"/>
    </row>
    <row r="2637" spans="1:1" ht="15.75" customHeight="1" thickBot="1" x14ac:dyDescent="0.3">
      <c r="A2637" s="9"/>
    </row>
    <row r="2638" spans="1:1" ht="15.75" customHeight="1" thickBot="1" x14ac:dyDescent="0.3">
      <c r="A2638" s="9"/>
    </row>
    <row r="2639" spans="1:1" ht="15.75" customHeight="1" thickBot="1" x14ac:dyDescent="0.3">
      <c r="A2639" s="9"/>
    </row>
    <row r="2640" spans="1:1" ht="15.75" customHeight="1" thickBot="1" x14ac:dyDescent="0.3">
      <c r="A2640" s="9"/>
    </row>
    <row r="2641" spans="1:1" ht="15.75" customHeight="1" thickBot="1" x14ac:dyDescent="0.3">
      <c r="A2641" s="9"/>
    </row>
    <row r="2642" spans="1:1" ht="15.75" customHeight="1" thickBot="1" x14ac:dyDescent="0.3">
      <c r="A2642" s="9"/>
    </row>
    <row r="2643" spans="1:1" ht="15.75" customHeight="1" thickBot="1" x14ac:dyDescent="0.3">
      <c r="A2643" s="9"/>
    </row>
    <row r="2644" spans="1:1" ht="15.75" customHeight="1" thickBot="1" x14ac:dyDescent="0.3">
      <c r="A2644" s="9"/>
    </row>
    <row r="2645" spans="1:1" ht="15.75" customHeight="1" thickBot="1" x14ac:dyDescent="0.3">
      <c r="A2645" s="9"/>
    </row>
    <row r="2646" spans="1:1" ht="15.75" customHeight="1" thickBot="1" x14ac:dyDescent="0.3">
      <c r="A2646" s="9"/>
    </row>
    <row r="2647" spans="1:1" ht="15.75" customHeight="1" thickBot="1" x14ac:dyDescent="0.3">
      <c r="A2647" s="9"/>
    </row>
    <row r="2648" spans="1:1" ht="15.75" customHeight="1" thickBot="1" x14ac:dyDescent="0.3">
      <c r="A2648" s="9"/>
    </row>
    <row r="2649" spans="1:1" ht="15.75" customHeight="1" thickBot="1" x14ac:dyDescent="0.3">
      <c r="A2649" s="9"/>
    </row>
    <row r="2650" spans="1:1" ht="15.75" customHeight="1" thickBot="1" x14ac:dyDescent="0.3">
      <c r="A2650" s="9"/>
    </row>
    <row r="2651" spans="1:1" ht="15.75" customHeight="1" thickBot="1" x14ac:dyDescent="0.3">
      <c r="A2651" s="9"/>
    </row>
    <row r="2652" spans="1:1" ht="15.75" customHeight="1" thickBot="1" x14ac:dyDescent="0.3">
      <c r="A2652" s="9"/>
    </row>
    <row r="2653" spans="1:1" ht="15.75" customHeight="1" thickBot="1" x14ac:dyDescent="0.3">
      <c r="A2653" s="9"/>
    </row>
    <row r="2654" spans="1:1" ht="15.75" customHeight="1" thickBot="1" x14ac:dyDescent="0.3">
      <c r="A2654" s="9"/>
    </row>
    <row r="2655" spans="1:1" ht="15.75" customHeight="1" thickBot="1" x14ac:dyDescent="0.3">
      <c r="A2655" s="9"/>
    </row>
    <row r="2656" spans="1:1" ht="15.75" customHeight="1" thickBot="1" x14ac:dyDescent="0.3">
      <c r="A2656" s="9"/>
    </row>
    <row r="2657" spans="1:1" ht="15.75" customHeight="1" thickBot="1" x14ac:dyDescent="0.3">
      <c r="A2657" s="9"/>
    </row>
    <row r="2658" spans="1:1" ht="15.75" customHeight="1" thickBot="1" x14ac:dyDescent="0.3">
      <c r="A2658" s="9"/>
    </row>
    <row r="2659" spans="1:1" ht="15.75" customHeight="1" thickBot="1" x14ac:dyDescent="0.3">
      <c r="A2659" s="9"/>
    </row>
    <row r="2660" spans="1:1" ht="15.75" customHeight="1" thickBot="1" x14ac:dyDescent="0.3">
      <c r="A2660" s="9"/>
    </row>
    <row r="2661" spans="1:1" ht="15.75" customHeight="1" thickBot="1" x14ac:dyDescent="0.3">
      <c r="A2661" s="9"/>
    </row>
    <row r="2662" spans="1:1" ht="15.75" customHeight="1" thickBot="1" x14ac:dyDescent="0.3">
      <c r="A2662" s="9"/>
    </row>
    <row r="2663" spans="1:1" ht="15.75" customHeight="1" thickBot="1" x14ac:dyDescent="0.3">
      <c r="A2663" s="9"/>
    </row>
    <row r="2664" spans="1:1" ht="15.75" customHeight="1" thickBot="1" x14ac:dyDescent="0.3">
      <c r="A2664" s="9"/>
    </row>
    <row r="2665" spans="1:1" ht="15.75" customHeight="1" thickBot="1" x14ac:dyDescent="0.3">
      <c r="A2665" s="9"/>
    </row>
    <row r="2666" spans="1:1" ht="15.75" customHeight="1" thickBot="1" x14ac:dyDescent="0.3">
      <c r="A2666" s="9"/>
    </row>
    <row r="2667" spans="1:1" ht="15.75" customHeight="1" thickBot="1" x14ac:dyDescent="0.3">
      <c r="A2667" s="9"/>
    </row>
    <row r="2668" spans="1:1" ht="15.75" customHeight="1" thickBot="1" x14ac:dyDescent="0.3">
      <c r="A2668" s="9"/>
    </row>
    <row r="2669" spans="1:1" ht="15.75" customHeight="1" thickBot="1" x14ac:dyDescent="0.3">
      <c r="A2669" s="9"/>
    </row>
    <row r="2670" spans="1:1" ht="15.75" customHeight="1" thickBot="1" x14ac:dyDescent="0.3">
      <c r="A2670" s="9"/>
    </row>
    <row r="2671" spans="1:1" ht="15.75" customHeight="1" thickBot="1" x14ac:dyDescent="0.3">
      <c r="A2671" s="9"/>
    </row>
    <row r="2672" spans="1:1" ht="15.75" customHeight="1" thickBot="1" x14ac:dyDescent="0.3">
      <c r="A2672" s="9"/>
    </row>
    <row r="2673" spans="1:1" ht="15.75" customHeight="1" thickBot="1" x14ac:dyDescent="0.3">
      <c r="A2673" s="9"/>
    </row>
    <row r="2674" spans="1:1" ht="15.75" customHeight="1" thickBot="1" x14ac:dyDescent="0.3">
      <c r="A2674" s="9"/>
    </row>
    <row r="2675" spans="1:1" ht="15.75" customHeight="1" thickBot="1" x14ac:dyDescent="0.3">
      <c r="A2675" s="9"/>
    </row>
    <row r="2676" spans="1:1" ht="15.75" customHeight="1" thickBot="1" x14ac:dyDescent="0.3">
      <c r="A2676" s="9"/>
    </row>
    <row r="2677" spans="1:1" ht="15.75" customHeight="1" thickBot="1" x14ac:dyDescent="0.3">
      <c r="A2677" s="9"/>
    </row>
    <row r="2678" spans="1:1" ht="15.75" customHeight="1" thickBot="1" x14ac:dyDescent="0.3">
      <c r="A2678" s="9"/>
    </row>
    <row r="2679" spans="1:1" ht="15.75" customHeight="1" thickBot="1" x14ac:dyDescent="0.3">
      <c r="A2679" s="9"/>
    </row>
    <row r="2680" spans="1:1" ht="15.75" customHeight="1" thickBot="1" x14ac:dyDescent="0.3">
      <c r="A2680" s="9"/>
    </row>
    <row r="2681" spans="1:1" ht="15.75" customHeight="1" thickBot="1" x14ac:dyDescent="0.3">
      <c r="A2681" s="9"/>
    </row>
    <row r="2682" spans="1:1" ht="15.75" customHeight="1" thickBot="1" x14ac:dyDescent="0.3">
      <c r="A2682" s="9"/>
    </row>
    <row r="2683" spans="1:1" ht="15.75" customHeight="1" thickBot="1" x14ac:dyDescent="0.3">
      <c r="A2683" s="9"/>
    </row>
    <row r="2684" spans="1:1" ht="15.75" customHeight="1" thickBot="1" x14ac:dyDescent="0.3">
      <c r="A2684" s="9"/>
    </row>
    <row r="2685" spans="1:1" ht="15.75" customHeight="1" thickBot="1" x14ac:dyDescent="0.3">
      <c r="A2685" s="9"/>
    </row>
    <row r="2686" spans="1:1" ht="15.75" customHeight="1" thickBot="1" x14ac:dyDescent="0.3">
      <c r="A2686" s="9"/>
    </row>
    <row r="2687" spans="1:1" ht="15.75" customHeight="1" thickBot="1" x14ac:dyDescent="0.3">
      <c r="A2687" s="9"/>
    </row>
    <row r="2688" spans="1:1" ht="15.75" customHeight="1" thickBot="1" x14ac:dyDescent="0.3">
      <c r="A2688" s="9"/>
    </row>
    <row r="2689" spans="1:1" ht="15.75" customHeight="1" thickBot="1" x14ac:dyDescent="0.3">
      <c r="A2689" s="9"/>
    </row>
    <row r="2690" spans="1:1" ht="15.75" customHeight="1" thickBot="1" x14ac:dyDescent="0.3">
      <c r="A2690" s="9"/>
    </row>
    <row r="2691" spans="1:1" ht="15.75" customHeight="1" thickBot="1" x14ac:dyDescent="0.3">
      <c r="A2691" s="9"/>
    </row>
    <row r="2692" spans="1:1" ht="15.75" customHeight="1" thickBot="1" x14ac:dyDescent="0.3">
      <c r="A2692" s="9"/>
    </row>
    <row r="2693" spans="1:1" ht="15.75" customHeight="1" thickBot="1" x14ac:dyDescent="0.3">
      <c r="A2693" s="9"/>
    </row>
    <row r="2694" spans="1:1" ht="15.75" customHeight="1" thickBot="1" x14ac:dyDescent="0.3">
      <c r="A2694" s="9"/>
    </row>
    <row r="2695" spans="1:1" ht="15.75" customHeight="1" thickBot="1" x14ac:dyDescent="0.3">
      <c r="A2695" s="9"/>
    </row>
    <row r="2696" spans="1:1" ht="15.75" customHeight="1" thickBot="1" x14ac:dyDescent="0.3">
      <c r="A2696" s="9"/>
    </row>
    <row r="2697" spans="1:1" ht="15.75" customHeight="1" thickBot="1" x14ac:dyDescent="0.3">
      <c r="A2697" s="9"/>
    </row>
    <row r="2698" spans="1:1" ht="15.75" customHeight="1" thickBot="1" x14ac:dyDescent="0.3">
      <c r="A2698" s="9"/>
    </row>
    <row r="2699" spans="1:1" ht="15.75" customHeight="1" thickBot="1" x14ac:dyDescent="0.3">
      <c r="A2699" s="9"/>
    </row>
    <row r="2700" spans="1:1" ht="15.75" customHeight="1" thickBot="1" x14ac:dyDescent="0.3">
      <c r="A2700" s="9"/>
    </row>
    <row r="2701" spans="1:1" ht="15.75" customHeight="1" thickBot="1" x14ac:dyDescent="0.3">
      <c r="A2701" s="9"/>
    </row>
    <row r="2702" spans="1:1" ht="15.75" customHeight="1" thickBot="1" x14ac:dyDescent="0.3">
      <c r="A2702" s="9"/>
    </row>
    <row r="2703" spans="1:1" ht="15.75" customHeight="1" thickBot="1" x14ac:dyDescent="0.3">
      <c r="A2703" s="9"/>
    </row>
    <row r="2704" spans="1:1" ht="15.75" customHeight="1" thickBot="1" x14ac:dyDescent="0.3">
      <c r="A2704" s="9"/>
    </row>
    <row r="2705" spans="1:1" ht="15.75" customHeight="1" thickBot="1" x14ac:dyDescent="0.3">
      <c r="A2705" s="9"/>
    </row>
    <row r="2706" spans="1:1" ht="15.75" customHeight="1" thickBot="1" x14ac:dyDescent="0.3">
      <c r="A2706" s="9"/>
    </row>
    <row r="2707" spans="1:1" ht="15.75" customHeight="1" thickBot="1" x14ac:dyDescent="0.3">
      <c r="A2707" s="9"/>
    </row>
    <row r="2708" spans="1:1" ht="15.75" customHeight="1" thickBot="1" x14ac:dyDescent="0.3">
      <c r="A2708" s="9"/>
    </row>
    <row r="2709" spans="1:1" ht="15.75" customHeight="1" thickBot="1" x14ac:dyDescent="0.3">
      <c r="A2709" s="9"/>
    </row>
    <row r="2710" spans="1:1" ht="15.75" customHeight="1" thickBot="1" x14ac:dyDescent="0.3">
      <c r="A2710" s="9"/>
    </row>
    <row r="2711" spans="1:1" ht="15.75" customHeight="1" thickBot="1" x14ac:dyDescent="0.3">
      <c r="A2711" s="9"/>
    </row>
    <row r="2712" spans="1:1" ht="15.75" customHeight="1" thickBot="1" x14ac:dyDescent="0.3">
      <c r="A2712" s="9"/>
    </row>
    <row r="2713" spans="1:1" ht="15.75" customHeight="1" thickBot="1" x14ac:dyDescent="0.3">
      <c r="A2713" s="9"/>
    </row>
    <row r="2714" spans="1:1" ht="15.75" customHeight="1" thickBot="1" x14ac:dyDescent="0.3">
      <c r="A2714" s="9"/>
    </row>
    <row r="2715" spans="1:1" ht="15.75" customHeight="1" thickBot="1" x14ac:dyDescent="0.3">
      <c r="A2715" s="9"/>
    </row>
    <row r="2716" spans="1:1" ht="15.75" customHeight="1" thickBot="1" x14ac:dyDescent="0.3">
      <c r="A2716" s="9"/>
    </row>
    <row r="2717" spans="1:1" ht="15.75" customHeight="1" thickBot="1" x14ac:dyDescent="0.3">
      <c r="A2717" s="9"/>
    </row>
    <row r="2718" spans="1:1" ht="15.75" customHeight="1" thickBot="1" x14ac:dyDescent="0.3">
      <c r="A2718" s="9"/>
    </row>
    <row r="2719" spans="1:1" ht="15.75" customHeight="1" thickBot="1" x14ac:dyDescent="0.3">
      <c r="A2719" s="9"/>
    </row>
    <row r="2720" spans="1:1" ht="15.75" customHeight="1" thickBot="1" x14ac:dyDescent="0.3">
      <c r="A2720" s="9"/>
    </row>
    <row r="2721" spans="1:1" ht="15.75" customHeight="1" thickBot="1" x14ac:dyDescent="0.3">
      <c r="A2721" s="9"/>
    </row>
    <row r="2722" spans="1:1" ht="15.75" customHeight="1" thickBot="1" x14ac:dyDescent="0.3">
      <c r="A2722" s="9"/>
    </row>
    <row r="2723" spans="1:1" ht="15.75" customHeight="1" thickBot="1" x14ac:dyDescent="0.3">
      <c r="A2723" s="9"/>
    </row>
    <row r="2724" spans="1:1" ht="15.75" customHeight="1" thickBot="1" x14ac:dyDescent="0.3">
      <c r="A2724" s="9"/>
    </row>
    <row r="2725" spans="1:1" ht="15.75" customHeight="1" thickBot="1" x14ac:dyDescent="0.3">
      <c r="A2725" s="9"/>
    </row>
    <row r="2726" spans="1:1" ht="15.75" customHeight="1" thickBot="1" x14ac:dyDescent="0.3">
      <c r="A2726" s="9"/>
    </row>
    <row r="2727" spans="1:1" ht="15.75" customHeight="1" thickBot="1" x14ac:dyDescent="0.3">
      <c r="A2727" s="9"/>
    </row>
    <row r="2728" spans="1:1" ht="15.75" customHeight="1" thickBot="1" x14ac:dyDescent="0.3">
      <c r="A2728" s="9"/>
    </row>
    <row r="2729" spans="1:1" ht="15.75" customHeight="1" thickBot="1" x14ac:dyDescent="0.3">
      <c r="A2729" s="9"/>
    </row>
    <row r="2730" spans="1:1" ht="15.75" customHeight="1" thickBot="1" x14ac:dyDescent="0.3">
      <c r="A2730" s="9"/>
    </row>
    <row r="2731" spans="1:1" ht="15.75" customHeight="1" thickBot="1" x14ac:dyDescent="0.3">
      <c r="A2731" s="9"/>
    </row>
    <row r="2732" spans="1:1" ht="15.75" customHeight="1" thickBot="1" x14ac:dyDescent="0.3">
      <c r="A2732" s="9"/>
    </row>
    <row r="2733" spans="1:1" ht="15.75" customHeight="1" thickBot="1" x14ac:dyDescent="0.3">
      <c r="A2733" s="9"/>
    </row>
    <row r="2734" spans="1:1" ht="15.75" customHeight="1" thickBot="1" x14ac:dyDescent="0.3">
      <c r="A2734" s="9"/>
    </row>
    <row r="2735" spans="1:1" ht="15.75" customHeight="1" thickBot="1" x14ac:dyDescent="0.3">
      <c r="A2735" s="9"/>
    </row>
    <row r="2736" spans="1:1" ht="15.75" customHeight="1" thickBot="1" x14ac:dyDescent="0.3">
      <c r="A2736" s="9"/>
    </row>
    <row r="2737" spans="1:1" ht="15.75" customHeight="1" thickBot="1" x14ac:dyDescent="0.3">
      <c r="A2737" s="9"/>
    </row>
    <row r="2738" spans="1:1" ht="15.75" customHeight="1" thickBot="1" x14ac:dyDescent="0.3">
      <c r="A2738" s="9"/>
    </row>
    <row r="2739" spans="1:1" ht="15.75" customHeight="1" thickBot="1" x14ac:dyDescent="0.3">
      <c r="A2739" s="9"/>
    </row>
    <row r="2740" spans="1:1" ht="15.75" customHeight="1" thickBot="1" x14ac:dyDescent="0.3">
      <c r="A2740" s="9"/>
    </row>
    <row r="2741" spans="1:1" ht="15.75" customHeight="1" thickBot="1" x14ac:dyDescent="0.3">
      <c r="A2741" s="9"/>
    </row>
    <row r="2742" spans="1:1" ht="15.75" customHeight="1" thickBot="1" x14ac:dyDescent="0.3">
      <c r="A2742" s="9"/>
    </row>
    <row r="2743" spans="1:1" ht="15.75" customHeight="1" thickBot="1" x14ac:dyDescent="0.3">
      <c r="A2743" s="9"/>
    </row>
    <row r="2744" spans="1:1" ht="15.75" customHeight="1" thickBot="1" x14ac:dyDescent="0.3">
      <c r="A2744" s="9"/>
    </row>
    <row r="2745" spans="1:1" ht="15.75" customHeight="1" thickBot="1" x14ac:dyDescent="0.3">
      <c r="A2745" s="9"/>
    </row>
    <row r="2746" spans="1:1" ht="15.75" customHeight="1" thickBot="1" x14ac:dyDescent="0.3">
      <c r="A2746" s="9"/>
    </row>
    <row r="2747" spans="1:1" ht="15.75" customHeight="1" thickBot="1" x14ac:dyDescent="0.3">
      <c r="A2747" s="9"/>
    </row>
    <row r="2748" spans="1:1" ht="15.75" customHeight="1" thickBot="1" x14ac:dyDescent="0.3">
      <c r="A2748" s="9"/>
    </row>
    <row r="2749" spans="1:1" ht="15.75" customHeight="1" thickBot="1" x14ac:dyDescent="0.3">
      <c r="A2749" s="9"/>
    </row>
    <row r="2750" spans="1:1" ht="15.75" customHeight="1" thickBot="1" x14ac:dyDescent="0.3">
      <c r="A2750" s="9"/>
    </row>
    <row r="2751" spans="1:1" ht="15.75" customHeight="1" thickBot="1" x14ac:dyDescent="0.3">
      <c r="A2751" s="9"/>
    </row>
    <row r="2752" spans="1:1" ht="15.75" customHeight="1" thickBot="1" x14ac:dyDescent="0.3">
      <c r="A2752" s="9"/>
    </row>
    <row r="2753" spans="1:1" ht="15.75" customHeight="1" thickBot="1" x14ac:dyDescent="0.3">
      <c r="A2753" s="9"/>
    </row>
    <row r="2754" spans="1:1" ht="15.75" customHeight="1" thickBot="1" x14ac:dyDescent="0.3">
      <c r="A2754" s="9"/>
    </row>
    <row r="2755" spans="1:1" ht="15.75" customHeight="1" thickBot="1" x14ac:dyDescent="0.3">
      <c r="A2755" s="9"/>
    </row>
    <row r="2756" spans="1:1" ht="15.75" customHeight="1" thickBot="1" x14ac:dyDescent="0.3">
      <c r="A2756" s="9"/>
    </row>
    <row r="2757" spans="1:1" ht="15.75" customHeight="1" thickBot="1" x14ac:dyDescent="0.3">
      <c r="A2757" s="9"/>
    </row>
    <row r="2758" spans="1:1" ht="15.75" customHeight="1" thickBot="1" x14ac:dyDescent="0.3">
      <c r="A2758" s="9"/>
    </row>
    <row r="2759" spans="1:1" ht="15.75" customHeight="1" thickBot="1" x14ac:dyDescent="0.3">
      <c r="A2759" s="9"/>
    </row>
    <row r="2760" spans="1:1" ht="15.75" customHeight="1" thickBot="1" x14ac:dyDescent="0.3">
      <c r="A2760" s="9"/>
    </row>
    <row r="2761" spans="1:1" ht="15.75" customHeight="1" thickBot="1" x14ac:dyDescent="0.3">
      <c r="A2761" s="9"/>
    </row>
    <row r="2762" spans="1:1" ht="15.75" customHeight="1" thickBot="1" x14ac:dyDescent="0.3">
      <c r="A2762" s="9"/>
    </row>
    <row r="2763" spans="1:1" ht="15.75" customHeight="1" thickBot="1" x14ac:dyDescent="0.3">
      <c r="A2763" s="9"/>
    </row>
    <row r="2764" spans="1:1" ht="15.75" customHeight="1" thickBot="1" x14ac:dyDescent="0.3">
      <c r="A2764" s="9"/>
    </row>
    <row r="2765" spans="1:1" ht="15.75" customHeight="1" thickBot="1" x14ac:dyDescent="0.3">
      <c r="A2765" s="9"/>
    </row>
    <row r="2766" spans="1:1" ht="15.75" customHeight="1" thickBot="1" x14ac:dyDescent="0.3">
      <c r="A2766" s="9"/>
    </row>
    <row r="2767" spans="1:1" ht="15.75" customHeight="1" thickBot="1" x14ac:dyDescent="0.3">
      <c r="A2767" s="9"/>
    </row>
    <row r="2768" spans="1:1" ht="15.75" customHeight="1" thickBot="1" x14ac:dyDescent="0.3">
      <c r="A2768" s="9"/>
    </row>
    <row r="2769" spans="1:1" ht="15.75" customHeight="1" thickBot="1" x14ac:dyDescent="0.3">
      <c r="A2769" s="9"/>
    </row>
    <row r="2770" spans="1:1" ht="15.75" customHeight="1" thickBot="1" x14ac:dyDescent="0.3">
      <c r="A2770" s="9"/>
    </row>
    <row r="2771" spans="1:1" ht="15.75" customHeight="1" thickBot="1" x14ac:dyDescent="0.3">
      <c r="A2771" s="9"/>
    </row>
    <row r="2772" spans="1:1" ht="15.75" customHeight="1" thickBot="1" x14ac:dyDescent="0.3">
      <c r="A2772" s="9"/>
    </row>
    <row r="2773" spans="1:1" ht="15.75" customHeight="1" thickBot="1" x14ac:dyDescent="0.3">
      <c r="A2773" s="9"/>
    </row>
    <row r="2774" spans="1:1" ht="15.75" customHeight="1" thickBot="1" x14ac:dyDescent="0.3">
      <c r="A2774" s="9"/>
    </row>
    <row r="2775" spans="1:1" ht="15.75" customHeight="1" thickBot="1" x14ac:dyDescent="0.3">
      <c r="A2775" s="9"/>
    </row>
    <row r="2776" spans="1:1" ht="15.75" customHeight="1" thickBot="1" x14ac:dyDescent="0.3">
      <c r="A2776" s="9"/>
    </row>
    <row r="2777" spans="1:1" ht="15.75" customHeight="1" thickBot="1" x14ac:dyDescent="0.3">
      <c r="A2777" s="9"/>
    </row>
    <row r="2778" spans="1:1" ht="15.75" customHeight="1" thickBot="1" x14ac:dyDescent="0.3">
      <c r="A2778" s="9"/>
    </row>
    <row r="2779" spans="1:1" ht="15.75" customHeight="1" thickBot="1" x14ac:dyDescent="0.3">
      <c r="A2779" s="9"/>
    </row>
    <row r="2780" spans="1:1" ht="15.75" customHeight="1" thickBot="1" x14ac:dyDescent="0.3">
      <c r="A2780" s="9"/>
    </row>
    <row r="2781" spans="1:1" ht="15.75" customHeight="1" thickBot="1" x14ac:dyDescent="0.3">
      <c r="A2781" s="9"/>
    </row>
    <row r="2782" spans="1:1" ht="15.75" customHeight="1" thickBot="1" x14ac:dyDescent="0.3">
      <c r="A2782" s="9"/>
    </row>
    <row r="2783" spans="1:1" ht="15.75" customHeight="1" thickBot="1" x14ac:dyDescent="0.3">
      <c r="A2783" s="9"/>
    </row>
    <row r="2784" spans="1:1" ht="15.75" customHeight="1" thickBot="1" x14ac:dyDescent="0.3">
      <c r="A2784" s="9"/>
    </row>
    <row r="2785" spans="1:1" ht="15.75" customHeight="1" thickBot="1" x14ac:dyDescent="0.3">
      <c r="A2785" s="9"/>
    </row>
    <row r="2786" spans="1:1" ht="15.75" customHeight="1" thickBot="1" x14ac:dyDescent="0.3">
      <c r="A2786" s="9"/>
    </row>
    <row r="2787" spans="1:1" ht="15.75" customHeight="1" thickBot="1" x14ac:dyDescent="0.3">
      <c r="A2787" s="9"/>
    </row>
    <row r="2788" spans="1:1" ht="15.75" customHeight="1" thickBot="1" x14ac:dyDescent="0.3">
      <c r="A2788" s="9"/>
    </row>
    <row r="2789" spans="1:1" ht="15.75" customHeight="1" thickBot="1" x14ac:dyDescent="0.3">
      <c r="A2789" s="9"/>
    </row>
    <row r="2790" spans="1:1" ht="15.75" customHeight="1" thickBot="1" x14ac:dyDescent="0.3">
      <c r="A2790" s="9"/>
    </row>
    <row r="2791" spans="1:1" ht="15.75" customHeight="1" thickBot="1" x14ac:dyDescent="0.3">
      <c r="A2791" s="9"/>
    </row>
    <row r="2792" spans="1:1" ht="15.75" customHeight="1" thickBot="1" x14ac:dyDescent="0.3">
      <c r="A2792" s="9"/>
    </row>
    <row r="2793" spans="1:1" ht="15.75" customHeight="1" thickBot="1" x14ac:dyDescent="0.3">
      <c r="A2793" s="9"/>
    </row>
    <row r="2794" spans="1:1" ht="15.75" customHeight="1" thickBot="1" x14ac:dyDescent="0.3">
      <c r="A2794" s="9"/>
    </row>
    <row r="2795" spans="1:1" ht="15.75" customHeight="1" thickBot="1" x14ac:dyDescent="0.3">
      <c r="A2795" s="9"/>
    </row>
    <row r="2796" spans="1:1" ht="15.75" customHeight="1" thickBot="1" x14ac:dyDescent="0.3">
      <c r="A2796" s="9"/>
    </row>
    <row r="2797" spans="1:1" ht="15.75" customHeight="1" thickBot="1" x14ac:dyDescent="0.3">
      <c r="A2797" s="9"/>
    </row>
    <row r="2798" spans="1:1" ht="15.75" customHeight="1" thickBot="1" x14ac:dyDescent="0.3">
      <c r="A2798" s="9"/>
    </row>
    <row r="2799" spans="1:1" ht="15.75" customHeight="1" thickBot="1" x14ac:dyDescent="0.3">
      <c r="A2799" s="9"/>
    </row>
    <row r="2800" spans="1:1" ht="15.75" customHeight="1" thickBot="1" x14ac:dyDescent="0.3">
      <c r="A2800" s="9"/>
    </row>
    <row r="2801" spans="1:1" ht="15.75" customHeight="1" thickBot="1" x14ac:dyDescent="0.3">
      <c r="A2801" s="9"/>
    </row>
    <row r="2802" spans="1:1" ht="15.75" customHeight="1" thickBot="1" x14ac:dyDescent="0.3">
      <c r="A2802" s="9"/>
    </row>
    <row r="2803" spans="1:1" ht="15.75" customHeight="1" thickBot="1" x14ac:dyDescent="0.3">
      <c r="A2803" s="9"/>
    </row>
    <row r="2804" spans="1:1" ht="15.75" customHeight="1" thickBot="1" x14ac:dyDescent="0.3">
      <c r="A2804" s="9"/>
    </row>
    <row r="2805" spans="1:1" ht="15.75" customHeight="1" thickBot="1" x14ac:dyDescent="0.3">
      <c r="A2805" s="9"/>
    </row>
    <row r="2806" spans="1:1" ht="15.75" customHeight="1" thickBot="1" x14ac:dyDescent="0.3">
      <c r="A2806" s="9"/>
    </row>
    <row r="2807" spans="1:1" ht="15.75" customHeight="1" thickBot="1" x14ac:dyDescent="0.3">
      <c r="A2807" s="9"/>
    </row>
    <row r="2808" spans="1:1" ht="15.75" customHeight="1" thickBot="1" x14ac:dyDescent="0.3">
      <c r="A2808" s="9"/>
    </row>
    <row r="2809" spans="1:1" ht="15.75" customHeight="1" thickBot="1" x14ac:dyDescent="0.3">
      <c r="A2809" s="9"/>
    </row>
    <row r="2810" spans="1:1" ht="15.75" customHeight="1" thickBot="1" x14ac:dyDescent="0.3">
      <c r="A2810" s="9"/>
    </row>
    <row r="2811" spans="1:1" ht="15.75" customHeight="1" thickBot="1" x14ac:dyDescent="0.3">
      <c r="A2811" s="9"/>
    </row>
    <row r="2812" spans="1:1" ht="15.75" customHeight="1" thickBot="1" x14ac:dyDescent="0.3">
      <c r="A2812" s="9"/>
    </row>
    <row r="2813" spans="1:1" ht="15.75" customHeight="1" thickBot="1" x14ac:dyDescent="0.3">
      <c r="A2813" s="9"/>
    </row>
    <row r="2814" spans="1:1" ht="15.75" customHeight="1" thickBot="1" x14ac:dyDescent="0.3">
      <c r="A2814" s="9"/>
    </row>
    <row r="2815" spans="1:1" ht="15.75" customHeight="1" thickBot="1" x14ac:dyDescent="0.3">
      <c r="A2815" s="9"/>
    </row>
    <row r="2816" spans="1:1" ht="15.75" customHeight="1" thickBot="1" x14ac:dyDescent="0.3">
      <c r="A2816" s="9"/>
    </row>
    <row r="2817" spans="1:1" ht="15.75" customHeight="1" thickBot="1" x14ac:dyDescent="0.3">
      <c r="A2817" s="9"/>
    </row>
    <row r="2818" spans="1:1" ht="15.75" customHeight="1" thickBot="1" x14ac:dyDescent="0.3">
      <c r="A2818" s="9"/>
    </row>
    <row r="2819" spans="1:1" ht="15.75" customHeight="1" thickBot="1" x14ac:dyDescent="0.3">
      <c r="A2819" s="9"/>
    </row>
    <row r="2820" spans="1:1" ht="15.75" customHeight="1" thickBot="1" x14ac:dyDescent="0.3">
      <c r="A2820" s="9"/>
    </row>
    <row r="2821" spans="1:1" ht="15.75" customHeight="1" thickBot="1" x14ac:dyDescent="0.3">
      <c r="A2821" s="9"/>
    </row>
    <row r="2822" spans="1:1" ht="15.75" customHeight="1" thickBot="1" x14ac:dyDescent="0.3">
      <c r="A2822" s="9"/>
    </row>
    <row r="2823" spans="1:1" ht="15.75" customHeight="1" thickBot="1" x14ac:dyDescent="0.3">
      <c r="A2823" s="9"/>
    </row>
    <row r="2824" spans="1:1" ht="15.75" customHeight="1" thickBot="1" x14ac:dyDescent="0.3">
      <c r="A2824" s="9"/>
    </row>
    <row r="2825" spans="1:1" ht="15.75" customHeight="1" thickBot="1" x14ac:dyDescent="0.3">
      <c r="A2825" s="9"/>
    </row>
    <row r="2826" spans="1:1" ht="15.75" customHeight="1" thickBot="1" x14ac:dyDescent="0.3">
      <c r="A2826" s="9"/>
    </row>
    <row r="2827" spans="1:1" ht="15.75" customHeight="1" thickBot="1" x14ac:dyDescent="0.3">
      <c r="A2827" s="9"/>
    </row>
    <row r="2828" spans="1:1" ht="15.75" customHeight="1" thickBot="1" x14ac:dyDescent="0.3">
      <c r="A2828" s="9"/>
    </row>
    <row r="2829" spans="1:1" ht="15.75" customHeight="1" thickBot="1" x14ac:dyDescent="0.3">
      <c r="A2829" s="9"/>
    </row>
    <row r="2830" spans="1:1" ht="15.75" customHeight="1" thickBot="1" x14ac:dyDescent="0.3">
      <c r="A2830" s="9"/>
    </row>
    <row r="2831" spans="1:1" ht="15.75" customHeight="1" thickBot="1" x14ac:dyDescent="0.3">
      <c r="A2831" s="9"/>
    </row>
    <row r="2832" spans="1:1" ht="15.75" customHeight="1" thickBot="1" x14ac:dyDescent="0.3">
      <c r="A2832" s="9"/>
    </row>
    <row r="2833" spans="1:1" ht="15.75" customHeight="1" thickBot="1" x14ac:dyDescent="0.3">
      <c r="A2833" s="9"/>
    </row>
    <row r="2834" spans="1:1" ht="15.75" customHeight="1" thickBot="1" x14ac:dyDescent="0.3">
      <c r="A2834" s="9"/>
    </row>
    <row r="2835" spans="1:1" ht="15.75" customHeight="1" thickBot="1" x14ac:dyDescent="0.3">
      <c r="A2835" s="9"/>
    </row>
    <row r="2836" spans="1:1" ht="15.75" customHeight="1" thickBot="1" x14ac:dyDescent="0.3">
      <c r="A2836" s="9"/>
    </row>
    <row r="2837" spans="1:1" ht="15.75" customHeight="1" thickBot="1" x14ac:dyDescent="0.3">
      <c r="A2837" s="9"/>
    </row>
    <row r="2838" spans="1:1" ht="15.75" customHeight="1" thickBot="1" x14ac:dyDescent="0.3">
      <c r="A2838" s="9"/>
    </row>
    <row r="2839" spans="1:1" ht="15.75" customHeight="1" thickBot="1" x14ac:dyDescent="0.3">
      <c r="A2839" s="9"/>
    </row>
    <row r="2840" spans="1:1" ht="15.75" customHeight="1" thickBot="1" x14ac:dyDescent="0.3">
      <c r="A2840" s="9"/>
    </row>
    <row r="2841" spans="1:1" ht="15.75" customHeight="1" thickBot="1" x14ac:dyDescent="0.3">
      <c r="A2841" s="9"/>
    </row>
    <row r="2842" spans="1:1" ht="15.75" customHeight="1" thickBot="1" x14ac:dyDescent="0.3">
      <c r="A2842" s="9"/>
    </row>
    <row r="2843" spans="1:1" ht="15.75" customHeight="1" thickBot="1" x14ac:dyDescent="0.3">
      <c r="A2843" s="9"/>
    </row>
    <row r="2844" spans="1:1" ht="15.75" customHeight="1" thickBot="1" x14ac:dyDescent="0.3">
      <c r="A2844" s="9"/>
    </row>
    <row r="2845" spans="1:1" ht="15.75" customHeight="1" thickBot="1" x14ac:dyDescent="0.3">
      <c r="A2845" s="9"/>
    </row>
    <row r="2846" spans="1:1" ht="15.75" customHeight="1" thickBot="1" x14ac:dyDescent="0.3">
      <c r="A2846" s="9"/>
    </row>
    <row r="2847" spans="1:1" ht="15.75" customHeight="1" thickBot="1" x14ac:dyDescent="0.3">
      <c r="A2847" s="9"/>
    </row>
    <row r="2848" spans="1:1" ht="15.75" customHeight="1" thickBot="1" x14ac:dyDescent="0.3">
      <c r="A2848" s="9"/>
    </row>
    <row r="2849" spans="1:1" ht="15.75" customHeight="1" thickBot="1" x14ac:dyDescent="0.3">
      <c r="A2849" s="9"/>
    </row>
    <row r="2850" spans="1:1" ht="15.75" customHeight="1" thickBot="1" x14ac:dyDescent="0.3">
      <c r="A2850" s="9"/>
    </row>
    <row r="2851" spans="1:1" ht="15.75" customHeight="1" thickBot="1" x14ac:dyDescent="0.3">
      <c r="A2851" s="9"/>
    </row>
    <row r="2852" spans="1:1" ht="15.75" customHeight="1" thickBot="1" x14ac:dyDescent="0.3">
      <c r="A2852" s="9"/>
    </row>
    <row r="2853" spans="1:1" ht="15.75" customHeight="1" thickBot="1" x14ac:dyDescent="0.3">
      <c r="A2853" s="9"/>
    </row>
    <row r="2854" spans="1:1" ht="15.75" customHeight="1" thickBot="1" x14ac:dyDescent="0.3">
      <c r="A2854" s="9"/>
    </row>
    <row r="2855" spans="1:1" ht="15.75" customHeight="1" thickBot="1" x14ac:dyDescent="0.3">
      <c r="A2855" s="9"/>
    </row>
    <row r="2856" spans="1:1" ht="15.75" customHeight="1" thickBot="1" x14ac:dyDescent="0.3">
      <c r="A2856" s="9"/>
    </row>
    <row r="2857" spans="1:1" ht="15.75" customHeight="1" thickBot="1" x14ac:dyDescent="0.3">
      <c r="A2857" s="9"/>
    </row>
    <row r="2858" spans="1:1" ht="15.75" customHeight="1" thickBot="1" x14ac:dyDescent="0.3">
      <c r="A2858" s="9"/>
    </row>
    <row r="2859" spans="1:1" ht="15.75" customHeight="1" thickBot="1" x14ac:dyDescent="0.3">
      <c r="A2859" s="9"/>
    </row>
    <row r="2860" spans="1:1" ht="15.75" customHeight="1" thickBot="1" x14ac:dyDescent="0.3">
      <c r="A2860" s="9"/>
    </row>
    <row r="2861" spans="1:1" ht="15.75" customHeight="1" thickBot="1" x14ac:dyDescent="0.3">
      <c r="A2861" s="9"/>
    </row>
    <row r="2862" spans="1:1" ht="15.75" customHeight="1" thickBot="1" x14ac:dyDescent="0.3">
      <c r="A2862" s="9"/>
    </row>
    <row r="2863" spans="1:1" ht="15.75" customHeight="1" thickBot="1" x14ac:dyDescent="0.3">
      <c r="A2863" s="9"/>
    </row>
    <row r="2864" spans="1:1" ht="15.75" customHeight="1" thickBot="1" x14ac:dyDescent="0.3">
      <c r="A2864" s="9"/>
    </row>
    <row r="2865" spans="1:1" ht="15.75" customHeight="1" thickBot="1" x14ac:dyDescent="0.3">
      <c r="A2865" s="9"/>
    </row>
    <row r="2866" spans="1:1" ht="15.75" customHeight="1" thickBot="1" x14ac:dyDescent="0.3">
      <c r="A2866" s="9"/>
    </row>
    <row r="2867" spans="1:1" ht="15.75" customHeight="1" thickBot="1" x14ac:dyDescent="0.3">
      <c r="A2867" s="9"/>
    </row>
    <row r="2868" spans="1:1" ht="15.75" customHeight="1" thickBot="1" x14ac:dyDescent="0.3">
      <c r="A2868" s="9"/>
    </row>
    <row r="2869" spans="1:1" ht="15.75" customHeight="1" thickBot="1" x14ac:dyDescent="0.3">
      <c r="A2869" s="9"/>
    </row>
    <row r="2870" spans="1:1" ht="15.75" customHeight="1" thickBot="1" x14ac:dyDescent="0.3">
      <c r="A2870" s="9"/>
    </row>
    <row r="2871" spans="1:1" ht="15.75" customHeight="1" thickBot="1" x14ac:dyDescent="0.3">
      <c r="A2871" s="9"/>
    </row>
    <row r="2872" spans="1:1" ht="15.75" customHeight="1" thickBot="1" x14ac:dyDescent="0.3">
      <c r="A2872" s="9"/>
    </row>
    <row r="2873" spans="1:1" ht="15.75" customHeight="1" thickBot="1" x14ac:dyDescent="0.3">
      <c r="A2873" s="9"/>
    </row>
    <row r="2874" spans="1:1" ht="15.75" customHeight="1" thickBot="1" x14ac:dyDescent="0.3">
      <c r="A2874" s="9"/>
    </row>
    <row r="2875" spans="1:1" ht="15.75" customHeight="1" thickBot="1" x14ac:dyDescent="0.3">
      <c r="A2875" s="9"/>
    </row>
    <row r="2876" spans="1:1" ht="15.75" customHeight="1" thickBot="1" x14ac:dyDescent="0.3">
      <c r="A2876" s="9"/>
    </row>
    <row r="2877" spans="1:1" ht="15.75" customHeight="1" thickBot="1" x14ac:dyDescent="0.3">
      <c r="A2877" s="9"/>
    </row>
    <row r="2878" spans="1:1" ht="15.75" customHeight="1" thickBot="1" x14ac:dyDescent="0.3">
      <c r="A2878" s="9"/>
    </row>
    <row r="2879" spans="1:1" ht="15.75" customHeight="1" thickBot="1" x14ac:dyDescent="0.3">
      <c r="A2879" s="9"/>
    </row>
    <row r="2880" spans="1:1" ht="15.75" customHeight="1" thickBot="1" x14ac:dyDescent="0.3">
      <c r="A2880" s="9"/>
    </row>
    <row r="2881" spans="1:1" ht="15.75" customHeight="1" thickBot="1" x14ac:dyDescent="0.3">
      <c r="A2881" s="9"/>
    </row>
    <row r="2882" spans="1:1" ht="15.75" customHeight="1" thickBot="1" x14ac:dyDescent="0.3">
      <c r="A2882" s="9"/>
    </row>
    <row r="2883" spans="1:1" ht="15.75" customHeight="1" thickBot="1" x14ac:dyDescent="0.3">
      <c r="A2883" s="9"/>
    </row>
    <row r="2884" spans="1:1" ht="15.75" customHeight="1" thickBot="1" x14ac:dyDescent="0.3">
      <c r="A2884" s="9"/>
    </row>
    <row r="2885" spans="1:1" ht="15.75" customHeight="1" thickBot="1" x14ac:dyDescent="0.3">
      <c r="A2885" s="9"/>
    </row>
    <row r="2886" spans="1:1" ht="15.75" customHeight="1" thickBot="1" x14ac:dyDescent="0.3">
      <c r="A2886" s="9"/>
    </row>
    <row r="2887" spans="1:1" ht="15.75" customHeight="1" thickBot="1" x14ac:dyDescent="0.3">
      <c r="A2887" s="9"/>
    </row>
    <row r="2888" spans="1:1" ht="15.75" customHeight="1" thickBot="1" x14ac:dyDescent="0.3">
      <c r="A2888" s="9"/>
    </row>
    <row r="2889" spans="1:1" ht="15.75" customHeight="1" thickBot="1" x14ac:dyDescent="0.3">
      <c r="A2889" s="9"/>
    </row>
    <row r="2890" spans="1:1" ht="15.75" customHeight="1" thickBot="1" x14ac:dyDescent="0.3">
      <c r="A2890" s="9"/>
    </row>
    <row r="2891" spans="1:1" ht="15.75" customHeight="1" thickBot="1" x14ac:dyDescent="0.3">
      <c r="A2891" s="9"/>
    </row>
    <row r="2892" spans="1:1" ht="15.75" customHeight="1" thickBot="1" x14ac:dyDescent="0.3">
      <c r="A2892" s="9"/>
    </row>
    <row r="2893" spans="1:1" ht="15.75" customHeight="1" thickBot="1" x14ac:dyDescent="0.3">
      <c r="A2893" s="9"/>
    </row>
    <row r="2894" spans="1:1" ht="15.75" customHeight="1" thickBot="1" x14ac:dyDescent="0.3">
      <c r="A2894" s="9"/>
    </row>
    <row r="2895" spans="1:1" ht="15.75" customHeight="1" thickBot="1" x14ac:dyDescent="0.3">
      <c r="A2895" s="9"/>
    </row>
    <row r="2896" spans="1:1" ht="15.75" customHeight="1" thickBot="1" x14ac:dyDescent="0.3">
      <c r="A2896" s="9"/>
    </row>
    <row r="2897" spans="1:1" ht="15.75" customHeight="1" thickBot="1" x14ac:dyDescent="0.3">
      <c r="A2897" s="9"/>
    </row>
    <row r="2898" spans="1:1" ht="15.75" customHeight="1" thickBot="1" x14ac:dyDescent="0.3">
      <c r="A2898" s="9"/>
    </row>
    <row r="2899" spans="1:1" ht="15.75" customHeight="1" thickBot="1" x14ac:dyDescent="0.3">
      <c r="A2899" s="9"/>
    </row>
    <row r="2900" spans="1:1" ht="15.75" customHeight="1" thickBot="1" x14ac:dyDescent="0.3">
      <c r="A2900" s="9"/>
    </row>
    <row r="2901" spans="1:1" ht="15.75" customHeight="1" thickBot="1" x14ac:dyDescent="0.3">
      <c r="A2901" s="9"/>
    </row>
    <row r="2902" spans="1:1" ht="15.75" customHeight="1" thickBot="1" x14ac:dyDescent="0.3">
      <c r="A2902" s="9"/>
    </row>
    <row r="2903" spans="1:1" ht="15.75" customHeight="1" thickBot="1" x14ac:dyDescent="0.3">
      <c r="A2903" s="9"/>
    </row>
    <row r="2904" spans="1:1" ht="15.75" customHeight="1" thickBot="1" x14ac:dyDescent="0.3">
      <c r="A2904" s="9"/>
    </row>
    <row r="2905" spans="1:1" ht="15.75" customHeight="1" thickBot="1" x14ac:dyDescent="0.3">
      <c r="A2905" s="9"/>
    </row>
    <row r="2906" spans="1:1" ht="15.75" customHeight="1" thickBot="1" x14ac:dyDescent="0.3">
      <c r="A2906" s="9"/>
    </row>
    <row r="2907" spans="1:1" ht="15.75" customHeight="1" thickBot="1" x14ac:dyDescent="0.3">
      <c r="A2907" s="9"/>
    </row>
    <row r="2908" spans="1:1" ht="15.75" customHeight="1" thickBot="1" x14ac:dyDescent="0.3">
      <c r="A2908" s="9"/>
    </row>
    <row r="2909" spans="1:1" ht="15.75" customHeight="1" thickBot="1" x14ac:dyDescent="0.3">
      <c r="A2909" s="9"/>
    </row>
    <row r="2910" spans="1:1" ht="15.75" customHeight="1" thickBot="1" x14ac:dyDescent="0.3">
      <c r="A2910" s="9"/>
    </row>
    <row r="2911" spans="1:1" ht="15.75" customHeight="1" thickBot="1" x14ac:dyDescent="0.3">
      <c r="A2911" s="9"/>
    </row>
    <row r="2912" spans="1:1" ht="15.75" customHeight="1" thickBot="1" x14ac:dyDescent="0.3">
      <c r="A2912" s="9"/>
    </row>
    <row r="2913" spans="1:1" ht="15.75" customHeight="1" thickBot="1" x14ac:dyDescent="0.3">
      <c r="A2913" s="9"/>
    </row>
    <row r="2914" spans="1:1" ht="15.75" customHeight="1" thickBot="1" x14ac:dyDescent="0.3">
      <c r="A2914" s="9"/>
    </row>
    <row r="2915" spans="1:1" ht="15.75" customHeight="1" thickBot="1" x14ac:dyDescent="0.3">
      <c r="A2915" s="9"/>
    </row>
    <row r="2916" spans="1:1" ht="15.75" customHeight="1" thickBot="1" x14ac:dyDescent="0.3">
      <c r="A2916" s="9"/>
    </row>
    <row r="2917" spans="1:1" ht="15.75" customHeight="1" thickBot="1" x14ac:dyDescent="0.3">
      <c r="A2917" s="9"/>
    </row>
    <row r="2918" spans="1:1" ht="15.75" customHeight="1" thickBot="1" x14ac:dyDescent="0.3">
      <c r="A2918" s="9"/>
    </row>
    <row r="2919" spans="1:1" ht="15.75" customHeight="1" thickBot="1" x14ac:dyDescent="0.3">
      <c r="A2919" s="9"/>
    </row>
    <row r="2920" spans="1:1" ht="15.75" customHeight="1" thickBot="1" x14ac:dyDescent="0.3">
      <c r="A2920" s="9"/>
    </row>
    <row r="2921" spans="1:1" ht="15.75" customHeight="1" thickBot="1" x14ac:dyDescent="0.3">
      <c r="A2921" s="9"/>
    </row>
    <row r="2922" spans="1:1" ht="15.75" customHeight="1" thickBot="1" x14ac:dyDescent="0.3">
      <c r="A2922" s="9"/>
    </row>
    <row r="2923" spans="1:1" ht="15.75" customHeight="1" thickBot="1" x14ac:dyDescent="0.3">
      <c r="A2923" s="9"/>
    </row>
    <row r="2924" spans="1:1" ht="15.75" customHeight="1" thickBot="1" x14ac:dyDescent="0.3">
      <c r="A2924" s="9"/>
    </row>
    <row r="2925" spans="1:1" ht="15.75" customHeight="1" thickBot="1" x14ac:dyDescent="0.3">
      <c r="A2925" s="9"/>
    </row>
    <row r="2926" spans="1:1" ht="15.75" customHeight="1" thickBot="1" x14ac:dyDescent="0.3">
      <c r="A2926" s="9"/>
    </row>
    <row r="2927" spans="1:1" ht="15.75" customHeight="1" thickBot="1" x14ac:dyDescent="0.3">
      <c r="A2927" s="9"/>
    </row>
    <row r="2928" spans="1:1" ht="15.75" customHeight="1" thickBot="1" x14ac:dyDescent="0.3">
      <c r="A2928" s="9"/>
    </row>
    <row r="2929" spans="1:1" ht="15.75" customHeight="1" thickBot="1" x14ac:dyDescent="0.3">
      <c r="A2929" s="9"/>
    </row>
    <row r="2930" spans="1:1" ht="15.75" customHeight="1" thickBot="1" x14ac:dyDescent="0.3">
      <c r="A2930" s="9"/>
    </row>
    <row r="2931" spans="1:1" ht="15.75" customHeight="1" thickBot="1" x14ac:dyDescent="0.3">
      <c r="A2931" s="9"/>
    </row>
    <row r="2932" spans="1:1" ht="15.75" customHeight="1" thickBot="1" x14ac:dyDescent="0.3">
      <c r="A2932" s="9"/>
    </row>
    <row r="2933" spans="1:1" ht="15.75" customHeight="1" thickBot="1" x14ac:dyDescent="0.3">
      <c r="A2933" s="9"/>
    </row>
    <row r="2934" spans="1:1" ht="15.75" customHeight="1" thickBot="1" x14ac:dyDescent="0.3">
      <c r="A2934" s="9"/>
    </row>
    <row r="2935" spans="1:1" ht="15.75" customHeight="1" thickBot="1" x14ac:dyDescent="0.3">
      <c r="A2935" s="9"/>
    </row>
    <row r="2936" spans="1:1" ht="15.75" customHeight="1" thickBot="1" x14ac:dyDescent="0.3">
      <c r="A2936" s="9"/>
    </row>
    <row r="2937" spans="1:1" ht="15.75" customHeight="1" thickBot="1" x14ac:dyDescent="0.3">
      <c r="A2937" s="9"/>
    </row>
    <row r="2938" spans="1:1" ht="15.75" customHeight="1" thickBot="1" x14ac:dyDescent="0.3">
      <c r="A2938" s="9"/>
    </row>
    <row r="2939" spans="1:1" ht="15.75" customHeight="1" thickBot="1" x14ac:dyDescent="0.3">
      <c r="A2939" s="9"/>
    </row>
    <row r="2940" spans="1:1" ht="15.75" customHeight="1" thickBot="1" x14ac:dyDescent="0.3">
      <c r="A2940" s="9"/>
    </row>
    <row r="2941" spans="1:1" ht="15.75" customHeight="1" thickBot="1" x14ac:dyDescent="0.3">
      <c r="A2941" s="9"/>
    </row>
    <row r="2942" spans="1:1" ht="15.75" customHeight="1" thickBot="1" x14ac:dyDescent="0.3">
      <c r="A2942" s="9"/>
    </row>
    <row r="2943" spans="1:1" ht="15.75" customHeight="1" thickBot="1" x14ac:dyDescent="0.3">
      <c r="A2943" s="9"/>
    </row>
    <row r="2944" spans="1:1" ht="15.75" customHeight="1" thickBot="1" x14ac:dyDescent="0.3">
      <c r="A2944" s="9"/>
    </row>
    <row r="2945" spans="1:1" ht="15.75" customHeight="1" thickBot="1" x14ac:dyDescent="0.3">
      <c r="A2945" s="9"/>
    </row>
    <row r="2946" spans="1:1" ht="15.75" customHeight="1" thickBot="1" x14ac:dyDescent="0.3">
      <c r="A2946" s="9"/>
    </row>
    <row r="2947" spans="1:1" ht="15.75" customHeight="1" thickBot="1" x14ac:dyDescent="0.3">
      <c r="A2947" s="9"/>
    </row>
    <row r="2948" spans="1:1" ht="15.75" customHeight="1" thickBot="1" x14ac:dyDescent="0.3">
      <c r="A2948" s="9"/>
    </row>
    <row r="2949" spans="1:1" ht="15.75" customHeight="1" thickBot="1" x14ac:dyDescent="0.3">
      <c r="A2949" s="9"/>
    </row>
    <row r="2950" spans="1:1" ht="15.75" customHeight="1" thickBot="1" x14ac:dyDescent="0.3">
      <c r="A2950" s="9"/>
    </row>
    <row r="2951" spans="1:1" ht="15.75" customHeight="1" thickBot="1" x14ac:dyDescent="0.3">
      <c r="A2951" s="9"/>
    </row>
    <row r="2952" spans="1:1" ht="15.75" customHeight="1" thickBot="1" x14ac:dyDescent="0.3">
      <c r="A2952" s="9"/>
    </row>
    <row r="2953" spans="1:1" ht="15.75" customHeight="1" thickBot="1" x14ac:dyDescent="0.3">
      <c r="A2953" s="9"/>
    </row>
    <row r="2954" spans="1:1" ht="15.75" customHeight="1" thickBot="1" x14ac:dyDescent="0.3">
      <c r="A2954" s="9"/>
    </row>
    <row r="2955" spans="1:1" ht="15.75" customHeight="1" thickBot="1" x14ac:dyDescent="0.3">
      <c r="A2955" s="9"/>
    </row>
    <row r="2956" spans="1:1" ht="15.75" customHeight="1" thickBot="1" x14ac:dyDescent="0.3">
      <c r="A2956" s="9"/>
    </row>
    <row r="2957" spans="1:1" ht="15.75" customHeight="1" thickBot="1" x14ac:dyDescent="0.3">
      <c r="A2957" s="9"/>
    </row>
    <row r="2958" spans="1:1" ht="15.75" customHeight="1" thickBot="1" x14ac:dyDescent="0.3">
      <c r="A2958" s="9"/>
    </row>
    <row r="2959" spans="1:1" ht="15.75" customHeight="1" thickBot="1" x14ac:dyDescent="0.3">
      <c r="A2959" s="9"/>
    </row>
    <row r="2960" spans="1:1" ht="15.75" customHeight="1" thickBot="1" x14ac:dyDescent="0.3">
      <c r="A2960" s="9"/>
    </row>
    <row r="2961" spans="1:1" ht="15.75" customHeight="1" thickBot="1" x14ac:dyDescent="0.3">
      <c r="A2961" s="9"/>
    </row>
    <row r="2962" spans="1:1" ht="15.75" customHeight="1" thickBot="1" x14ac:dyDescent="0.3">
      <c r="A2962" s="9"/>
    </row>
    <row r="2963" spans="1:1" ht="15.75" customHeight="1" thickBot="1" x14ac:dyDescent="0.3">
      <c r="A2963" s="9"/>
    </row>
    <row r="2964" spans="1:1" ht="15.75" customHeight="1" thickBot="1" x14ac:dyDescent="0.3">
      <c r="A2964" s="9"/>
    </row>
    <row r="2965" spans="1:1" ht="15.75" customHeight="1" thickBot="1" x14ac:dyDescent="0.3">
      <c r="A2965" s="9"/>
    </row>
    <row r="2966" spans="1:1" ht="15.75" customHeight="1" thickBot="1" x14ac:dyDescent="0.3">
      <c r="A2966" s="9"/>
    </row>
    <row r="2967" spans="1:1" ht="15.75" customHeight="1" thickBot="1" x14ac:dyDescent="0.3">
      <c r="A2967" s="9"/>
    </row>
    <row r="2968" spans="1:1" ht="15.75" customHeight="1" thickBot="1" x14ac:dyDescent="0.3">
      <c r="A2968" s="9"/>
    </row>
    <row r="2969" spans="1:1" ht="15.75" customHeight="1" thickBot="1" x14ac:dyDescent="0.3">
      <c r="A2969" s="9"/>
    </row>
    <row r="2970" spans="1:1" ht="15.75" customHeight="1" thickBot="1" x14ac:dyDescent="0.3">
      <c r="A2970" s="9"/>
    </row>
    <row r="2971" spans="1:1" ht="15.75" customHeight="1" thickBot="1" x14ac:dyDescent="0.3">
      <c r="A2971" s="9"/>
    </row>
    <row r="2972" spans="1:1" ht="15.75" customHeight="1" thickBot="1" x14ac:dyDescent="0.3">
      <c r="A2972" s="9"/>
    </row>
    <row r="2973" spans="1:1" ht="15.75" customHeight="1" thickBot="1" x14ac:dyDescent="0.3">
      <c r="A2973" s="9"/>
    </row>
    <row r="2974" spans="1:1" ht="15.75" customHeight="1" thickBot="1" x14ac:dyDescent="0.3">
      <c r="A2974" s="9"/>
    </row>
    <row r="2975" spans="1:1" ht="15.75" customHeight="1" thickBot="1" x14ac:dyDescent="0.3">
      <c r="A2975" s="9"/>
    </row>
    <row r="2976" spans="1:1" ht="15.75" customHeight="1" thickBot="1" x14ac:dyDescent="0.3">
      <c r="A2976" s="9"/>
    </row>
    <row r="2977" spans="1:1" ht="15.75" customHeight="1" thickBot="1" x14ac:dyDescent="0.3">
      <c r="A2977" s="9"/>
    </row>
    <row r="2978" spans="1:1" ht="15.75" customHeight="1" thickBot="1" x14ac:dyDescent="0.3">
      <c r="A2978" s="9"/>
    </row>
    <row r="2979" spans="1:1" ht="15.75" customHeight="1" thickBot="1" x14ac:dyDescent="0.3">
      <c r="A2979" s="9"/>
    </row>
    <row r="2980" spans="1:1" ht="15.75" customHeight="1" thickBot="1" x14ac:dyDescent="0.3">
      <c r="A2980" s="9"/>
    </row>
    <row r="2981" spans="1:1" ht="15.75" customHeight="1" thickBot="1" x14ac:dyDescent="0.3">
      <c r="A2981" s="9"/>
    </row>
    <row r="2982" spans="1:1" ht="15.75" customHeight="1" thickBot="1" x14ac:dyDescent="0.3">
      <c r="A2982" s="9"/>
    </row>
    <row r="2983" spans="1:1" ht="15.75" customHeight="1" thickBot="1" x14ac:dyDescent="0.3">
      <c r="A2983" s="9"/>
    </row>
    <row r="2984" spans="1:1" ht="15.75" customHeight="1" thickBot="1" x14ac:dyDescent="0.3">
      <c r="A2984" s="9"/>
    </row>
    <row r="2985" spans="1:1" ht="15.75" customHeight="1" thickBot="1" x14ac:dyDescent="0.3">
      <c r="A2985" s="9"/>
    </row>
    <row r="2986" spans="1:1" ht="15.75" customHeight="1" thickBot="1" x14ac:dyDescent="0.3">
      <c r="A2986" s="9"/>
    </row>
    <row r="2987" spans="1:1" ht="15.75" customHeight="1" thickBot="1" x14ac:dyDescent="0.3">
      <c r="A2987" s="9"/>
    </row>
    <row r="2988" spans="1:1" ht="15.75" customHeight="1" thickBot="1" x14ac:dyDescent="0.3">
      <c r="A2988" s="9"/>
    </row>
    <row r="2989" spans="1:1" ht="15.75" customHeight="1" thickBot="1" x14ac:dyDescent="0.3">
      <c r="A2989" s="9"/>
    </row>
    <row r="2990" spans="1:1" ht="15.75" customHeight="1" thickBot="1" x14ac:dyDescent="0.3">
      <c r="A2990" s="9"/>
    </row>
    <row r="2991" spans="1:1" ht="15.75" customHeight="1" thickBot="1" x14ac:dyDescent="0.3">
      <c r="A2991" s="9"/>
    </row>
    <row r="2992" spans="1:1" ht="15.75" customHeight="1" thickBot="1" x14ac:dyDescent="0.3">
      <c r="A2992" s="9"/>
    </row>
    <row r="2993" spans="1:1" ht="15.75" customHeight="1" thickBot="1" x14ac:dyDescent="0.3">
      <c r="A2993" s="9"/>
    </row>
    <row r="2994" spans="1:1" ht="15.75" customHeight="1" thickBot="1" x14ac:dyDescent="0.3">
      <c r="A2994" s="9"/>
    </row>
    <row r="2995" spans="1:1" ht="15.75" customHeight="1" thickBot="1" x14ac:dyDescent="0.3">
      <c r="A2995" s="9"/>
    </row>
    <row r="2996" spans="1:1" ht="15.75" customHeight="1" thickBot="1" x14ac:dyDescent="0.3">
      <c r="A2996" s="9"/>
    </row>
    <row r="2997" spans="1:1" ht="15.75" customHeight="1" thickBot="1" x14ac:dyDescent="0.3">
      <c r="A2997" s="9"/>
    </row>
    <row r="2998" spans="1:1" ht="15.75" customHeight="1" thickBot="1" x14ac:dyDescent="0.3">
      <c r="A2998" s="9"/>
    </row>
    <row r="2999" spans="1:1" ht="15.75" customHeight="1" thickBot="1" x14ac:dyDescent="0.3">
      <c r="A2999" s="9"/>
    </row>
    <row r="3000" spans="1:1" ht="15.75" customHeight="1" thickBot="1" x14ac:dyDescent="0.3">
      <c r="A3000" s="9"/>
    </row>
    <row r="3001" spans="1:1" ht="15.75" customHeight="1" thickBot="1" x14ac:dyDescent="0.3">
      <c r="A3001" s="9"/>
    </row>
    <row r="3002" spans="1:1" ht="15.75" customHeight="1" thickBot="1" x14ac:dyDescent="0.3">
      <c r="A3002" s="9"/>
    </row>
    <row r="3003" spans="1:1" ht="15.75" customHeight="1" thickBot="1" x14ac:dyDescent="0.3">
      <c r="A3003" s="9"/>
    </row>
    <row r="3004" spans="1:1" ht="15.75" customHeight="1" thickBot="1" x14ac:dyDescent="0.3">
      <c r="A3004" s="9"/>
    </row>
    <row r="3005" spans="1:1" ht="15.75" customHeight="1" thickBot="1" x14ac:dyDescent="0.3">
      <c r="A3005" s="9"/>
    </row>
    <row r="3006" spans="1:1" ht="15.75" customHeight="1" thickBot="1" x14ac:dyDescent="0.3">
      <c r="A3006" s="9"/>
    </row>
    <row r="3007" spans="1:1" ht="15.75" customHeight="1" thickBot="1" x14ac:dyDescent="0.3">
      <c r="A3007" s="9"/>
    </row>
    <row r="3008" spans="1:1" ht="15.75" customHeight="1" thickBot="1" x14ac:dyDescent="0.3">
      <c r="A3008" s="9"/>
    </row>
    <row r="3009" spans="1:1" ht="15.75" customHeight="1" thickBot="1" x14ac:dyDescent="0.3">
      <c r="A3009" s="9"/>
    </row>
    <row r="3010" spans="1:1" ht="15.75" customHeight="1" thickBot="1" x14ac:dyDescent="0.3">
      <c r="A3010" s="9"/>
    </row>
    <row r="3011" spans="1:1" ht="15.75" customHeight="1" thickBot="1" x14ac:dyDescent="0.3">
      <c r="A3011" s="9"/>
    </row>
    <row r="3012" spans="1:1" ht="15.75" customHeight="1" thickBot="1" x14ac:dyDescent="0.3">
      <c r="A3012" s="9"/>
    </row>
    <row r="3013" spans="1:1" ht="15.75" customHeight="1" thickBot="1" x14ac:dyDescent="0.3">
      <c r="A3013" s="9"/>
    </row>
    <row r="3014" spans="1:1" ht="15.75" customHeight="1" thickBot="1" x14ac:dyDescent="0.3">
      <c r="A3014" s="9"/>
    </row>
    <row r="3015" spans="1:1" ht="15.75" customHeight="1" thickBot="1" x14ac:dyDescent="0.3">
      <c r="A3015" s="9"/>
    </row>
    <row r="3016" spans="1:1" ht="15.75" customHeight="1" thickBot="1" x14ac:dyDescent="0.3">
      <c r="A3016" s="9"/>
    </row>
    <row r="3017" spans="1:1" ht="15.75" customHeight="1" thickBot="1" x14ac:dyDescent="0.3">
      <c r="A3017" s="9"/>
    </row>
    <row r="3018" spans="1:1" ht="15.75" customHeight="1" thickBot="1" x14ac:dyDescent="0.3">
      <c r="A3018" s="9"/>
    </row>
    <row r="3019" spans="1:1" ht="15.75" customHeight="1" thickBot="1" x14ac:dyDescent="0.3">
      <c r="A3019" s="9"/>
    </row>
    <row r="3020" spans="1:1" ht="15.75" customHeight="1" thickBot="1" x14ac:dyDescent="0.3">
      <c r="A3020" s="9"/>
    </row>
    <row r="3021" spans="1:1" ht="15.75" customHeight="1" thickBot="1" x14ac:dyDescent="0.3">
      <c r="A3021" s="9"/>
    </row>
    <row r="3022" spans="1:1" ht="15.75" customHeight="1" thickBot="1" x14ac:dyDescent="0.3">
      <c r="A3022" s="9"/>
    </row>
    <row r="3023" spans="1:1" ht="15.75" customHeight="1" thickBot="1" x14ac:dyDescent="0.3">
      <c r="A3023" s="9"/>
    </row>
    <row r="3024" spans="1:1" ht="15.75" customHeight="1" thickBot="1" x14ac:dyDescent="0.3">
      <c r="A3024" s="9"/>
    </row>
    <row r="3025" spans="1:1" ht="15.75" customHeight="1" thickBot="1" x14ac:dyDescent="0.3">
      <c r="A3025" s="9"/>
    </row>
    <row r="3026" spans="1:1" ht="15.75" customHeight="1" thickBot="1" x14ac:dyDescent="0.3">
      <c r="A3026" s="9"/>
    </row>
    <row r="3027" spans="1:1" ht="15.75" customHeight="1" thickBot="1" x14ac:dyDescent="0.3">
      <c r="A3027" s="9"/>
    </row>
    <row r="3028" spans="1:1" ht="15.75" customHeight="1" thickBot="1" x14ac:dyDescent="0.3">
      <c r="A3028" s="9"/>
    </row>
    <row r="3029" spans="1:1" ht="15.75" customHeight="1" thickBot="1" x14ac:dyDescent="0.3">
      <c r="A3029" s="9"/>
    </row>
    <row r="3030" spans="1:1" ht="15.75" customHeight="1" thickBot="1" x14ac:dyDescent="0.3">
      <c r="A3030" s="9"/>
    </row>
    <row r="3031" spans="1:1" ht="15.75" customHeight="1" thickBot="1" x14ac:dyDescent="0.3">
      <c r="A3031" s="9"/>
    </row>
  </sheetData>
  <mergeCells count="2">
    <mergeCell ref="F13:H13"/>
    <mergeCell ref="J13:L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A5724-5C75-4668-886A-EA4B7483101E}">
  <sheetPr>
    <outlinePr summaryBelow="0" summaryRight="0"/>
  </sheetPr>
  <dimension ref="A1:Q3026"/>
  <sheetViews>
    <sheetView workbookViewId="0">
      <selection activeCell="F12" sqref="F12"/>
    </sheetView>
  </sheetViews>
  <sheetFormatPr defaultColWidth="12.6640625" defaultRowHeight="15.75" customHeight="1" x14ac:dyDescent="0.25"/>
  <cols>
    <col min="1" max="1" width="16.33203125" style="13" customWidth="1"/>
    <col min="5" max="5" width="13.21875" bestFit="1" customWidth="1"/>
    <col min="10" max="10" width="12.109375" bestFit="1" customWidth="1"/>
    <col min="13" max="14" width="12.6640625" style="96"/>
  </cols>
  <sheetData>
    <row r="1" spans="1:17" ht="15.75" customHeight="1" x14ac:dyDescent="0.25">
      <c r="F1" s="3" t="s">
        <v>64</v>
      </c>
    </row>
    <row r="2" spans="1:17" ht="15.75" customHeight="1" x14ac:dyDescent="0.25">
      <c r="A2" s="91"/>
      <c r="B2" s="91" t="s">
        <v>3</v>
      </c>
      <c r="C2" s="91" t="s">
        <v>4</v>
      </c>
      <c r="E2" s="18"/>
      <c r="F2" s="19" t="s">
        <v>3</v>
      </c>
      <c r="G2" s="18" t="s">
        <v>4</v>
      </c>
      <c r="H2" s="17" t="s">
        <v>17</v>
      </c>
    </row>
    <row r="3" spans="1:17" ht="15.75" customHeight="1" x14ac:dyDescent="0.25">
      <c r="A3" s="92" t="s">
        <v>18</v>
      </c>
      <c r="B3" s="93">
        <f ca="1">'2.4.'!H6</f>
        <v>1.3642814625805626</v>
      </c>
      <c r="C3" s="93">
        <f ca="1">'2.4.'!I6</f>
        <v>-0.12602182668263742</v>
      </c>
      <c r="E3" s="18" t="s">
        <v>8</v>
      </c>
      <c r="F3" s="22">
        <f>AVERAGE(F12:F72)</f>
        <v>-1.8626758764596115E-3</v>
      </c>
      <c r="G3" s="22">
        <f ca="1">AVERAGE(G12:G72)</f>
        <v>-1.8929927147000372E-3</v>
      </c>
      <c r="H3" s="22">
        <f ca="1">AVERAGE(H12:H72)</f>
        <v>-9.1997461483358633E-4</v>
      </c>
    </row>
    <row r="4" spans="1:17" ht="15.75" customHeight="1" x14ac:dyDescent="0.25">
      <c r="A4" s="92" t="s">
        <v>19</v>
      </c>
      <c r="B4" s="93">
        <f ca="1">'2.4.'!H7</f>
        <v>-5.7111420189092179E-4</v>
      </c>
      <c r="C4" s="93">
        <f ca="1">'2.4.'!I7</f>
        <v>-5.3838208922526109E-4</v>
      </c>
      <c r="E4" s="18" t="s">
        <v>9</v>
      </c>
      <c r="F4" s="22">
        <f>_xlfn.STDEV.S(F12:F72)</f>
        <v>2.2001681864655256E-2</v>
      </c>
      <c r="G4" s="22">
        <f ca="1">_xlfn.STDEV.S(G12:G72)</f>
        <v>1.8505633478534008E-2</v>
      </c>
    </row>
    <row r="5" spans="1:17" ht="15.75" customHeight="1" x14ac:dyDescent="0.25">
      <c r="E5" s="23" t="s">
        <v>10</v>
      </c>
      <c r="F5" s="24">
        <f>F4^2</f>
        <v>4.8407400487349996E-4</v>
      </c>
      <c r="G5" s="24">
        <f ca="1">G4^2</f>
        <v>3.4245847044183872E-4</v>
      </c>
    </row>
    <row r="6" spans="1:17" ht="15.75" customHeight="1" x14ac:dyDescent="0.25">
      <c r="A6" s="94" t="s">
        <v>15</v>
      </c>
      <c r="B6" s="93">
        <f>'2.4.'!B9</f>
        <v>4.6428571428571423E-5</v>
      </c>
      <c r="E6" s="17" t="s">
        <v>11</v>
      </c>
      <c r="F6" s="62">
        <f ca="1">_xlfn.COVARIANCE.S(F12:F72,G12:G72)</f>
        <v>2.2976731403150645E-5</v>
      </c>
    </row>
    <row r="7" spans="1:17" ht="15.75" customHeight="1" thickBot="1" x14ac:dyDescent="0.3">
      <c r="A7" s="40"/>
    </row>
    <row r="8" spans="1:17" ht="15.75" customHeight="1" thickBot="1" x14ac:dyDescent="0.3">
      <c r="A8" s="9"/>
    </row>
    <row r="9" spans="1:17" ht="13.95" customHeight="1" thickBot="1" x14ac:dyDescent="0.5">
      <c r="A9" s="9"/>
      <c r="B9" s="1" t="s">
        <v>25</v>
      </c>
      <c r="F9" s="89" t="s">
        <v>7</v>
      </c>
      <c r="G9" s="89"/>
      <c r="H9" s="3"/>
      <c r="J9" s="161" t="s">
        <v>59</v>
      </c>
      <c r="K9" s="161"/>
      <c r="L9" s="3"/>
      <c r="M9" s="160" t="s">
        <v>60</v>
      </c>
      <c r="N9" s="160"/>
      <c r="P9" s="159" t="s">
        <v>61</v>
      </c>
      <c r="Q9" s="159"/>
    </row>
    <row r="10" spans="1:17" s="139" customFormat="1" ht="13.05" customHeight="1" thickBot="1" x14ac:dyDescent="0.3">
      <c r="A10" s="154"/>
      <c r="B10" s="144" t="s">
        <v>3</v>
      </c>
      <c r="C10" s="144" t="s">
        <v>4</v>
      </c>
      <c r="D10" s="144" t="s">
        <v>5</v>
      </c>
      <c r="F10" s="139" t="s">
        <v>3</v>
      </c>
      <c r="G10" s="139" t="s">
        <v>4</v>
      </c>
      <c r="H10" s="139" t="s">
        <v>5</v>
      </c>
      <c r="I10" s="39"/>
      <c r="J10" s="139" t="s">
        <v>3</v>
      </c>
      <c r="K10" s="139" t="s">
        <v>4</v>
      </c>
      <c r="M10" s="140" t="s">
        <v>3</v>
      </c>
      <c r="N10" s="140" t="s">
        <v>4</v>
      </c>
      <c r="P10" s="155" t="s">
        <v>3</v>
      </c>
      <c r="Q10" s="155" t="s">
        <v>4</v>
      </c>
    </row>
    <row r="11" spans="1:17" ht="13.8" thickBot="1" x14ac:dyDescent="0.3">
      <c r="A11" s="12">
        <v>44564.666666666664</v>
      </c>
      <c r="B11" s="4">
        <v>46.18</v>
      </c>
      <c r="C11" s="2">
        <f ca="1">IFERROR(__xludf.DUMMYFUNCTION("""COMPUTED_VALUE"""),55.66)</f>
        <v>55.66</v>
      </c>
      <c r="D11" s="2">
        <f ca="1">IFERROR(__xludf.DUMMYFUNCTION("""COMPUTED_VALUE"""),477.71)</f>
        <v>477.71</v>
      </c>
      <c r="G11" s="2"/>
      <c r="P11" s="141">
        <f ca="1">SUM(M12:M72)</f>
        <v>-1.1922019096615478E-3</v>
      </c>
      <c r="Q11" s="141">
        <f ca="1">SUM(N12:N72)</f>
        <v>-9.2892452596629579E-2</v>
      </c>
    </row>
    <row r="12" spans="1:17" ht="13.8" thickBot="1" x14ac:dyDescent="0.3">
      <c r="A12" s="12">
        <v>44565.666666666664</v>
      </c>
      <c r="B12" s="4">
        <v>47.99</v>
      </c>
      <c r="C12" s="2">
        <f ca="1">IFERROR(__xludf.DUMMYFUNCTION("""COMPUTED_VALUE"""),56.44)</f>
        <v>56.44</v>
      </c>
      <c r="D12" s="2">
        <f ca="1">IFERROR(__xludf.DUMMYFUNCTION("""COMPUTED_VALUE"""),477.55)</f>
        <v>477.55</v>
      </c>
      <c r="F12" s="16">
        <f>LN(B12/B11)</f>
        <v>3.8445851943804961E-2</v>
      </c>
      <c r="G12" s="16">
        <f ca="1">LN(C12/C11)</f>
        <v>1.3916370886868574E-2</v>
      </c>
      <c r="H12" s="16">
        <f ca="1">LN(D12/D11)</f>
        <v>-3.3498733642396797E-4</v>
      </c>
      <c r="J12" s="38">
        <f t="shared" ref="J12:J43" ca="1" si="0">$B$6+$B$3*(H12-$B$6)+$B$4</f>
        <v>-1.045044283078906E-3</v>
      </c>
      <c r="K12" s="38">
        <f t="shared" ref="K12:K43" ca="1" si="1">$B$6+$C$3*(H12-$B$6)+$C$4</f>
        <v>-4.4388678836329614E-4</v>
      </c>
      <c r="L12" s="38"/>
      <c r="M12" s="96">
        <f ca="1">F12-J12</f>
        <v>3.949089622688387E-2</v>
      </c>
      <c r="N12" s="96">
        <f ca="1">G12-K12</f>
        <v>1.436025767523187E-2</v>
      </c>
    </row>
    <row r="13" spans="1:17" ht="13.8" thickBot="1" x14ac:dyDescent="0.3">
      <c r="A13" s="12">
        <v>44566.666666666664</v>
      </c>
      <c r="B13" s="4">
        <v>47.18</v>
      </c>
      <c r="C13" s="2">
        <f ca="1">IFERROR(__xludf.DUMMYFUNCTION("""COMPUTED_VALUE"""),56.44)</f>
        <v>56.44</v>
      </c>
      <c r="D13" s="2">
        <f ca="1">IFERROR(__xludf.DUMMYFUNCTION("""COMPUTED_VALUE"""),468.38)</f>
        <v>468.38</v>
      </c>
      <c r="F13" s="16">
        <f t="shared" ref="F13:F44" si="2">LN(B13/B12)</f>
        <v>-1.7022581890625225E-2</v>
      </c>
      <c r="G13" s="16">
        <f t="shared" ref="G13:G44" ca="1" si="3">LN(C13/C12)</f>
        <v>0</v>
      </c>
      <c r="H13" s="16">
        <f t="shared" ref="H13:H72" ca="1" si="4">LN(D13/D12)</f>
        <v>-1.9388934217042623E-2</v>
      </c>
      <c r="J13" s="38">
        <f t="shared" ca="1" si="0"/>
        <v>-2.7039990801301674E-2</v>
      </c>
      <c r="K13" s="38">
        <f t="shared" ca="1" si="1"/>
        <v>1.9573264030462081E-3</v>
      </c>
      <c r="L13" s="38"/>
      <c r="M13" s="96">
        <f t="shared" ref="M13:M72" ca="1" si="5">F13-J13</f>
        <v>1.0017408910676449E-2</v>
      </c>
      <c r="N13" s="96">
        <f t="shared" ref="N13:N72" ca="1" si="6">G13-K13</f>
        <v>-1.9573264030462081E-3</v>
      </c>
    </row>
    <row r="14" spans="1:17" ht="13.8" thickBot="1" x14ac:dyDescent="0.3">
      <c r="A14" s="12">
        <v>44567.666666666664</v>
      </c>
      <c r="B14" s="4">
        <v>48.13</v>
      </c>
      <c r="C14" s="2">
        <f ca="1">IFERROR(__xludf.DUMMYFUNCTION("""COMPUTED_VALUE"""),57.25)</f>
        <v>57.25</v>
      </c>
      <c r="D14" s="2">
        <f ca="1">IFERROR(__xludf.DUMMYFUNCTION("""COMPUTED_VALUE"""),467.94)</f>
        <v>467.94</v>
      </c>
      <c r="F14" s="16">
        <f t="shared" si="2"/>
        <v>1.9935609335489112E-2</v>
      </c>
      <c r="G14" s="16">
        <f t="shared" ca="1" si="3"/>
        <v>1.4249515449735706E-2</v>
      </c>
      <c r="H14" s="16">
        <f t="shared" ca="1" si="4"/>
        <v>-9.3984969324227357E-4</v>
      </c>
      <c r="J14" s="38">
        <f t="shared" ca="1" si="0"/>
        <v>-1.8702467838989101E-3</v>
      </c>
      <c r="K14" s="38">
        <f t="shared" ca="1" si="1"/>
        <v>-3.6766092926548803E-4</v>
      </c>
      <c r="L14" s="38"/>
      <c r="M14" s="96">
        <f t="shared" ca="1" si="5"/>
        <v>2.1805856119388022E-2</v>
      </c>
      <c r="N14" s="96">
        <f t="shared" ca="1" si="6"/>
        <v>1.4617176379001194E-2</v>
      </c>
    </row>
    <row r="15" spans="1:17" ht="15.75" customHeight="1" thickBot="1" x14ac:dyDescent="0.3">
      <c r="A15" s="12">
        <v>44568.666666666664</v>
      </c>
      <c r="B15" s="4">
        <v>49.18</v>
      </c>
      <c r="C15" s="2">
        <f ca="1">IFERROR(__xludf.DUMMYFUNCTION("""COMPUTED_VALUE"""),58.53)</f>
        <v>58.53</v>
      </c>
      <c r="D15" s="2">
        <f ca="1">IFERROR(__xludf.DUMMYFUNCTION("""COMPUTED_VALUE"""),466.09)</f>
        <v>466.09</v>
      </c>
      <c r="F15" s="16">
        <f t="shared" si="2"/>
        <v>2.1581353473028451E-2</v>
      </c>
      <c r="G15" s="16">
        <f t="shared" ca="1" si="3"/>
        <v>2.2111800868780486E-2</v>
      </c>
      <c r="H15" s="16">
        <f t="shared" ca="1" si="4"/>
        <v>-3.9613340453915338E-3</v>
      </c>
      <c r="J15" s="38">
        <f t="shared" ca="1" si="0"/>
        <v>-5.992401875013386E-3</v>
      </c>
      <c r="K15" s="38">
        <f t="shared" ca="1" si="1"/>
        <v>1.3112048085366979E-5</v>
      </c>
      <c r="L15" s="38"/>
      <c r="M15" s="96">
        <f t="shared" ca="1" si="5"/>
        <v>2.7573755348041837E-2</v>
      </c>
      <c r="N15" s="96">
        <f t="shared" ca="1" si="6"/>
        <v>2.2098688820695118E-2</v>
      </c>
    </row>
    <row r="16" spans="1:17" ht="15.75" customHeight="1" thickBot="1" x14ac:dyDescent="0.3">
      <c r="A16" s="12">
        <v>44571.666666666664</v>
      </c>
      <c r="B16" s="4">
        <v>48.93</v>
      </c>
      <c r="C16" s="2">
        <f ca="1">IFERROR(__xludf.DUMMYFUNCTION("""COMPUTED_VALUE"""),58.18)</f>
        <v>58.18</v>
      </c>
      <c r="D16" s="2">
        <f ca="1">IFERROR(__xludf.DUMMYFUNCTION("""COMPUTED_VALUE"""),465.51)</f>
        <v>465.51</v>
      </c>
      <c r="F16" s="16">
        <f t="shared" si="2"/>
        <v>-5.0963314870143403E-3</v>
      </c>
      <c r="G16" s="16">
        <f t="shared" ca="1" si="3"/>
        <v>-5.9977902360739809E-3</v>
      </c>
      <c r="H16" s="16">
        <f t="shared" ca="1" si="4"/>
        <v>-1.2451697615678227E-3</v>
      </c>
      <c r="J16" s="38">
        <f t="shared" ca="1" si="0"/>
        <v>-2.2867892932692873E-3</v>
      </c>
      <c r="K16" s="38">
        <f t="shared" ca="1" si="1"/>
        <v>-3.2918393653223467E-4</v>
      </c>
      <c r="L16" s="38"/>
      <c r="M16" s="96">
        <f t="shared" ca="1" si="5"/>
        <v>-2.8095421937450529E-3</v>
      </c>
      <c r="N16" s="96">
        <f t="shared" ca="1" si="6"/>
        <v>-5.6686062995417461E-3</v>
      </c>
    </row>
    <row r="17" spans="1:14" ht="15.75" customHeight="1" thickBot="1" x14ac:dyDescent="0.3">
      <c r="A17" s="12">
        <v>44572.666666666664</v>
      </c>
      <c r="B17" s="4">
        <v>49.21</v>
      </c>
      <c r="C17" s="2">
        <f ca="1">IFERROR(__xludf.DUMMYFUNCTION("""COMPUTED_VALUE"""),58.65)</f>
        <v>58.65</v>
      </c>
      <c r="D17" s="2">
        <f ca="1">IFERROR(__xludf.DUMMYFUNCTION("""COMPUTED_VALUE"""),469.75)</f>
        <v>469.75</v>
      </c>
      <c r="F17" s="16">
        <f t="shared" si="2"/>
        <v>5.7061495768546888E-3</v>
      </c>
      <c r="G17" s="16">
        <f t="shared" ca="1" si="3"/>
        <v>8.0459220324287876E-3</v>
      </c>
      <c r="H17" s="16">
        <f t="shared" ca="1" si="4"/>
        <v>9.067059530072372E-3</v>
      </c>
      <c r="J17" s="38">
        <f t="shared" ca="1" si="0"/>
        <v>1.1781993967195717E-2</v>
      </c>
      <c r="K17" s="38">
        <f t="shared" ca="1" si="1"/>
        <v>-1.628749909034932E-3</v>
      </c>
      <c r="L17" s="38"/>
      <c r="M17" s="96">
        <f t="shared" ca="1" si="5"/>
        <v>-6.0758443903410281E-3</v>
      </c>
      <c r="N17" s="96">
        <f t="shared" ca="1" si="6"/>
        <v>9.6746719414637188E-3</v>
      </c>
    </row>
    <row r="18" spans="1:14" ht="15.75" customHeight="1" thickBot="1" x14ac:dyDescent="0.3">
      <c r="A18" s="12">
        <v>44573.666666666664</v>
      </c>
      <c r="B18" s="4">
        <v>48.86</v>
      </c>
      <c r="C18" s="2">
        <f ca="1">IFERROR(__xludf.DUMMYFUNCTION("""COMPUTED_VALUE"""),58.93)</f>
        <v>58.93</v>
      </c>
      <c r="D18" s="2">
        <f ca="1">IFERROR(__xludf.DUMMYFUNCTION("""COMPUTED_VALUE"""),471.02)</f>
        <v>471.02</v>
      </c>
      <c r="F18" s="16">
        <f t="shared" si="2"/>
        <v>-7.137789048292406E-3</v>
      </c>
      <c r="G18" s="16">
        <f t="shared" ca="1" si="3"/>
        <v>4.7627237503374718E-3</v>
      </c>
      <c r="H18" s="16">
        <f t="shared" ca="1" si="4"/>
        <v>2.6999176663325985E-3</v>
      </c>
      <c r="J18" s="38">
        <f t="shared" ca="1" si="0"/>
        <v>3.0954203528748892E-3</v>
      </c>
      <c r="K18" s="38">
        <f t="shared" ca="1" si="1"/>
        <v>-8.2635106061895345E-4</v>
      </c>
      <c r="L18" s="38"/>
      <c r="M18" s="96">
        <f t="shared" ca="1" si="5"/>
        <v>-1.0233209401167296E-2</v>
      </c>
      <c r="N18" s="96">
        <f t="shared" ca="1" si="6"/>
        <v>5.5890748109564256E-3</v>
      </c>
    </row>
    <row r="19" spans="1:14" ht="15.75" customHeight="1" thickBot="1" x14ac:dyDescent="0.3">
      <c r="A19" s="12">
        <v>44574.666666666664</v>
      </c>
      <c r="B19" s="4">
        <v>48.76</v>
      </c>
      <c r="C19" s="2">
        <f ca="1">IFERROR(__xludf.DUMMYFUNCTION("""COMPUTED_VALUE"""),58.98)</f>
        <v>58.98</v>
      </c>
      <c r="D19" s="2">
        <f ca="1">IFERROR(__xludf.DUMMYFUNCTION("""COMPUTED_VALUE"""),464.53)</f>
        <v>464.53</v>
      </c>
      <c r="F19" s="16">
        <f t="shared" si="2"/>
        <v>-2.0487612165236298E-3</v>
      </c>
      <c r="G19" s="16">
        <f t="shared" ca="1" si="3"/>
        <v>8.4810453730817486E-4</v>
      </c>
      <c r="H19" s="16">
        <f t="shared" ca="1" si="4"/>
        <v>-1.3874414215684552E-2</v>
      </c>
      <c r="J19" s="38">
        <f t="shared" ca="1" si="0"/>
        <v>-1.9516633388419118E-2</v>
      </c>
      <c r="K19" s="38">
        <f t="shared" ca="1" si="1"/>
        <v>1.2623765191971236E-3</v>
      </c>
      <c r="L19" s="38"/>
      <c r="M19" s="96">
        <f t="shared" ca="1" si="5"/>
        <v>1.746787217189549E-2</v>
      </c>
      <c r="N19" s="96">
        <f t="shared" ca="1" si="6"/>
        <v>-4.1427198188894875E-4</v>
      </c>
    </row>
    <row r="20" spans="1:14" ht="15.75" customHeight="1" thickBot="1" x14ac:dyDescent="0.3">
      <c r="A20" s="12">
        <v>44575.666666666664</v>
      </c>
      <c r="B20" s="4">
        <v>47.91</v>
      </c>
      <c r="C20" s="2">
        <f ca="1">IFERROR(__xludf.DUMMYFUNCTION("""COMPUTED_VALUE"""),57.71)</f>
        <v>57.71</v>
      </c>
      <c r="D20" s="2">
        <f ca="1">IFERROR(__xludf.DUMMYFUNCTION("""COMPUTED_VALUE"""),464.72)</f>
        <v>464.72</v>
      </c>
      <c r="F20" s="16">
        <f t="shared" si="2"/>
        <v>-1.7586053718040076E-2</v>
      </c>
      <c r="G20" s="16">
        <f t="shared" ca="1" si="3"/>
        <v>-2.1767934664255112E-2</v>
      </c>
      <c r="H20" s="16">
        <f t="shared" ca="1" si="4"/>
        <v>4.0893194005450409E-4</v>
      </c>
      <c r="J20" s="38">
        <f t="shared" ca="1" si="0"/>
        <v>-3.0129004522982191E-5</v>
      </c>
      <c r="K20" s="38">
        <f t="shared" ca="1" si="1"/>
        <v>-5.3763685448953921E-4</v>
      </c>
      <c r="L20" s="38"/>
      <c r="M20" s="96">
        <f t="shared" ca="1" si="5"/>
        <v>-1.7555924713517093E-2</v>
      </c>
      <c r="N20" s="96">
        <f t="shared" ca="1" si="6"/>
        <v>-2.1230297809765573E-2</v>
      </c>
    </row>
    <row r="21" spans="1:14" ht="15.75" customHeight="1" thickBot="1" x14ac:dyDescent="0.3">
      <c r="A21" s="12">
        <v>44579.666666666664</v>
      </c>
      <c r="B21" s="4">
        <v>46.26</v>
      </c>
      <c r="C21" s="2">
        <f ca="1">IFERROR(__xludf.DUMMYFUNCTION("""COMPUTED_VALUE"""),58.76)</f>
        <v>58.76</v>
      </c>
      <c r="D21" s="2">
        <f ca="1">IFERROR(__xludf.DUMMYFUNCTION("""COMPUTED_VALUE"""),456.49)</f>
        <v>456.49</v>
      </c>
      <c r="F21" s="16">
        <f t="shared" si="2"/>
        <v>-3.5046594091737604E-2</v>
      </c>
      <c r="G21" s="16">
        <f t="shared" ca="1" si="3"/>
        <v>1.8030882582801552E-2</v>
      </c>
      <c r="H21" s="16">
        <f t="shared" ca="1" si="4"/>
        <v>-1.7868279694227964E-2</v>
      </c>
      <c r="J21" s="38">
        <f t="shared" ca="1" si="0"/>
        <v>-2.4965390024836342E-2</v>
      </c>
      <c r="K21" s="38">
        <f t="shared" ca="1" si="1"/>
        <v>1.7656907423278902E-3</v>
      </c>
      <c r="L21" s="38"/>
      <c r="M21" s="96">
        <f t="shared" ca="1" si="5"/>
        <v>-1.0081204066901262E-2</v>
      </c>
      <c r="N21" s="96">
        <f t="shared" ca="1" si="6"/>
        <v>1.6265191840473661E-2</v>
      </c>
    </row>
    <row r="22" spans="1:14" ht="15.75" customHeight="1" thickBot="1" x14ac:dyDescent="0.3">
      <c r="A22" s="12">
        <v>44580.666666666664</v>
      </c>
      <c r="B22" s="4">
        <v>46.44</v>
      </c>
      <c r="C22" s="2">
        <f ca="1">IFERROR(__xludf.DUMMYFUNCTION("""COMPUTED_VALUE"""),57.94)</f>
        <v>57.94</v>
      </c>
      <c r="D22" s="2">
        <f ca="1">IFERROR(__xludf.DUMMYFUNCTION("""COMPUTED_VALUE"""),451.75)</f>
        <v>451.75</v>
      </c>
      <c r="F22" s="16">
        <f t="shared" si="2"/>
        <v>3.8835000263976122E-3</v>
      </c>
      <c r="G22" s="16">
        <f t="shared" ca="1" si="3"/>
        <v>-1.4053358964472167E-2</v>
      </c>
      <c r="H22" s="16">
        <f t="shared" ca="1" si="4"/>
        <v>-1.0437864517711328E-2</v>
      </c>
      <c r="J22" s="38">
        <f t="shared" ca="1" si="0"/>
        <v>-1.4828212340237418E-2</v>
      </c>
      <c r="K22" s="38">
        <f t="shared" ca="1" si="1"/>
        <v>8.2929624877287208E-4</v>
      </c>
      <c r="L22" s="38"/>
      <c r="M22" s="96">
        <f t="shared" ca="1" si="5"/>
        <v>1.871171236663503E-2</v>
      </c>
      <c r="N22" s="96">
        <f t="shared" ca="1" si="6"/>
        <v>-1.488265521324504E-2</v>
      </c>
    </row>
    <row r="23" spans="1:14" ht="15.75" customHeight="1" thickBot="1" x14ac:dyDescent="0.3">
      <c r="A23" s="12">
        <v>44581.666666666664</v>
      </c>
      <c r="B23" s="4">
        <v>45.75</v>
      </c>
      <c r="C23" s="2">
        <f ca="1">IFERROR(__xludf.DUMMYFUNCTION("""COMPUTED_VALUE"""),57)</f>
        <v>57</v>
      </c>
      <c r="D23" s="2">
        <f ca="1">IFERROR(__xludf.DUMMYFUNCTION("""COMPUTED_VALUE"""),446.75)</f>
        <v>446.75</v>
      </c>
      <c r="F23" s="16">
        <f t="shared" si="2"/>
        <v>-1.4969365108160378E-2</v>
      </c>
      <c r="G23" s="16">
        <f t="shared" ca="1" si="3"/>
        <v>-1.635672450665418E-2</v>
      </c>
      <c r="H23" s="16">
        <f t="shared" ca="1" si="4"/>
        <v>-1.1129775432800469E-2</v>
      </c>
      <c r="J23" s="38">
        <f t="shared" ca="1" si="0"/>
        <v>-1.5772173575450688E-2</v>
      </c>
      <c r="K23" s="38">
        <f t="shared" ca="1" si="1"/>
        <v>9.1649212619406093E-4</v>
      </c>
      <c r="L23" s="38"/>
      <c r="M23" s="96">
        <f t="shared" ca="1" si="5"/>
        <v>8.0280846729030922E-4</v>
      </c>
      <c r="N23" s="96">
        <f t="shared" ca="1" si="6"/>
        <v>-1.727321663284824E-2</v>
      </c>
    </row>
    <row r="24" spans="1:14" ht="13.8" thickBot="1" x14ac:dyDescent="0.3">
      <c r="A24" s="12">
        <v>44582.666666666664</v>
      </c>
      <c r="B24" s="4">
        <v>44.92</v>
      </c>
      <c r="C24" s="2">
        <f ca="1">IFERROR(__xludf.DUMMYFUNCTION("""COMPUTED_VALUE"""),57.52)</f>
        <v>57.52</v>
      </c>
      <c r="D24" s="2">
        <f ca="1">IFERROR(__xludf.DUMMYFUNCTION("""COMPUTED_VALUE"""),437.98)</f>
        <v>437.98</v>
      </c>
      <c r="F24" s="16">
        <f t="shared" si="2"/>
        <v>-1.8308661851287902E-2</v>
      </c>
      <c r="G24" s="16">
        <f t="shared" ca="1" si="3"/>
        <v>9.0814455782412141E-3</v>
      </c>
      <c r="H24" s="16">
        <f t="shared" ca="1" si="4"/>
        <v>-1.9825906806093339E-2</v>
      </c>
      <c r="J24" s="38">
        <f t="shared" ca="1" si="0"/>
        <v>-2.7636144404199398E-2</v>
      </c>
      <c r="K24" s="38">
        <f t="shared" ca="1" si="1"/>
        <v>2.0123944869286205E-3</v>
      </c>
      <c r="L24" s="38"/>
      <c r="M24" s="96">
        <f t="shared" ca="1" si="5"/>
        <v>9.3274825529114959E-3</v>
      </c>
      <c r="N24" s="96">
        <f t="shared" ca="1" si="6"/>
        <v>7.0690510913125936E-3</v>
      </c>
    </row>
    <row r="25" spans="1:14" ht="13.8" thickBot="1" x14ac:dyDescent="0.3">
      <c r="A25" s="12">
        <v>44585.666666666664</v>
      </c>
      <c r="B25" s="4">
        <v>44.55</v>
      </c>
      <c r="C25" s="2">
        <f ca="1">IFERROR(__xludf.DUMMYFUNCTION("""COMPUTED_VALUE"""),56.58)</f>
        <v>56.58</v>
      </c>
      <c r="D25" s="2">
        <f ca="1">IFERROR(__xludf.DUMMYFUNCTION("""COMPUTED_VALUE"""),439.84)</f>
        <v>439.84</v>
      </c>
      <c r="F25" s="16">
        <f t="shared" si="2"/>
        <v>-8.2709759534241797E-3</v>
      </c>
      <c r="G25" s="16">
        <f t="shared" ca="1" si="3"/>
        <v>-1.6477147539370185E-2</v>
      </c>
      <c r="H25" s="16">
        <f t="shared" ca="1" si="4"/>
        <v>4.2377771834913825E-3</v>
      </c>
      <c r="J25" s="38">
        <f t="shared" ca="1" si="0"/>
        <v>5.1934935841877125E-3</v>
      </c>
      <c r="K25" s="38">
        <f t="shared" ca="1" si="1"/>
        <v>-1.0201549261525823E-3</v>
      </c>
      <c r="L25" s="38"/>
      <c r="M25" s="96">
        <f t="shared" ca="1" si="5"/>
        <v>-1.3464469537611892E-2</v>
      </c>
      <c r="N25" s="96">
        <f t="shared" ca="1" si="6"/>
        <v>-1.5456992613217603E-2</v>
      </c>
    </row>
    <row r="26" spans="1:14" ht="13.8" thickBot="1" x14ac:dyDescent="0.3">
      <c r="A26" s="12">
        <v>44586.666666666664</v>
      </c>
      <c r="B26" s="4">
        <v>45.43</v>
      </c>
      <c r="C26" s="2">
        <f ca="1">IFERROR(__xludf.DUMMYFUNCTION("""COMPUTED_VALUE"""),54.02)</f>
        <v>54.02</v>
      </c>
      <c r="D26" s="2">
        <f ca="1">IFERROR(__xludf.DUMMYFUNCTION("""COMPUTED_VALUE"""),434.47)</f>
        <v>434.47</v>
      </c>
      <c r="F26" s="16">
        <f t="shared" si="2"/>
        <v>1.9560525854493572E-2</v>
      </c>
      <c r="G26" s="16">
        <f t="shared" ca="1" si="3"/>
        <v>-4.6301217508951491E-2</v>
      </c>
      <c r="H26" s="16">
        <f t="shared" ca="1" si="4"/>
        <v>-1.2284126974367588E-2</v>
      </c>
      <c r="J26" s="38">
        <f t="shared" ca="1" si="0"/>
        <v>-1.7347033984912E-2</v>
      </c>
      <c r="K26" s="38">
        <f t="shared" ca="1" si="1"/>
        <v>1.0619656160962678E-3</v>
      </c>
      <c r="L26" s="38"/>
      <c r="M26" s="96">
        <f t="shared" ca="1" si="5"/>
        <v>3.6907559839405572E-2</v>
      </c>
      <c r="N26" s="96">
        <f t="shared" ca="1" si="6"/>
        <v>-4.736318312504776E-2</v>
      </c>
    </row>
    <row r="27" spans="1:14" ht="13.8" thickBot="1" x14ac:dyDescent="0.3">
      <c r="A27" s="12">
        <v>44587.666666666664</v>
      </c>
      <c r="B27" s="4">
        <v>45.9</v>
      </c>
      <c r="C27" s="2">
        <f ca="1">IFERROR(__xludf.DUMMYFUNCTION("""COMPUTED_VALUE"""),55.75)</f>
        <v>55.75</v>
      </c>
      <c r="D27" s="2">
        <f ca="1">IFERROR(__xludf.DUMMYFUNCTION("""COMPUTED_VALUE"""),433.38)</f>
        <v>433.38</v>
      </c>
      <c r="F27" s="16">
        <f t="shared" si="2"/>
        <v>1.0292437295187466E-2</v>
      </c>
      <c r="G27" s="16">
        <f t="shared" ca="1" si="3"/>
        <v>3.1523061975758666E-2</v>
      </c>
      <c r="H27" s="16">
        <f t="shared" ca="1" si="4"/>
        <v>-2.5119561517574704E-3</v>
      </c>
      <c r="J27" s="38">
        <f t="shared" ca="1" si="0"/>
        <v>-4.0150424824543715E-3</v>
      </c>
      <c r="K27" s="38">
        <f t="shared" ca="1" si="1"/>
        <v>-1.6954120162383096E-4</v>
      </c>
      <c r="L27" s="38"/>
      <c r="M27" s="96">
        <f t="shared" ca="1" si="5"/>
        <v>1.4307479777641838E-2</v>
      </c>
      <c r="N27" s="96">
        <f t="shared" ca="1" si="6"/>
        <v>3.1692603177382497E-2</v>
      </c>
    </row>
    <row r="28" spans="1:14" ht="13.8" thickBot="1" x14ac:dyDescent="0.3">
      <c r="A28" s="12">
        <v>44588.666666666664</v>
      </c>
      <c r="B28" s="4">
        <v>45.47</v>
      </c>
      <c r="C28" s="2">
        <f ca="1">IFERROR(__xludf.DUMMYFUNCTION("""COMPUTED_VALUE"""),58.02)</f>
        <v>58.02</v>
      </c>
      <c r="D28" s="2">
        <f ca="1">IFERROR(__xludf.DUMMYFUNCTION("""COMPUTED_VALUE"""),431.24)</f>
        <v>431.24</v>
      </c>
      <c r="F28" s="16">
        <f t="shared" si="2"/>
        <v>-9.4123492295802823E-3</v>
      </c>
      <c r="G28" s="16">
        <f t="shared" ca="1" si="3"/>
        <v>3.9910368353029795E-2</v>
      </c>
      <c r="H28" s="16">
        <f t="shared" ca="1" si="4"/>
        <v>-4.9501616198932364E-3</v>
      </c>
      <c r="J28" s="38">
        <f t="shared" ca="1" si="0"/>
        <v>-7.3414410045945589E-3</v>
      </c>
      <c r="K28" s="38">
        <f t="shared" ca="1" si="1"/>
        <v>1.377259052982333E-4</v>
      </c>
      <c r="L28" s="38"/>
      <c r="M28" s="96">
        <f t="shared" ca="1" si="5"/>
        <v>-2.0709082249857234E-3</v>
      </c>
      <c r="N28" s="96">
        <f t="shared" ca="1" si="6"/>
        <v>3.9772642447731564E-2</v>
      </c>
    </row>
    <row r="29" spans="1:14" ht="13.8" thickBot="1" x14ac:dyDescent="0.3">
      <c r="A29" s="12">
        <v>44589.666666666664</v>
      </c>
      <c r="B29" s="4">
        <v>45.87</v>
      </c>
      <c r="C29" s="2">
        <f ca="1">IFERROR(__xludf.DUMMYFUNCTION("""COMPUTED_VALUE"""),58.34)</f>
        <v>58.34</v>
      </c>
      <c r="D29" s="2">
        <f ca="1">IFERROR(__xludf.DUMMYFUNCTION("""COMPUTED_VALUE"""),441.95)</f>
        <v>441.95</v>
      </c>
      <c r="F29" s="16">
        <f t="shared" si="2"/>
        <v>8.7585407721614446E-3</v>
      </c>
      <c r="G29" s="16">
        <f t="shared" ca="1" si="3"/>
        <v>5.5001857463173355E-3</v>
      </c>
      <c r="H29" s="16">
        <f t="shared" ca="1" si="4"/>
        <v>2.4531973836039653E-2</v>
      </c>
      <c r="J29" s="38">
        <f t="shared" ca="1" si="0"/>
        <v>3.2880489875223823E-2</v>
      </c>
      <c r="K29" s="38">
        <f t="shared" ca="1" si="1"/>
        <v>-3.5776666593633809E-3</v>
      </c>
      <c r="L29" s="38"/>
      <c r="M29" s="96">
        <f t="shared" ca="1" si="5"/>
        <v>-2.4121949103062378E-2</v>
      </c>
      <c r="N29" s="96">
        <f t="shared" ca="1" si="6"/>
        <v>9.0778524056807156E-3</v>
      </c>
    </row>
    <row r="30" spans="1:14" ht="13.8" thickBot="1" x14ac:dyDescent="0.3">
      <c r="A30" s="12">
        <v>44592.666666666664</v>
      </c>
      <c r="B30" s="4">
        <v>46.14</v>
      </c>
      <c r="C30" s="2">
        <f ca="1">IFERROR(__xludf.DUMMYFUNCTION("""COMPUTED_VALUE"""),57.18)</f>
        <v>57.18</v>
      </c>
      <c r="D30" s="2">
        <f ca="1">IFERROR(__xludf.DUMMYFUNCTION("""COMPUTED_VALUE"""),449.91)</f>
        <v>449.91</v>
      </c>
      <c r="F30" s="16">
        <f t="shared" si="2"/>
        <v>5.868944136526966E-3</v>
      </c>
      <c r="G30" s="16">
        <f t="shared" ca="1" si="3"/>
        <v>-2.0083777545409704E-2</v>
      </c>
      <c r="H30" s="16">
        <f t="shared" ca="1" si="4"/>
        <v>1.7850809254741543E-2</v>
      </c>
      <c r="J30" s="38">
        <f t="shared" ca="1" si="0"/>
        <v>2.3765500888508987E-2</v>
      </c>
      <c r="K30" s="38">
        <f t="shared" ca="1" si="1"/>
        <v>-2.7356940944608544E-3</v>
      </c>
      <c r="L30" s="38"/>
      <c r="M30" s="96">
        <f t="shared" ca="1" si="5"/>
        <v>-1.7896556751982019E-2</v>
      </c>
      <c r="N30" s="96">
        <f t="shared" ca="1" si="6"/>
        <v>-1.7348083450948848E-2</v>
      </c>
    </row>
    <row r="31" spans="1:14" ht="13.8" thickBot="1" x14ac:dyDescent="0.3">
      <c r="A31" s="12">
        <v>44593.666666666664</v>
      </c>
      <c r="B31" s="4">
        <v>46.94</v>
      </c>
      <c r="C31" s="2">
        <f ca="1">IFERROR(__xludf.DUMMYFUNCTION("""COMPUTED_VALUE"""),57.34)</f>
        <v>57.34</v>
      </c>
      <c r="D31" s="2">
        <f ca="1">IFERROR(__xludf.DUMMYFUNCTION("""COMPUTED_VALUE"""),452.95)</f>
        <v>452.95</v>
      </c>
      <c r="F31" s="16">
        <f t="shared" si="2"/>
        <v>1.7189937677269704E-2</v>
      </c>
      <c r="G31" s="16">
        <f t="shared" ca="1" si="3"/>
        <v>2.7942735610580007E-3</v>
      </c>
      <c r="H31" s="16">
        <f t="shared" ca="1" si="4"/>
        <v>6.7341813535983465E-3</v>
      </c>
      <c r="J31" s="38">
        <f t="shared" ca="1" si="0"/>
        <v>8.5992915165734578E-3</v>
      </c>
      <c r="K31" s="38">
        <f t="shared" ca="1" si="1"/>
        <v>-1.3347563398076153E-3</v>
      </c>
      <c r="L31" s="38"/>
      <c r="M31" s="96">
        <f t="shared" ca="1" si="5"/>
        <v>8.5906461606962466E-3</v>
      </c>
      <c r="N31" s="96">
        <f t="shared" ca="1" si="6"/>
        <v>4.1290299008656158E-3</v>
      </c>
    </row>
    <row r="32" spans="1:14" ht="13.8" thickBot="1" x14ac:dyDescent="0.3">
      <c r="A32" s="12">
        <v>44594.666666666664</v>
      </c>
      <c r="B32" s="4">
        <v>46.89</v>
      </c>
      <c r="C32" s="2">
        <f ca="1">IFERROR(__xludf.DUMMYFUNCTION("""COMPUTED_VALUE"""),58.59)</f>
        <v>58.59</v>
      </c>
      <c r="D32" s="2">
        <f ca="1">IFERROR(__xludf.DUMMYFUNCTION("""COMPUTED_VALUE"""),457.35)</f>
        <v>457.35</v>
      </c>
      <c r="F32" s="16">
        <f t="shared" si="2"/>
        <v>-1.0657573213825159E-3</v>
      </c>
      <c r="G32" s="16">
        <f t="shared" ca="1" si="3"/>
        <v>2.1565573101473515E-2</v>
      </c>
      <c r="H32" s="16">
        <f t="shared" ca="1" si="4"/>
        <v>9.6672179870768392E-3</v>
      </c>
      <c r="J32" s="38">
        <f t="shared" ca="1" si="0"/>
        <v>1.2600779024697865E-2</v>
      </c>
      <c r="K32" s="38">
        <f t="shared" ca="1" si="1"/>
        <v>-1.7043829740856682E-3</v>
      </c>
      <c r="L32" s="38"/>
      <c r="M32" s="96">
        <f t="shared" ca="1" si="5"/>
        <v>-1.3666536346080381E-2</v>
      </c>
      <c r="N32" s="96">
        <f t="shared" ca="1" si="6"/>
        <v>2.3269956075559182E-2</v>
      </c>
    </row>
    <row r="33" spans="1:14" ht="13.8" thickBot="1" x14ac:dyDescent="0.3">
      <c r="A33" s="12">
        <v>44595.666666666664</v>
      </c>
      <c r="B33" s="4">
        <v>46.43</v>
      </c>
      <c r="C33" s="2">
        <f ca="1">IFERROR(__xludf.DUMMYFUNCTION("""COMPUTED_VALUE"""),58.07)</f>
        <v>58.07</v>
      </c>
      <c r="D33" s="2">
        <f ca="1">IFERROR(__xludf.DUMMYFUNCTION("""COMPUTED_VALUE"""),446.6)</f>
        <v>446.6</v>
      </c>
      <c r="F33" s="16">
        <f t="shared" si="2"/>
        <v>-9.8586310696645689E-3</v>
      </c>
      <c r="G33" s="16">
        <f t="shared" ca="1" si="3"/>
        <v>-8.9148541727388439E-3</v>
      </c>
      <c r="H33" s="16">
        <f t="shared" ca="1" si="4"/>
        <v>-2.3785622696316028E-2</v>
      </c>
      <c r="J33" s="38">
        <f t="shared" ca="1" si="0"/>
        <v>-3.3038311390315905E-2</v>
      </c>
      <c r="K33" s="38">
        <f t="shared" ca="1" si="1"/>
        <v>2.51140511655875E-3</v>
      </c>
      <c r="L33" s="38"/>
      <c r="M33" s="96">
        <f t="shared" ca="1" si="5"/>
        <v>2.3179680320651336E-2</v>
      </c>
      <c r="N33" s="96">
        <f t="shared" ca="1" si="6"/>
        <v>-1.1426259289297594E-2</v>
      </c>
    </row>
    <row r="34" spans="1:14" ht="13.8" thickBot="1" x14ac:dyDescent="0.3">
      <c r="A34" s="12">
        <v>44596.666666666664</v>
      </c>
      <c r="B34" s="4">
        <v>48.28</v>
      </c>
      <c r="C34" s="2">
        <f ca="1">IFERROR(__xludf.DUMMYFUNCTION("""COMPUTED_VALUE"""),57.77)</f>
        <v>57.77</v>
      </c>
      <c r="D34" s="2">
        <f ca="1">IFERROR(__xludf.DUMMYFUNCTION("""COMPUTED_VALUE"""),448.7)</f>
        <v>448.7</v>
      </c>
      <c r="F34" s="16">
        <f t="shared" si="2"/>
        <v>3.907159419750042E-2</v>
      </c>
      <c r="G34" s="16">
        <f t="shared" ca="1" si="3"/>
        <v>-5.1795695907842377E-3</v>
      </c>
      <c r="H34" s="16">
        <f t="shared" ca="1" si="4"/>
        <v>4.691173575880018E-3</v>
      </c>
      <c r="J34" s="38">
        <f t="shared" ca="1" si="0"/>
        <v>5.8120538775244309E-3</v>
      </c>
      <c r="K34" s="38">
        <f t="shared" ca="1" si="1"/>
        <v>-1.077292767732716E-3</v>
      </c>
      <c r="L34" s="38"/>
      <c r="M34" s="96">
        <f t="shared" ca="1" si="5"/>
        <v>3.3259540319975987E-2</v>
      </c>
      <c r="N34" s="96">
        <f t="shared" ca="1" si="6"/>
        <v>-4.1022768230515212E-3</v>
      </c>
    </row>
    <row r="35" spans="1:14" ht="13.8" thickBot="1" x14ac:dyDescent="0.3">
      <c r="A35" s="12">
        <v>44599.666666666664</v>
      </c>
      <c r="B35" s="4">
        <v>48.51</v>
      </c>
      <c r="C35" s="2">
        <f ca="1">IFERROR(__xludf.DUMMYFUNCTION("""COMPUTED_VALUE"""),56.97)</f>
        <v>56.97</v>
      </c>
      <c r="D35" s="2">
        <f ca="1">IFERROR(__xludf.DUMMYFUNCTION("""COMPUTED_VALUE"""),447.26)</f>
        <v>447.26</v>
      </c>
      <c r="F35" s="16">
        <f t="shared" si="2"/>
        <v>4.7525660277944557E-3</v>
      </c>
      <c r="G35" s="16">
        <f t="shared" ca="1" si="3"/>
        <v>-1.3944796300870086E-2</v>
      </c>
      <c r="H35" s="16">
        <f t="shared" ca="1" si="4"/>
        <v>-3.2144319833665373E-3</v>
      </c>
      <c r="J35" s="38">
        <f t="shared" ca="1" si="0"/>
        <v>-4.9734172374294857E-3</v>
      </c>
      <c r="K35" s="38">
        <f t="shared" ca="1" si="1"/>
        <v>-8.1013914124051524E-5</v>
      </c>
      <c r="L35" s="38"/>
      <c r="M35" s="96">
        <f t="shared" ca="1" si="5"/>
        <v>9.7259832652239406E-3</v>
      </c>
      <c r="N35" s="96">
        <f t="shared" ca="1" si="6"/>
        <v>-1.3863782386746034E-2</v>
      </c>
    </row>
    <row r="36" spans="1:14" ht="13.8" thickBot="1" x14ac:dyDescent="0.3">
      <c r="A36" s="12">
        <v>44600.666666666664</v>
      </c>
      <c r="B36" s="4">
        <v>49.38</v>
      </c>
      <c r="C36" s="2">
        <f ca="1">IFERROR(__xludf.DUMMYFUNCTION("""COMPUTED_VALUE"""),57.7)</f>
        <v>57.7</v>
      </c>
      <c r="D36" s="2">
        <f ca="1">IFERROR(__xludf.DUMMYFUNCTION("""COMPUTED_VALUE"""),450.94)</f>
        <v>450.94</v>
      </c>
      <c r="F36" s="16">
        <f t="shared" si="2"/>
        <v>1.7775521659908474E-2</v>
      </c>
      <c r="G36" s="16">
        <f t="shared" ca="1" si="3"/>
        <v>1.2732360021749834E-2</v>
      </c>
      <c r="H36" s="16">
        <f t="shared" ca="1" si="4"/>
        <v>8.1942119597949326E-3</v>
      </c>
      <c r="J36" s="38">
        <f t="shared" ca="1" si="0"/>
        <v>1.0591184207407721E-2</v>
      </c>
      <c r="K36" s="38">
        <f t="shared" ca="1" si="1"/>
        <v>-1.5187520638130674E-3</v>
      </c>
      <c r="L36" s="38"/>
      <c r="M36" s="96">
        <f t="shared" ca="1" si="5"/>
        <v>7.1843374525007529E-3</v>
      </c>
      <c r="N36" s="96">
        <f t="shared" ca="1" si="6"/>
        <v>1.4251112085562902E-2</v>
      </c>
    </row>
    <row r="37" spans="1:14" ht="13.8" thickBot="1" x14ac:dyDescent="0.3">
      <c r="A37" s="12">
        <v>44601.666666666664</v>
      </c>
      <c r="B37" s="4">
        <v>49.28</v>
      </c>
      <c r="C37" s="2">
        <f ca="1">IFERROR(__xludf.DUMMYFUNCTION("""COMPUTED_VALUE"""),58.68)</f>
        <v>58.68</v>
      </c>
      <c r="D37" s="2">
        <f ca="1">IFERROR(__xludf.DUMMYFUNCTION("""COMPUTED_VALUE"""),457.54)</f>
        <v>457.54</v>
      </c>
      <c r="F37" s="16">
        <f t="shared" si="2"/>
        <v>-2.0271646917691889E-3</v>
      </c>
      <c r="G37" s="16">
        <f t="shared" ca="1" si="3"/>
        <v>1.6841779760727125E-2</v>
      </c>
      <c r="H37" s="16">
        <f t="shared" ca="1" si="4"/>
        <v>1.4530019629271236E-2</v>
      </c>
      <c r="J37" s="38">
        <f t="shared" ca="1" si="0"/>
        <v>1.9235009161349997E-2</v>
      </c>
      <c r="K37" s="38">
        <f t="shared" ca="1" si="1"/>
        <v>-2.3172021198303349E-3</v>
      </c>
      <c r="L37" s="38"/>
      <c r="M37" s="96">
        <f t="shared" ca="1" si="5"/>
        <v>-2.1262173853119185E-2</v>
      </c>
      <c r="N37" s="96">
        <f t="shared" ca="1" si="6"/>
        <v>1.9158981880557459E-2</v>
      </c>
    </row>
    <row r="38" spans="1:14" ht="13.8" thickBot="1" x14ac:dyDescent="0.3">
      <c r="A38" s="12">
        <v>44602.666666666664</v>
      </c>
      <c r="B38" s="4">
        <v>49.05</v>
      </c>
      <c r="C38" s="2">
        <f ca="1">IFERROR(__xludf.DUMMYFUNCTION("""COMPUTED_VALUE"""),59.2)</f>
        <v>59.2</v>
      </c>
      <c r="D38" s="2">
        <f ca="1">IFERROR(__xludf.DUMMYFUNCTION("""COMPUTED_VALUE"""),449.32)</f>
        <v>449.32</v>
      </c>
      <c r="F38" s="16">
        <f t="shared" si="2"/>
        <v>-4.6781332138923172E-3</v>
      </c>
      <c r="G38" s="16">
        <f t="shared" ca="1" si="3"/>
        <v>8.8225886151790771E-3</v>
      </c>
      <c r="H38" s="16">
        <f t="shared" ca="1" si="4"/>
        <v>-1.8128983814268869E-2</v>
      </c>
      <c r="J38" s="38">
        <f t="shared" ca="1" si="0"/>
        <v>-2.5321063823026527E-2</v>
      </c>
      <c r="K38" s="38">
        <f t="shared" ca="1" si="1"/>
        <v>1.7985451517591349E-3</v>
      </c>
      <c r="L38" s="38"/>
      <c r="M38" s="96">
        <f t="shared" ca="1" si="5"/>
        <v>2.0642930609134209E-2</v>
      </c>
      <c r="N38" s="96">
        <f t="shared" ca="1" si="6"/>
        <v>7.024043463419942E-3</v>
      </c>
    </row>
    <row r="39" spans="1:14" ht="13.8" thickBot="1" x14ac:dyDescent="0.3">
      <c r="A39" s="12">
        <v>44603.666666666664</v>
      </c>
      <c r="B39" s="4">
        <v>47.92</v>
      </c>
      <c r="C39" s="2">
        <f ca="1">IFERROR(__xludf.DUMMYFUNCTION("""COMPUTED_VALUE"""),59.25)</f>
        <v>59.25</v>
      </c>
      <c r="D39" s="2">
        <f ca="1">IFERROR(__xludf.DUMMYFUNCTION("""COMPUTED_VALUE"""),440.46)</f>
        <v>440.46</v>
      </c>
      <c r="F39" s="16">
        <f t="shared" si="2"/>
        <v>-2.3307232204178113E-2</v>
      </c>
      <c r="G39" s="16">
        <f t="shared" ca="1" si="3"/>
        <v>8.4423812528049082E-4</v>
      </c>
      <c r="H39" s="16">
        <f t="shared" ca="1" si="4"/>
        <v>-1.9915693422623563E-2</v>
      </c>
      <c r="J39" s="38">
        <f t="shared" ca="1" si="0"/>
        <v>-2.7758638620719412E-2</v>
      </c>
      <c r="K39" s="38">
        <f t="shared" ca="1" si="1"/>
        <v>2.0237095603554134E-3</v>
      </c>
      <c r="L39" s="38"/>
      <c r="M39" s="96">
        <f t="shared" ca="1" si="5"/>
        <v>4.4514064165412995E-3</v>
      </c>
      <c r="N39" s="96">
        <f t="shared" ca="1" si="6"/>
        <v>-1.1794714350749226E-3</v>
      </c>
    </row>
    <row r="40" spans="1:14" ht="13.8" thickBot="1" x14ac:dyDescent="0.3">
      <c r="A40" s="12">
        <v>44606.666666666664</v>
      </c>
      <c r="B40" s="4">
        <v>47.42</v>
      </c>
      <c r="C40" s="2">
        <f ca="1">IFERROR(__xludf.DUMMYFUNCTION("""COMPUTED_VALUE"""),60.52)</f>
        <v>60.52</v>
      </c>
      <c r="D40" s="2">
        <f ca="1">IFERROR(__xludf.DUMMYFUNCTION("""COMPUTED_VALUE"""),439.02)</f>
        <v>439.02</v>
      </c>
      <c r="F40" s="16">
        <f t="shared" si="2"/>
        <v>-1.0488873169934446E-2</v>
      </c>
      <c r="G40" s="16">
        <f t="shared" ca="1" si="3"/>
        <v>2.1208108904914685E-2</v>
      </c>
      <c r="H40" s="16">
        <f t="shared" ca="1" si="4"/>
        <v>-3.2746652267514284E-3</v>
      </c>
      <c r="J40" s="38">
        <f t="shared" ca="1" si="0"/>
        <v>-5.0555923348105962E-3</v>
      </c>
      <c r="K40" s="38">
        <f t="shared" ca="1" si="1"/>
        <v>-7.34232107656677E-5</v>
      </c>
      <c r="L40" s="38"/>
      <c r="M40" s="96">
        <f t="shared" ca="1" si="5"/>
        <v>-5.4332808351238498E-3</v>
      </c>
      <c r="N40" s="96">
        <f t="shared" ca="1" si="6"/>
        <v>2.1281532115680353E-2</v>
      </c>
    </row>
    <row r="41" spans="1:14" ht="13.8" thickBot="1" x14ac:dyDescent="0.3">
      <c r="A41" s="12">
        <v>44607.666666666664</v>
      </c>
      <c r="B41" s="4">
        <v>47.79</v>
      </c>
      <c r="C41" s="2">
        <f ca="1">IFERROR(__xludf.DUMMYFUNCTION("""COMPUTED_VALUE"""),58.62)</f>
        <v>58.62</v>
      </c>
      <c r="D41" s="2">
        <f ca="1">IFERROR(__xludf.DUMMYFUNCTION("""COMPUTED_VALUE"""),446.1)</f>
        <v>446.1</v>
      </c>
      <c r="F41" s="16">
        <f t="shared" si="2"/>
        <v>7.772331952807441E-3</v>
      </c>
      <c r="G41" s="16">
        <f t="shared" ca="1" si="3"/>
        <v>-3.1897953637408938E-2</v>
      </c>
      <c r="H41" s="16">
        <f t="shared" ca="1" si="4"/>
        <v>1.5998172010225478E-2</v>
      </c>
      <c r="J41" s="38">
        <f t="shared" ca="1" si="0"/>
        <v>2.1237982238929386E-2</v>
      </c>
      <c r="K41" s="38">
        <f t="shared" ca="1" si="1"/>
        <v>-2.5022213647266523E-3</v>
      </c>
      <c r="L41" s="38"/>
      <c r="M41" s="96">
        <f t="shared" ca="1" si="5"/>
        <v>-1.3465650286121945E-2</v>
      </c>
      <c r="N41" s="96">
        <f t="shared" ca="1" si="6"/>
        <v>-2.9395732272682287E-2</v>
      </c>
    </row>
    <row r="42" spans="1:14" ht="13.8" thickBot="1" x14ac:dyDescent="0.3">
      <c r="A42" s="12">
        <v>44608.666666666664</v>
      </c>
      <c r="B42" s="4">
        <v>47.68</v>
      </c>
      <c r="C42" s="2">
        <f ca="1">IFERROR(__xludf.DUMMYFUNCTION("""COMPUTED_VALUE"""),59.02)</f>
        <v>59.02</v>
      </c>
      <c r="D42" s="2">
        <f ca="1">IFERROR(__xludf.DUMMYFUNCTION("""COMPUTED_VALUE"""),446.6)</f>
        <v>446.6</v>
      </c>
      <c r="F42" s="16">
        <f t="shared" si="2"/>
        <v>-2.3043898329724779E-3</v>
      </c>
      <c r="G42" s="16">
        <f t="shared" ca="1" si="3"/>
        <v>6.8004342320469981E-3</v>
      </c>
      <c r="H42" s="16">
        <f t="shared" ca="1" si="4"/>
        <v>1.1201972718384212E-3</v>
      </c>
      <c r="J42" s="38">
        <f t="shared" ca="1" si="0"/>
        <v>9.4023710260602948E-4</v>
      </c>
      <c r="K42" s="38">
        <f t="shared" ca="1" si="1"/>
        <v>-6.2727181085698062E-4</v>
      </c>
      <c r="L42" s="38"/>
      <c r="M42" s="96">
        <f t="shared" ca="1" si="5"/>
        <v>-3.2446269355785075E-3</v>
      </c>
      <c r="N42" s="96">
        <f t="shared" ca="1" si="6"/>
        <v>7.427706042903979E-3</v>
      </c>
    </row>
    <row r="43" spans="1:14" ht="13.8" thickBot="1" x14ac:dyDescent="0.3">
      <c r="A43" s="12">
        <v>44609.666666666664</v>
      </c>
      <c r="B43" s="4">
        <v>46.07</v>
      </c>
      <c r="C43" s="2">
        <f ca="1">IFERROR(__xludf.DUMMYFUNCTION("""COMPUTED_VALUE"""),58.81)</f>
        <v>58.81</v>
      </c>
      <c r="D43" s="2">
        <f ca="1">IFERROR(__xludf.DUMMYFUNCTION("""COMPUTED_VALUE"""),437.06)</f>
        <v>437.06</v>
      </c>
      <c r="F43" s="16">
        <f t="shared" si="2"/>
        <v>-3.4350043809268746E-2</v>
      </c>
      <c r="G43" s="16">
        <f t="shared" ca="1" si="3"/>
        <v>-3.5644610429287492E-3</v>
      </c>
      <c r="H43" s="16">
        <f t="shared" ca="1" si="4"/>
        <v>-2.1592853964051223E-2</v>
      </c>
      <c r="J43" s="38">
        <f t="shared" ca="1" si="0"/>
        <v>-3.004675765716075E-2</v>
      </c>
      <c r="K43" s="38">
        <f t="shared" ca="1" si="1"/>
        <v>2.2350683954261681E-3</v>
      </c>
      <c r="L43" s="38"/>
      <c r="M43" s="96">
        <f t="shared" ca="1" si="5"/>
        <v>-4.3032861521079963E-3</v>
      </c>
      <c r="N43" s="96">
        <f t="shared" ca="1" si="6"/>
        <v>-5.7995294383549178E-3</v>
      </c>
    </row>
    <row r="44" spans="1:14" ht="13.8" thickBot="1" x14ac:dyDescent="0.3">
      <c r="A44" s="12">
        <v>44610.666666666664</v>
      </c>
      <c r="B44" s="4">
        <v>45.96</v>
      </c>
      <c r="C44" s="2">
        <f ca="1">IFERROR(__xludf.DUMMYFUNCTION("""COMPUTED_VALUE"""),57.7)</f>
        <v>57.7</v>
      </c>
      <c r="D44" s="2">
        <f ca="1">IFERROR(__xludf.DUMMYFUNCTION("""COMPUTED_VALUE"""),434.23)</f>
        <v>434.23</v>
      </c>
      <c r="F44" s="16">
        <f t="shared" si="2"/>
        <v>-2.3905259672706214E-3</v>
      </c>
      <c r="G44" s="16">
        <f t="shared" ca="1" si="3"/>
        <v>-1.9054734957810737E-2</v>
      </c>
      <c r="H44" s="16">
        <f t="shared" ca="1" si="4"/>
        <v>-6.4961378005348241E-3</v>
      </c>
      <c r="J44" s="38">
        <f t="shared" ref="J44:J72" ca="1" si="7">$B$6+$B$3*(H44-$B$6)+$B$4</f>
        <v>-9.4505876494349762E-3</v>
      </c>
      <c r="K44" s="38">
        <f t="shared" ref="K44:K72" ca="1" si="8">$B$6+$C$3*(H44-$B$6)+$C$4</f>
        <v>3.3255264759053324E-4</v>
      </c>
      <c r="L44" s="38"/>
      <c r="M44" s="96">
        <f t="shared" ca="1" si="5"/>
        <v>7.0600616821643548E-3</v>
      </c>
      <c r="N44" s="96">
        <f t="shared" ca="1" si="6"/>
        <v>-1.938728760540127E-2</v>
      </c>
    </row>
    <row r="45" spans="1:14" ht="13.8" thickBot="1" x14ac:dyDescent="0.3">
      <c r="A45" s="12">
        <v>44614.666666666664</v>
      </c>
      <c r="B45" s="4">
        <v>45.56</v>
      </c>
      <c r="C45" s="2">
        <f ca="1">IFERROR(__xludf.DUMMYFUNCTION("""COMPUTED_VALUE"""),56.57)</f>
        <v>56.57</v>
      </c>
      <c r="D45" s="2">
        <f ca="1">IFERROR(__xludf.DUMMYFUNCTION("""COMPUTED_VALUE"""),429.57)</f>
        <v>429.57</v>
      </c>
      <c r="F45" s="16">
        <f t="shared" ref="F45:F72" si="9">LN(B45/B44)</f>
        <v>-8.7413144015735487E-3</v>
      </c>
      <c r="G45" s="16">
        <f t="shared" ref="G45:G72" ca="1" si="10">LN(C45/C44)</f>
        <v>-1.9778364158989557E-2</v>
      </c>
      <c r="H45" s="16">
        <f t="shared" ca="1" si="4"/>
        <v>-1.0789639287446902E-2</v>
      </c>
      <c r="J45" s="38">
        <f t="shared" ca="1" si="7"/>
        <v>-1.5308132137591206E-2</v>
      </c>
      <c r="K45" s="38">
        <f t="shared" ca="1" si="8"/>
        <v>8.7362754783581326E-4</v>
      </c>
      <c r="L45" s="38"/>
      <c r="M45" s="96">
        <f t="shared" ca="1" si="5"/>
        <v>6.5668177360176574E-3</v>
      </c>
      <c r="N45" s="96">
        <f t="shared" ca="1" si="6"/>
        <v>-2.0651991706825371E-2</v>
      </c>
    </row>
    <row r="46" spans="1:14" ht="13.8" thickBot="1" x14ac:dyDescent="0.3">
      <c r="A46" s="12">
        <v>44615.666666666664</v>
      </c>
      <c r="B46" s="4">
        <v>44.78</v>
      </c>
      <c r="C46" s="2">
        <f ca="1">IFERROR(__xludf.DUMMYFUNCTION("""COMPUTED_VALUE"""),56.36)</f>
        <v>56.36</v>
      </c>
      <c r="D46" s="2">
        <f ca="1">IFERROR(__xludf.DUMMYFUNCTION("""COMPUTED_VALUE"""),421.95)</f>
        <v>421.95</v>
      </c>
      <c r="F46" s="16">
        <f t="shared" si="9"/>
        <v>-1.7268527408372619E-2</v>
      </c>
      <c r="G46" s="16">
        <f t="shared" ca="1" si="10"/>
        <v>-3.719122324584892E-3</v>
      </c>
      <c r="H46" s="16">
        <f t="shared" ca="1" si="4"/>
        <v>-1.7897884750049015E-2</v>
      </c>
      <c r="J46" s="38">
        <f t="shared" ca="1" si="7"/>
        <v>-2.5005779653691666E-2</v>
      </c>
      <c r="K46" s="38">
        <f t="shared" ca="1" si="8"/>
        <v>1.7694216255415005E-3</v>
      </c>
      <c r="L46" s="38"/>
      <c r="M46" s="96">
        <f t="shared" ca="1" si="5"/>
        <v>7.7372522453190463E-3</v>
      </c>
      <c r="N46" s="96">
        <f t="shared" ca="1" si="6"/>
        <v>-5.4885439501263927E-3</v>
      </c>
    </row>
    <row r="47" spans="1:14" ht="13.8" thickBot="1" x14ac:dyDescent="0.3">
      <c r="A47" s="12">
        <v>44616.666666666664</v>
      </c>
      <c r="B47" s="4">
        <v>43.6</v>
      </c>
      <c r="C47" s="2">
        <f ca="1">IFERROR(__xludf.DUMMYFUNCTION("""COMPUTED_VALUE"""),56.34)</f>
        <v>56.34</v>
      </c>
      <c r="D47" s="2">
        <f ca="1">IFERROR(__xludf.DUMMYFUNCTION("""COMPUTED_VALUE"""),428.3)</f>
        <v>428.3</v>
      </c>
      <c r="F47" s="16">
        <f t="shared" si="9"/>
        <v>-2.670446081562014E-2</v>
      </c>
      <c r="G47" s="16">
        <f t="shared" ca="1" si="10"/>
        <v>-3.5492458225283151E-4</v>
      </c>
      <c r="H47" s="16">
        <f t="shared" ca="1" si="4"/>
        <v>1.49370610173498E-2</v>
      </c>
      <c r="J47" s="38">
        <f t="shared" ca="1" si="7"/>
        <v>1.9790328181608644E-2</v>
      </c>
      <c r="K47" s="38">
        <f t="shared" ca="1" si="8"/>
        <v>-2.3684982190914318E-3</v>
      </c>
      <c r="L47" s="38"/>
      <c r="M47" s="96">
        <f t="shared" ca="1" si="5"/>
        <v>-4.6494788997228781E-2</v>
      </c>
      <c r="N47" s="96">
        <f t="shared" ca="1" si="6"/>
        <v>2.0135736368386004E-3</v>
      </c>
    </row>
    <row r="48" spans="1:14" ht="13.8" thickBot="1" x14ac:dyDescent="0.3">
      <c r="A48" s="12">
        <v>44617.666666666664</v>
      </c>
      <c r="B48" s="4">
        <v>45.02</v>
      </c>
      <c r="C48" s="2">
        <f ca="1">IFERROR(__xludf.DUMMYFUNCTION("""COMPUTED_VALUE"""),54.17)</f>
        <v>54.17</v>
      </c>
      <c r="D48" s="2">
        <f ca="1">IFERROR(__xludf.DUMMYFUNCTION("""COMPUTED_VALUE"""),437.75)</f>
        <v>437.75</v>
      </c>
      <c r="F48" s="16">
        <f t="shared" si="9"/>
        <v>3.2049685123597668E-2</v>
      </c>
      <c r="G48" s="16">
        <f t="shared" ca="1" si="10"/>
        <v>-3.9277512778419031E-2</v>
      </c>
      <c r="H48" s="16">
        <f t="shared" ca="1" si="4"/>
        <v>2.1824086544635819E-2</v>
      </c>
      <c r="J48" s="38">
        <f t="shared" ca="1" si="7"/>
        <v>2.9186169440804082E-2</v>
      </c>
      <c r="K48" s="38">
        <f t="shared" ca="1" si="8"/>
        <v>-3.23641375644997E-3</v>
      </c>
      <c r="L48" s="38"/>
      <c r="M48" s="96">
        <f t="shared" ca="1" si="5"/>
        <v>2.8635156827935861E-3</v>
      </c>
      <c r="N48" s="96">
        <f t="shared" ca="1" si="6"/>
        <v>-3.6041099021969059E-2</v>
      </c>
    </row>
    <row r="49" spans="1:14" ht="13.8" thickBot="1" x14ac:dyDescent="0.3">
      <c r="A49" s="12">
        <v>44620.666666666664</v>
      </c>
      <c r="B49" s="4">
        <v>44.2</v>
      </c>
      <c r="C49" s="2">
        <f ca="1">IFERROR(__xludf.DUMMYFUNCTION("""COMPUTED_VALUE"""),55.45)</f>
        <v>55.45</v>
      </c>
      <c r="D49" s="2">
        <f ca="1">IFERROR(__xludf.DUMMYFUNCTION("""COMPUTED_VALUE"""),436.63)</f>
        <v>436.63</v>
      </c>
      <c r="F49" s="16">
        <f t="shared" si="9"/>
        <v>-1.8382046394933786E-2</v>
      </c>
      <c r="G49" s="16">
        <f t="shared" ca="1" si="10"/>
        <v>2.3354464126568573E-2</v>
      </c>
      <c r="H49" s="16">
        <f t="shared" ca="1" si="4"/>
        <v>-2.5618166301554618E-3</v>
      </c>
      <c r="J49" s="38">
        <f t="shared" ca="1" si="7"/>
        <v>-4.0830662088481495E-3</v>
      </c>
      <c r="K49" s="38">
        <f t="shared" ca="1" si="8"/>
        <v>-1.6325769305684595E-4</v>
      </c>
      <c r="L49" s="38"/>
      <c r="M49" s="96">
        <f t="shared" ca="1" si="5"/>
        <v>-1.4298980186085636E-2</v>
      </c>
      <c r="N49" s="96">
        <f t="shared" ca="1" si="6"/>
        <v>2.3517721819625418E-2</v>
      </c>
    </row>
    <row r="50" spans="1:14" ht="13.8" thickBot="1" x14ac:dyDescent="0.3">
      <c r="A50" s="12">
        <v>44621.666666666664</v>
      </c>
      <c r="B50" s="4">
        <v>42.47</v>
      </c>
      <c r="C50" s="2">
        <f ca="1">IFERROR(__xludf.DUMMYFUNCTION("""COMPUTED_VALUE"""),53.43)</f>
        <v>53.43</v>
      </c>
      <c r="D50" s="2">
        <f ca="1">IFERROR(__xludf.DUMMYFUNCTION("""COMPUTED_VALUE"""),429.98)</f>
        <v>429.98</v>
      </c>
      <c r="F50" s="16">
        <f t="shared" si="9"/>
        <v>-3.9926844758472732E-2</v>
      </c>
      <c r="G50" s="16">
        <f t="shared" ca="1" si="10"/>
        <v>-3.7109327826696174E-2</v>
      </c>
      <c r="H50" s="16">
        <f t="shared" ca="1" si="4"/>
        <v>-1.5347458557803808E-2</v>
      </c>
      <c r="J50" s="38">
        <f t="shared" ca="1" si="7"/>
        <v>-2.1526280477931599E-2</v>
      </c>
      <c r="K50" s="38">
        <f t="shared" ca="1" si="8"/>
        <v>1.4480122579755164E-3</v>
      </c>
      <c r="L50" s="38"/>
      <c r="M50" s="96">
        <f t="shared" ca="1" si="5"/>
        <v>-1.8400564280541133E-2</v>
      </c>
      <c r="N50" s="96">
        <f t="shared" ca="1" si="6"/>
        <v>-3.8557340084671689E-2</v>
      </c>
    </row>
    <row r="51" spans="1:14" ht="13.8" thickBot="1" x14ac:dyDescent="0.3">
      <c r="A51" s="12">
        <v>44622.666666666664</v>
      </c>
      <c r="B51" s="4">
        <v>43.16</v>
      </c>
      <c r="C51" s="2">
        <f ca="1">IFERROR(__xludf.DUMMYFUNCTION("""COMPUTED_VALUE"""),52.3)</f>
        <v>52.3</v>
      </c>
      <c r="D51" s="2">
        <f ca="1">IFERROR(__xludf.DUMMYFUNCTION("""COMPUTED_VALUE"""),437.89)</f>
        <v>437.89</v>
      </c>
      <c r="F51" s="16">
        <f t="shared" si="9"/>
        <v>1.6116196064754004E-2</v>
      </c>
      <c r="G51" s="16">
        <f t="shared" ca="1" si="10"/>
        <v>-2.1376014898802767E-2</v>
      </c>
      <c r="H51" s="16">
        <f t="shared" ca="1" si="4"/>
        <v>1.8229041304612108E-2</v>
      </c>
      <c r="J51" s="38">
        <f t="shared" ca="1" si="7"/>
        <v>2.4281515862701244E-2</v>
      </c>
      <c r="K51" s="38">
        <f t="shared" ca="1" si="8"/>
        <v>-2.7833595882954618E-3</v>
      </c>
      <c r="L51" s="38"/>
      <c r="M51" s="96">
        <f t="shared" ca="1" si="5"/>
        <v>-8.1653197979472403E-3</v>
      </c>
      <c r="N51" s="96">
        <f t="shared" ca="1" si="6"/>
        <v>-1.8592655310507307E-2</v>
      </c>
    </row>
    <row r="52" spans="1:14" ht="13.8" thickBot="1" x14ac:dyDescent="0.3">
      <c r="A52" s="12">
        <v>44623.666666666664</v>
      </c>
      <c r="B52" s="4">
        <v>42.49</v>
      </c>
      <c r="C52" s="2">
        <f ca="1">IFERROR(__xludf.DUMMYFUNCTION("""COMPUTED_VALUE"""),52.88)</f>
        <v>52.88</v>
      </c>
      <c r="D52" s="2">
        <f ca="1">IFERROR(__xludf.DUMMYFUNCTION("""COMPUTED_VALUE"""),435.71)</f>
        <v>435.71</v>
      </c>
      <c r="F52" s="16">
        <f t="shared" si="9"/>
        <v>-1.5645386263213535E-2</v>
      </c>
      <c r="G52" s="16">
        <f t="shared" ca="1" si="10"/>
        <v>1.1028824472553839E-2</v>
      </c>
      <c r="H52" s="16">
        <f t="shared" ca="1" si="4"/>
        <v>-4.9908528504182354E-3</v>
      </c>
      <c r="J52" s="38">
        <f t="shared" ca="1" si="7"/>
        <v>-7.3969552960894075E-3</v>
      </c>
      <c r="K52" s="38">
        <f t="shared" ca="1" si="8"/>
        <v>1.4285388849895797E-4</v>
      </c>
      <c r="L52" s="38"/>
      <c r="M52" s="96">
        <f t="shared" ca="1" si="5"/>
        <v>-8.2484309671241283E-3</v>
      </c>
      <c r="N52" s="96">
        <f t="shared" ca="1" si="6"/>
        <v>1.0885970584054881E-2</v>
      </c>
    </row>
    <row r="53" spans="1:14" ht="13.8" thickBot="1" x14ac:dyDescent="0.3">
      <c r="A53" s="12">
        <v>44624.666666666664</v>
      </c>
      <c r="B53" s="4">
        <v>40.950000000000003</v>
      </c>
      <c r="C53" s="2">
        <f ca="1">IFERROR(__xludf.DUMMYFUNCTION("""COMPUTED_VALUE"""),51.87)</f>
        <v>51.87</v>
      </c>
      <c r="D53" s="2">
        <f ca="1">IFERROR(__xludf.DUMMYFUNCTION("""COMPUTED_VALUE"""),432.17)</f>
        <v>432.17</v>
      </c>
      <c r="F53" s="16">
        <f t="shared" si="9"/>
        <v>-3.6916943827641699E-2</v>
      </c>
      <c r="G53" s="16">
        <f t="shared" ca="1" si="10"/>
        <v>-1.92846071801221E-2</v>
      </c>
      <c r="H53" s="16">
        <f t="shared" ca="1" si="4"/>
        <v>-8.1578550776720705E-3</v>
      </c>
      <c r="J53" s="38">
        <f t="shared" ca="1" si="7"/>
        <v>-1.171763772668317E-2</v>
      </c>
      <c r="K53" s="38">
        <f t="shared" ca="1" si="8"/>
        <v>5.4196529428546768E-4</v>
      </c>
      <c r="L53" s="38"/>
      <c r="M53" s="96">
        <f t="shared" ca="1" si="5"/>
        <v>-2.5199306100958531E-2</v>
      </c>
      <c r="N53" s="96">
        <f t="shared" ca="1" si="6"/>
        <v>-1.9826572474407569E-2</v>
      </c>
    </row>
    <row r="54" spans="1:14" ht="13.8" thickBot="1" x14ac:dyDescent="0.3">
      <c r="A54" s="12">
        <v>44627.666666666664</v>
      </c>
      <c r="B54" s="4">
        <v>38.340000000000003</v>
      </c>
      <c r="C54" s="2">
        <f ca="1">IFERROR(__xludf.DUMMYFUNCTION("""COMPUTED_VALUE"""),51.35)</f>
        <v>51.35</v>
      </c>
      <c r="D54" s="2">
        <f ca="1">IFERROR(__xludf.DUMMYFUNCTION("""COMPUTED_VALUE"""),419.43)</f>
        <v>419.43</v>
      </c>
      <c r="F54" s="16">
        <f t="shared" si="9"/>
        <v>-6.5858072681579991E-2</v>
      </c>
      <c r="G54" s="16">
        <f t="shared" ca="1" si="10"/>
        <v>-1.0075651988741476E-2</v>
      </c>
      <c r="H54" s="16">
        <f t="shared" ca="1" si="4"/>
        <v>-2.9922382686680685E-2</v>
      </c>
      <c r="J54" s="38">
        <f t="shared" ca="1" si="7"/>
        <v>-4.1410579285476479E-2</v>
      </c>
      <c r="K54" s="38">
        <f t="shared" ca="1" si="8"/>
        <v>3.2847708204574279E-3</v>
      </c>
      <c r="L54" s="38"/>
      <c r="M54" s="96">
        <f t="shared" ca="1" si="5"/>
        <v>-2.4447493396103512E-2</v>
      </c>
      <c r="N54" s="96">
        <f t="shared" ca="1" si="6"/>
        <v>-1.3360422809198903E-2</v>
      </c>
    </row>
    <row r="55" spans="1:14" ht="13.8" thickBot="1" x14ac:dyDescent="0.3">
      <c r="A55" s="12">
        <v>44628.666666666664</v>
      </c>
      <c r="B55" s="4">
        <v>38.590000000000003</v>
      </c>
      <c r="C55" s="2">
        <f ca="1">IFERROR(__xludf.DUMMYFUNCTION("""COMPUTED_VALUE"""),51.12)</f>
        <v>51.12</v>
      </c>
      <c r="D55" s="2">
        <f ca="1">IFERROR(__xludf.DUMMYFUNCTION("""COMPUTED_VALUE"""),416.25)</f>
        <v>416.25</v>
      </c>
      <c r="F55" s="16">
        <f t="shared" si="9"/>
        <v>6.4994379320290072E-3</v>
      </c>
      <c r="G55" s="16">
        <f t="shared" ca="1" si="10"/>
        <v>-4.4891263052879733E-3</v>
      </c>
      <c r="H55" s="16">
        <f t="shared" ca="1" si="4"/>
        <v>-7.6106053731893218E-3</v>
      </c>
      <c r="J55" s="38">
        <f t="shared" ca="1" si="7"/>
        <v>-1.0971035099454664E-2</v>
      </c>
      <c r="K55" s="38">
        <f t="shared" ca="1" si="8"/>
        <v>4.7299988687501807E-4</v>
      </c>
      <c r="L55" s="38"/>
      <c r="M55" s="96">
        <f t="shared" ca="1" si="5"/>
        <v>1.747047303148367E-2</v>
      </c>
      <c r="N55" s="96">
        <f t="shared" ca="1" si="6"/>
        <v>-4.9621261921629911E-3</v>
      </c>
    </row>
    <row r="56" spans="1:14" ht="13.8" thickBot="1" x14ac:dyDescent="0.3">
      <c r="A56" s="12">
        <v>44629.666666666664</v>
      </c>
      <c r="B56" s="4">
        <v>41.04</v>
      </c>
      <c r="C56" s="2">
        <f ca="1">IFERROR(__xludf.DUMMYFUNCTION("""COMPUTED_VALUE"""),50.56)</f>
        <v>50.56</v>
      </c>
      <c r="D56" s="2">
        <f ca="1">IFERROR(__xludf.DUMMYFUNCTION("""COMPUTED_VALUE"""),427.41)</f>
        <v>427.41</v>
      </c>
      <c r="F56" s="16">
        <f t="shared" si="9"/>
        <v>6.1554025312986545E-2</v>
      </c>
      <c r="G56" s="16">
        <f t="shared" ca="1" si="10"/>
        <v>-1.1015060230677318E-2</v>
      </c>
      <c r="H56" s="16">
        <f t="shared" ca="1" si="4"/>
        <v>2.6457698602596395E-2</v>
      </c>
      <c r="J56" s="38">
        <f t="shared" ca="1" si="7"/>
        <v>3.5507720476269468E-2</v>
      </c>
      <c r="K56" s="38">
        <f t="shared" ca="1" si="8"/>
        <v>-3.8203500121328565E-3</v>
      </c>
      <c r="L56" s="38"/>
      <c r="M56" s="96">
        <f t="shared" ca="1" si="5"/>
        <v>2.6046304836717077E-2</v>
      </c>
      <c r="N56" s="96">
        <f t="shared" ca="1" si="6"/>
        <v>-7.1947102185444612E-3</v>
      </c>
    </row>
    <row r="57" spans="1:14" ht="13.8" thickBot="1" x14ac:dyDescent="0.3">
      <c r="A57" s="12">
        <v>44630.666666666664</v>
      </c>
      <c r="B57" s="4">
        <v>40.67</v>
      </c>
      <c r="C57" s="2">
        <f ca="1">IFERROR(__xludf.DUMMYFUNCTION("""COMPUTED_VALUE"""),50.84)</f>
        <v>50.84</v>
      </c>
      <c r="D57" s="2">
        <f ca="1">IFERROR(__xludf.DUMMYFUNCTION("""COMPUTED_VALUE"""),425.48)</f>
        <v>425.48</v>
      </c>
      <c r="F57" s="16">
        <f t="shared" si="9"/>
        <v>-9.0564809433808513E-3</v>
      </c>
      <c r="G57" s="16">
        <f t="shared" ca="1" si="10"/>
        <v>5.5226964826512372E-3</v>
      </c>
      <c r="H57" s="16">
        <f t="shared" ca="1" si="4"/>
        <v>-4.5257965137857018E-3</v>
      </c>
      <c r="J57" s="38">
        <f t="shared" ca="1" si="7"/>
        <v>-6.762487556966016E-3</v>
      </c>
      <c r="K57" s="38">
        <f t="shared" ca="1" si="8"/>
        <v>8.4246639446190611E-5</v>
      </c>
      <c r="L57" s="38"/>
      <c r="M57" s="96">
        <f t="shared" ca="1" si="5"/>
        <v>-2.2939933864148353E-3</v>
      </c>
      <c r="N57" s="96">
        <f t="shared" ca="1" si="6"/>
        <v>5.4384498432050463E-3</v>
      </c>
    </row>
    <row r="58" spans="1:14" ht="13.8" thickBot="1" x14ac:dyDescent="0.3">
      <c r="A58" s="12">
        <v>44631.666666666664</v>
      </c>
      <c r="B58" s="4">
        <v>40.33</v>
      </c>
      <c r="C58" s="2">
        <f ca="1">IFERROR(__xludf.DUMMYFUNCTION("""COMPUTED_VALUE"""),49.43)</f>
        <v>49.43</v>
      </c>
      <c r="D58" s="2">
        <f ca="1">IFERROR(__xludf.DUMMYFUNCTION("""COMPUTED_VALUE"""),420.07)</f>
        <v>420.07</v>
      </c>
      <c r="F58" s="16">
        <f t="shared" si="9"/>
        <v>-8.3951110338564838E-3</v>
      </c>
      <c r="G58" s="16">
        <f t="shared" ca="1" si="10"/>
        <v>-2.8125919002385466E-2</v>
      </c>
      <c r="H58" s="16">
        <f t="shared" ca="1" si="4"/>
        <v>-1.2796579326729342E-2</v>
      </c>
      <c r="J58" s="38">
        <f t="shared" ca="1" si="7"/>
        <v>-1.8046163229694948E-2</v>
      </c>
      <c r="K58" s="38">
        <f t="shared" ca="1" si="8"/>
        <v>1.1265457976287105E-3</v>
      </c>
      <c r="L58" s="38"/>
      <c r="M58" s="96">
        <f t="shared" ca="1" si="5"/>
        <v>9.6510521958384637E-3</v>
      </c>
      <c r="N58" s="96">
        <f t="shared" ca="1" si="6"/>
        <v>-2.9252464800014175E-2</v>
      </c>
    </row>
    <row r="59" spans="1:14" ht="13.8" thickBot="1" x14ac:dyDescent="0.3">
      <c r="A59" s="12">
        <v>44634.666666666664</v>
      </c>
      <c r="B59" s="4">
        <v>41.2</v>
      </c>
      <c r="C59" s="2">
        <f ca="1">IFERROR(__xludf.DUMMYFUNCTION("""COMPUTED_VALUE"""),50.13)</f>
        <v>50.13</v>
      </c>
      <c r="D59" s="2">
        <f ca="1">IFERROR(__xludf.DUMMYFUNCTION("""COMPUTED_VALUE"""),417)</f>
        <v>417</v>
      </c>
      <c r="F59" s="16">
        <f t="shared" si="9"/>
        <v>2.1342647470203983E-2</v>
      </c>
      <c r="G59" s="16">
        <f t="shared" ca="1" si="10"/>
        <v>1.4062103956544057E-2</v>
      </c>
      <c r="H59" s="16">
        <f t="shared" ca="1" si="4"/>
        <v>-7.3351422579332913E-3</v>
      </c>
      <c r="J59" s="38">
        <f t="shared" ca="1" si="7"/>
        <v>-1.0595225877686168E-2</v>
      </c>
      <c r="K59" s="38">
        <f t="shared" ca="1" si="8"/>
        <v>4.382855219067631E-4</v>
      </c>
      <c r="L59" s="38"/>
      <c r="M59" s="96">
        <f t="shared" ca="1" si="5"/>
        <v>3.1937873347890153E-2</v>
      </c>
      <c r="N59" s="96">
        <f t="shared" ca="1" si="6"/>
        <v>1.3623818434637294E-2</v>
      </c>
    </row>
    <row r="60" spans="1:14" ht="13.8" thickBot="1" x14ac:dyDescent="0.3">
      <c r="A60" s="12">
        <v>44635.666666666664</v>
      </c>
      <c r="B60" s="4">
        <v>41.5</v>
      </c>
      <c r="C60" s="2">
        <f ca="1">IFERROR(__xludf.DUMMYFUNCTION("""COMPUTED_VALUE"""),50.03)</f>
        <v>50.03</v>
      </c>
      <c r="D60" s="2">
        <f ca="1">IFERROR(__xludf.DUMMYFUNCTION("""COMPUTED_VALUE"""),426.17)</f>
        <v>426.17</v>
      </c>
      <c r="F60" s="16">
        <f t="shared" si="9"/>
        <v>7.2551708811717953E-3</v>
      </c>
      <c r="G60" s="16">
        <f t="shared" ca="1" si="10"/>
        <v>-1.9968057752984439E-3</v>
      </c>
      <c r="H60" s="16">
        <f t="shared" ca="1" si="4"/>
        <v>2.1752105899755896E-2</v>
      </c>
      <c r="J60" s="38">
        <f t="shared" ca="1" si="7"/>
        <v>2.908796758132981E-2</v>
      </c>
      <c r="K60" s="38">
        <f t="shared" ca="1" si="8"/>
        <v>-3.2273426240964085E-3</v>
      </c>
      <c r="L60" s="38"/>
      <c r="M60" s="96">
        <f t="shared" ca="1" si="5"/>
        <v>-2.1832796700158016E-2</v>
      </c>
      <c r="N60" s="96">
        <f t="shared" ca="1" si="6"/>
        <v>1.2305368487979646E-3</v>
      </c>
    </row>
    <row r="61" spans="1:14" ht="13.8" thickBot="1" x14ac:dyDescent="0.3">
      <c r="A61" s="12">
        <v>44636.666666666664</v>
      </c>
      <c r="B61" s="4">
        <v>42.8</v>
      </c>
      <c r="C61" s="2">
        <f ca="1">IFERROR(__xludf.DUMMYFUNCTION("""COMPUTED_VALUE"""),49.88)</f>
        <v>49.88</v>
      </c>
      <c r="D61" s="2">
        <f ca="1">IFERROR(__xludf.DUMMYFUNCTION("""COMPUTED_VALUE"""),435.62)</f>
        <v>435.62</v>
      </c>
      <c r="F61" s="16">
        <f t="shared" si="9"/>
        <v>3.0844675351098354E-2</v>
      </c>
      <c r="G61" s="16">
        <f t="shared" ca="1" si="10"/>
        <v>-3.00270468827792E-3</v>
      </c>
      <c r="H61" s="16">
        <f t="shared" ca="1" si="4"/>
        <v>2.1931975988524546E-2</v>
      </c>
      <c r="J61" s="38">
        <f t="shared" ca="1" si="7"/>
        <v>2.9333361009109601E-2</v>
      </c>
      <c r="K61" s="38">
        <f t="shared" ca="1" si="8"/>
        <v>-3.2500101812486014E-3</v>
      </c>
      <c r="L61" s="38"/>
      <c r="M61" s="96">
        <f t="shared" ca="1" si="5"/>
        <v>1.511314341988753E-3</v>
      </c>
      <c r="N61" s="96">
        <f t="shared" ca="1" si="6"/>
        <v>2.4730549297068138E-4</v>
      </c>
    </row>
    <row r="62" spans="1:14" ht="13.8" thickBot="1" x14ac:dyDescent="0.3">
      <c r="A62" s="12">
        <v>44637.666666666664</v>
      </c>
      <c r="B62" s="4">
        <v>43.03</v>
      </c>
      <c r="C62" s="2">
        <f ca="1">IFERROR(__xludf.DUMMYFUNCTION("""COMPUTED_VALUE"""),51.86)</f>
        <v>51.86</v>
      </c>
      <c r="D62" s="2">
        <f ca="1">IFERROR(__xludf.DUMMYFUNCTION("""COMPUTED_VALUE"""),441.07)</f>
        <v>441.07</v>
      </c>
      <c r="F62" s="16">
        <f t="shared" si="9"/>
        <v>5.35944426275728E-3</v>
      </c>
      <c r="G62" s="16">
        <f t="shared" ca="1" si="10"/>
        <v>3.8927659298682603E-2</v>
      </c>
      <c r="H62" s="16">
        <f t="shared" ca="1" si="4"/>
        <v>1.2433289322195635E-2</v>
      </c>
      <c r="J62" s="38">
        <f t="shared" ca="1" si="7"/>
        <v>1.6374478871375903E-2</v>
      </c>
      <c r="K62" s="38">
        <f t="shared" ca="1" si="8"/>
        <v>-2.0529683364718205E-3</v>
      </c>
      <c r="L62" s="38"/>
      <c r="M62" s="96">
        <f t="shared" ca="1" si="5"/>
        <v>-1.1015034608618624E-2</v>
      </c>
      <c r="N62" s="96">
        <f t="shared" ca="1" si="6"/>
        <v>4.0980627635154421E-2</v>
      </c>
    </row>
    <row r="63" spans="1:14" ht="13.8" thickBot="1" x14ac:dyDescent="0.3">
      <c r="A63" s="12">
        <v>44638.666666666664</v>
      </c>
      <c r="B63" s="4">
        <v>42.9</v>
      </c>
      <c r="C63" s="2">
        <f ca="1">IFERROR(__xludf.DUMMYFUNCTION("""COMPUTED_VALUE"""),51.12)</f>
        <v>51.12</v>
      </c>
      <c r="D63" s="2">
        <f ca="1">IFERROR(__xludf.DUMMYFUNCTION("""COMPUTED_VALUE"""),444.52)</f>
        <v>444.52</v>
      </c>
      <c r="F63" s="16">
        <f t="shared" si="9"/>
        <v>-3.0257209165370676E-3</v>
      </c>
      <c r="G63" s="16">
        <f t="shared" ca="1" si="10"/>
        <v>-1.4371970041239007E-2</v>
      </c>
      <c r="H63" s="16">
        <f t="shared" ca="1" si="4"/>
        <v>7.7914553081683616E-3</v>
      </c>
      <c r="J63" s="38">
        <f t="shared" ca="1" si="7"/>
        <v>1.0041710773662574E-2</v>
      </c>
      <c r="K63" s="38">
        <f t="shared" ca="1" si="8"/>
        <v>-1.4679959348665045E-3</v>
      </c>
      <c r="L63" s="38"/>
      <c r="M63" s="96">
        <f t="shared" ca="1" si="5"/>
        <v>-1.3067431690199641E-2</v>
      </c>
      <c r="N63" s="96">
        <f t="shared" ca="1" si="6"/>
        <v>-1.2903974106372501E-2</v>
      </c>
    </row>
    <row r="64" spans="1:14" ht="13.8" thickBot="1" x14ac:dyDescent="0.3">
      <c r="A64" s="12">
        <v>44641.666666666664</v>
      </c>
      <c r="B64" s="4">
        <v>42.84</v>
      </c>
      <c r="C64" s="2">
        <f ca="1">IFERROR(__xludf.DUMMYFUNCTION("""COMPUTED_VALUE"""),51.66)</f>
        <v>51.66</v>
      </c>
      <c r="D64" s="2">
        <f ca="1">IFERROR(__xludf.DUMMYFUNCTION("""COMPUTED_VALUE"""),444.39)</f>
        <v>444.39</v>
      </c>
      <c r="F64" s="16">
        <f t="shared" si="9"/>
        <v>-1.3995803544231322E-3</v>
      </c>
      <c r="G64" s="16">
        <f t="shared" ca="1" si="10"/>
        <v>1.0507977598414944E-2</v>
      </c>
      <c r="H64" s="16">
        <f t="shared" ca="1" si="4"/>
        <v>-2.9249305537527344E-4</v>
      </c>
      <c r="J64" s="38">
        <f t="shared" ca="1" si="7"/>
        <v>-9.8707012317848352E-4</v>
      </c>
      <c r="K64" s="38">
        <f t="shared" ca="1" si="8"/>
        <v>-4.4924199528461803E-4</v>
      </c>
      <c r="L64" s="38"/>
      <c r="M64" s="96">
        <f t="shared" ca="1" si="5"/>
        <v>-4.1251023124464869E-4</v>
      </c>
      <c r="N64" s="96">
        <f t="shared" ca="1" si="6"/>
        <v>1.0957219593699562E-2</v>
      </c>
    </row>
    <row r="65" spans="1:14" ht="13.8" thickBot="1" x14ac:dyDescent="0.3">
      <c r="A65" s="12">
        <v>44642.666666666664</v>
      </c>
      <c r="B65" s="4">
        <v>44.18</v>
      </c>
      <c r="C65" s="2">
        <f ca="1">IFERROR(__xludf.DUMMYFUNCTION("""COMPUTED_VALUE"""),51.67)</f>
        <v>51.67</v>
      </c>
      <c r="D65" s="2">
        <f ca="1">IFERROR(__xludf.DUMMYFUNCTION("""COMPUTED_VALUE"""),449.59)</f>
        <v>449.59</v>
      </c>
      <c r="F65" s="16">
        <f t="shared" si="9"/>
        <v>3.0799952412422987E-2</v>
      </c>
      <c r="G65" s="16">
        <f t="shared" ca="1" si="10"/>
        <v>1.9355463139899298E-4</v>
      </c>
      <c r="H65" s="16">
        <f t="shared" ca="1" si="4"/>
        <v>1.1633501077171562E-2</v>
      </c>
      <c r="J65" s="38">
        <f t="shared" ca="1" si="7"/>
        <v>1.5283342594699722E-2</v>
      </c>
      <c r="K65" s="38">
        <f t="shared" ca="1" si="8"/>
        <v>-1.952177560874586E-3</v>
      </c>
      <c r="L65" s="38"/>
      <c r="M65" s="96">
        <f t="shared" ca="1" si="5"/>
        <v>1.5516609817723265E-2</v>
      </c>
      <c r="N65" s="96">
        <f t="shared" ca="1" si="6"/>
        <v>2.145732192273579E-3</v>
      </c>
    </row>
    <row r="66" spans="1:14" ht="13.8" thickBot="1" x14ac:dyDescent="0.3">
      <c r="A66" s="12">
        <v>44643.666666666664</v>
      </c>
      <c r="B66" s="4">
        <v>43.09</v>
      </c>
      <c r="C66" s="2">
        <f ca="1">IFERROR(__xludf.DUMMYFUNCTION("""COMPUTED_VALUE"""),52.17)</f>
        <v>52.17</v>
      </c>
      <c r="D66" s="2">
        <f ca="1">IFERROR(__xludf.DUMMYFUNCTION("""COMPUTED_VALUE"""),443.8)</f>
        <v>443.8</v>
      </c>
      <c r="F66" s="16">
        <f t="shared" si="9"/>
        <v>-2.4981246364224378E-2</v>
      </c>
      <c r="G66" s="16">
        <f t="shared" ca="1" si="10"/>
        <v>9.6302747352081976E-3</v>
      </c>
      <c r="H66" s="16">
        <f t="shared" ca="1" si="4"/>
        <v>-1.2962045840748348E-2</v>
      </c>
      <c r="J66" s="38">
        <f t="shared" ca="1" si="7"/>
        <v>-1.8271906127448903E-2</v>
      </c>
      <c r="K66" s="38">
        <f t="shared" ca="1" si="8"/>
        <v>1.1473981899801939E-3</v>
      </c>
      <c r="L66" s="38"/>
      <c r="M66" s="96">
        <f t="shared" ca="1" si="5"/>
        <v>-6.7093402367754754E-3</v>
      </c>
      <c r="N66" s="96">
        <f t="shared" ca="1" si="6"/>
        <v>8.4828765452280037E-3</v>
      </c>
    </row>
    <row r="67" spans="1:14" ht="13.8" thickBot="1" x14ac:dyDescent="0.3">
      <c r="A67" s="12">
        <v>44644.666666666664</v>
      </c>
      <c r="B67" s="4">
        <v>43.07</v>
      </c>
      <c r="C67" s="2">
        <f ca="1">IFERROR(__xludf.DUMMYFUNCTION("""COMPUTED_VALUE"""),51.38)</f>
        <v>51.38</v>
      </c>
      <c r="D67" s="2">
        <f ca="1">IFERROR(__xludf.DUMMYFUNCTION("""COMPUTED_VALUE"""),450.49)</f>
        <v>450.49</v>
      </c>
      <c r="F67" s="16">
        <f t="shared" si="9"/>
        <v>-4.6425256172751011E-4</v>
      </c>
      <c r="G67" s="16">
        <f t="shared" ca="1" si="10"/>
        <v>-1.5258625352563861E-2</v>
      </c>
      <c r="H67" s="16">
        <f t="shared" ca="1" si="4"/>
        <v>1.4961868745260972E-2</v>
      </c>
      <c r="J67" s="38">
        <f t="shared" ca="1" si="7"/>
        <v>1.98241729049266E-2</v>
      </c>
      <c r="K67" s="38">
        <f t="shared" ca="1" si="8"/>
        <v>-2.371624534278644E-3</v>
      </c>
      <c r="L67" s="38"/>
      <c r="M67" s="96">
        <f t="shared" ca="1" si="5"/>
        <v>-2.028842546665411E-2</v>
      </c>
      <c r="N67" s="96">
        <f t="shared" ca="1" si="6"/>
        <v>-1.2887000818285217E-2</v>
      </c>
    </row>
    <row r="68" spans="1:14" ht="13.8" thickBot="1" x14ac:dyDescent="0.3">
      <c r="A68" s="12">
        <v>44645.666666666664</v>
      </c>
      <c r="B68" s="4">
        <v>43.73</v>
      </c>
      <c r="C68" s="2">
        <f ca="1">IFERROR(__xludf.DUMMYFUNCTION("""COMPUTED_VALUE"""),51.28)</f>
        <v>51.28</v>
      </c>
      <c r="D68" s="2">
        <f ca="1">IFERROR(__xludf.DUMMYFUNCTION("""COMPUTED_VALUE"""),452.69)</f>
        <v>452.69</v>
      </c>
      <c r="F68" s="16">
        <f t="shared" si="9"/>
        <v>1.5207666358810022E-2</v>
      </c>
      <c r="G68" s="16">
        <f t="shared" ca="1" si="10"/>
        <v>-1.948179069322915E-3</v>
      </c>
      <c r="H68" s="16">
        <f t="shared" ca="1" si="4"/>
        <v>4.8716852700601294E-3</v>
      </c>
      <c r="J68" s="38">
        <f t="shared" ca="1" si="7"/>
        <v>6.0583226356733686E-3</v>
      </c>
      <c r="K68" s="38">
        <f t="shared" ca="1" si="8"/>
        <v>-1.1000411811708712E-3</v>
      </c>
      <c r="L68" s="38"/>
      <c r="M68" s="96">
        <f t="shared" ca="1" si="5"/>
        <v>9.149343723136652E-3</v>
      </c>
      <c r="N68" s="96">
        <f t="shared" ca="1" si="6"/>
        <v>-8.4813788815204377E-4</v>
      </c>
    </row>
    <row r="69" spans="1:14" ht="13.8" thickBot="1" x14ac:dyDescent="0.3">
      <c r="A69" s="12">
        <v>44648.666666666664</v>
      </c>
      <c r="B69" s="4">
        <v>43.55</v>
      </c>
      <c r="C69" s="2">
        <f ca="1">IFERROR(__xludf.DUMMYFUNCTION("""COMPUTED_VALUE"""),51.7)</f>
        <v>51.7</v>
      </c>
      <c r="D69" s="2">
        <f ca="1">IFERROR(__xludf.DUMMYFUNCTION("""COMPUTED_VALUE"""),455.91)</f>
        <v>455.91</v>
      </c>
      <c r="F69" s="16">
        <f t="shared" si="9"/>
        <v>-4.1246621263174238E-3</v>
      </c>
      <c r="G69" s="16">
        <f t="shared" ca="1" si="10"/>
        <v>8.1569689019688873E-3</v>
      </c>
      <c r="H69" s="16">
        <f t="shared" ca="1" si="4"/>
        <v>7.0878570998088759E-3</v>
      </c>
      <c r="J69" s="38">
        <f t="shared" ca="1" si="7"/>
        <v>9.0818047808928302E-3</v>
      </c>
      <c r="K69" s="38">
        <f t="shared" ca="1" si="8"/>
        <v>-1.379327203398411E-3</v>
      </c>
      <c r="L69" s="38"/>
      <c r="M69" s="96">
        <f t="shared" ca="1" si="5"/>
        <v>-1.3206466907210255E-2</v>
      </c>
      <c r="N69" s="96">
        <f t="shared" ca="1" si="6"/>
        <v>9.5362961053672979E-3</v>
      </c>
    </row>
    <row r="70" spans="1:14" ht="13.8" thickBot="1" x14ac:dyDescent="0.3">
      <c r="A70" s="12">
        <v>44649.666666666664</v>
      </c>
      <c r="B70" s="4">
        <v>43.44</v>
      </c>
      <c r="C70" s="2">
        <f ca="1">IFERROR(__xludf.DUMMYFUNCTION("""COMPUTED_VALUE"""),50.56)</f>
        <v>50.56</v>
      </c>
      <c r="D70" s="2">
        <f ca="1">IFERROR(__xludf.DUMMYFUNCTION("""COMPUTED_VALUE"""),461.55)</f>
        <v>461.55</v>
      </c>
      <c r="F70" s="16">
        <f t="shared" si="9"/>
        <v>-2.5290276728318216E-3</v>
      </c>
      <c r="G70" s="16">
        <f t="shared" ca="1" si="10"/>
        <v>-2.2297031675781447E-2</v>
      </c>
      <c r="H70" s="16">
        <f t="shared" ca="1" si="4"/>
        <v>1.2294968822537068E-2</v>
      </c>
      <c r="J70" s="38">
        <f t="shared" ca="1" si="7"/>
        <v>1.6185770777796839E-2</v>
      </c>
      <c r="K70" s="38">
        <f t="shared" ca="1" si="8"/>
        <v>-2.0355369344371927E-3</v>
      </c>
      <c r="L70" s="38"/>
      <c r="M70" s="96">
        <f t="shared" ca="1" si="5"/>
        <v>-1.8714798450628661E-2</v>
      </c>
      <c r="N70" s="96">
        <f t="shared" ca="1" si="6"/>
        <v>-2.0261494741344255E-2</v>
      </c>
    </row>
    <row r="71" spans="1:14" ht="13.8" thickBot="1" x14ac:dyDescent="0.3">
      <c r="A71" s="12">
        <v>44650.666666666664</v>
      </c>
      <c r="B71" s="4">
        <v>43</v>
      </c>
      <c r="C71" s="2">
        <f ca="1">IFERROR(__xludf.DUMMYFUNCTION("""COMPUTED_VALUE"""),51.07)</f>
        <v>51.07</v>
      </c>
      <c r="D71" s="2">
        <f ca="1">IFERROR(__xludf.DUMMYFUNCTION("""COMPUTED_VALUE"""),458.7)</f>
        <v>458.7</v>
      </c>
      <c r="F71" s="16">
        <f t="shared" si="9"/>
        <v>-1.0180559932117493E-2</v>
      </c>
      <c r="G71" s="16">
        <f t="shared" ca="1" si="10"/>
        <v>1.0036490820950421E-2</v>
      </c>
      <c r="H71" s="16">
        <f t="shared" ca="1" si="4"/>
        <v>-6.1939888330342207E-3</v>
      </c>
      <c r="J71" s="38">
        <f t="shared" ca="1" si="7"/>
        <v>-9.0383714141360465E-3</v>
      </c>
      <c r="K71" s="38">
        <f t="shared" ca="1" si="8"/>
        <v>2.9447528277583442E-4</v>
      </c>
      <c r="L71" s="38"/>
      <c r="M71" s="96">
        <f t="shared" ca="1" si="5"/>
        <v>-1.1421885179814465E-3</v>
      </c>
      <c r="N71" s="96">
        <f t="shared" ca="1" si="6"/>
        <v>9.7420155381745862E-3</v>
      </c>
    </row>
    <row r="72" spans="1:14" ht="13.8" thickBot="1" x14ac:dyDescent="0.3">
      <c r="A72" s="12">
        <v>44651.666666666664</v>
      </c>
      <c r="B72" s="4">
        <v>41.22</v>
      </c>
      <c r="C72" s="2">
        <f ca="1">IFERROR(__xludf.DUMMYFUNCTION("""COMPUTED_VALUE"""),49.59)</f>
        <v>49.59</v>
      </c>
      <c r="D72" s="3">
        <v>451.64</v>
      </c>
      <c r="F72" s="16">
        <f t="shared" si="9"/>
        <v>-4.2276540231249451E-2</v>
      </c>
      <c r="G72" s="16">
        <f t="shared" ca="1" si="10"/>
        <v>-2.9408040158509931E-2</v>
      </c>
      <c r="H72" s="16">
        <f t="shared" ca="1" si="4"/>
        <v>-1.5510999290804899E-2</v>
      </c>
      <c r="J72" s="38">
        <f t="shared" ca="1" si="7"/>
        <v>-2.1749396068341826E-2</v>
      </c>
      <c r="K72" s="38">
        <f t="shared" ca="1" si="8"/>
        <v>1.468621959885331E-3</v>
      </c>
      <c r="L72" s="38"/>
      <c r="M72" s="96">
        <f t="shared" ca="1" si="5"/>
        <v>-2.0527144162907626E-2</v>
      </c>
      <c r="N72" s="96">
        <f t="shared" ca="1" si="6"/>
        <v>-3.0876662118395262E-2</v>
      </c>
    </row>
    <row r="73" spans="1:14" ht="13.8" thickBot="1" x14ac:dyDescent="0.3">
      <c r="A73" s="12"/>
      <c r="B73" s="4"/>
      <c r="C73" s="2"/>
      <c r="D73" s="2"/>
      <c r="F73" s="16"/>
      <c r="G73" s="16"/>
      <c r="H73" s="16"/>
      <c r="J73" s="38"/>
      <c r="K73" s="38"/>
      <c r="L73" s="38"/>
    </row>
    <row r="74" spans="1:14" ht="13.8" thickBot="1" x14ac:dyDescent="0.3">
      <c r="A74" s="12"/>
      <c r="B74" s="4"/>
      <c r="C74" s="2"/>
      <c r="D74" s="2"/>
      <c r="F74" s="16"/>
      <c r="G74" s="16"/>
      <c r="H74" s="16"/>
      <c r="J74" s="38"/>
      <c r="K74" s="38"/>
      <c r="L74" s="38"/>
    </row>
    <row r="75" spans="1:14" ht="13.8" thickBot="1" x14ac:dyDescent="0.3">
      <c r="A75" s="12"/>
      <c r="B75" s="4"/>
      <c r="C75" s="2"/>
      <c r="D75" s="2"/>
      <c r="F75" s="16"/>
      <c r="G75" s="16"/>
      <c r="H75" s="16"/>
      <c r="J75" s="38"/>
      <c r="K75" s="38"/>
      <c r="L75" s="38"/>
    </row>
    <row r="76" spans="1:14" ht="13.8" thickBot="1" x14ac:dyDescent="0.3">
      <c r="A76" s="12"/>
      <c r="B76" s="4"/>
      <c r="C76" s="2"/>
      <c r="D76" s="2"/>
      <c r="F76" s="16"/>
      <c r="G76" s="16"/>
      <c r="H76" s="16"/>
      <c r="J76" s="38"/>
      <c r="K76" s="38"/>
      <c r="L76" s="38"/>
    </row>
    <row r="77" spans="1:14" ht="13.8" thickBot="1" x14ac:dyDescent="0.3">
      <c r="A77" s="12"/>
      <c r="B77" s="4"/>
      <c r="C77" s="2"/>
      <c r="D77" s="2"/>
      <c r="F77" s="16"/>
      <c r="G77" s="16"/>
      <c r="H77" s="16"/>
      <c r="J77" s="38"/>
      <c r="K77" s="38"/>
      <c r="L77" s="38"/>
    </row>
    <row r="78" spans="1:14" ht="13.8" thickBot="1" x14ac:dyDescent="0.3">
      <c r="A78" s="12"/>
      <c r="B78" s="4"/>
      <c r="C78" s="2"/>
      <c r="D78" s="2"/>
      <c r="F78" s="16"/>
      <c r="G78" s="16"/>
      <c r="H78" s="16"/>
      <c r="J78" s="38"/>
      <c r="K78" s="38"/>
      <c r="L78" s="38"/>
    </row>
    <row r="79" spans="1:14" ht="13.8" thickBot="1" x14ac:dyDescent="0.3">
      <c r="A79" s="12"/>
      <c r="B79" s="4"/>
      <c r="C79" s="2"/>
      <c r="D79" s="2"/>
      <c r="F79" s="16"/>
      <c r="G79" s="16"/>
      <c r="H79" s="16"/>
      <c r="J79" s="38"/>
      <c r="K79" s="38"/>
      <c r="L79" s="38"/>
    </row>
    <row r="80" spans="1:14" ht="13.8" thickBot="1" x14ac:dyDescent="0.3">
      <c r="A80" s="12"/>
      <c r="B80" s="4"/>
      <c r="C80" s="2"/>
      <c r="D80" s="2"/>
      <c r="F80" s="16"/>
      <c r="G80" s="16"/>
      <c r="H80" s="16"/>
      <c r="J80" s="38"/>
      <c r="K80" s="38"/>
      <c r="L80" s="38"/>
    </row>
    <row r="81" spans="1:12" ht="13.8" thickBot="1" x14ac:dyDescent="0.3">
      <c r="A81" s="12"/>
      <c r="B81" s="4"/>
      <c r="C81" s="2"/>
      <c r="D81" s="2"/>
      <c r="F81" s="16"/>
      <c r="G81" s="16"/>
      <c r="H81" s="16"/>
      <c r="J81" s="38"/>
      <c r="K81" s="38"/>
      <c r="L81" s="38"/>
    </row>
    <row r="82" spans="1:12" ht="13.8" thickBot="1" x14ac:dyDescent="0.3">
      <c r="A82" s="12"/>
      <c r="B82" s="4"/>
      <c r="C82" s="2"/>
      <c r="D82" s="2"/>
      <c r="F82" s="16"/>
      <c r="G82" s="16"/>
      <c r="H82" s="16"/>
      <c r="J82" s="38"/>
      <c r="K82" s="38"/>
      <c r="L82" s="38"/>
    </row>
    <row r="83" spans="1:12" ht="13.8" thickBot="1" x14ac:dyDescent="0.3">
      <c r="A83" s="12"/>
      <c r="B83" s="4"/>
      <c r="C83" s="2"/>
      <c r="D83" s="2"/>
      <c r="F83" s="16"/>
      <c r="G83" s="16"/>
      <c r="H83" s="16"/>
      <c r="J83" s="38"/>
      <c r="K83" s="38"/>
      <c r="L83" s="38"/>
    </row>
    <row r="84" spans="1:12" ht="13.8" thickBot="1" x14ac:dyDescent="0.3">
      <c r="A84" s="12"/>
      <c r="B84" s="4"/>
      <c r="C84" s="2"/>
      <c r="D84" s="2"/>
      <c r="F84" s="16"/>
      <c r="G84" s="16"/>
      <c r="H84" s="16"/>
      <c r="J84" s="38"/>
      <c r="K84" s="38"/>
      <c r="L84" s="38"/>
    </row>
    <row r="85" spans="1:12" ht="13.8" thickBot="1" x14ac:dyDescent="0.3">
      <c r="A85" s="12"/>
      <c r="B85" s="4"/>
      <c r="C85" s="2"/>
      <c r="D85" s="2"/>
      <c r="F85" s="16"/>
      <c r="G85" s="16"/>
      <c r="H85" s="16"/>
      <c r="J85" s="38"/>
      <c r="K85" s="38"/>
      <c r="L85" s="38"/>
    </row>
    <row r="86" spans="1:12" ht="13.8" thickBot="1" x14ac:dyDescent="0.3">
      <c r="A86" s="12"/>
      <c r="B86" s="4"/>
      <c r="C86" s="2"/>
      <c r="D86" s="2"/>
      <c r="F86" s="16"/>
      <c r="G86" s="16"/>
      <c r="H86" s="16"/>
      <c r="J86" s="38"/>
      <c r="K86" s="38"/>
      <c r="L86" s="38"/>
    </row>
    <row r="87" spans="1:12" ht="13.8" thickBot="1" x14ac:dyDescent="0.3">
      <c r="A87" s="12"/>
      <c r="B87" s="4"/>
      <c r="C87" s="2"/>
      <c r="D87" s="2"/>
      <c r="F87" s="16"/>
      <c r="G87" s="16"/>
      <c r="H87" s="16"/>
      <c r="J87" s="38"/>
      <c r="K87" s="38"/>
      <c r="L87" s="38"/>
    </row>
    <row r="88" spans="1:12" ht="13.8" thickBot="1" x14ac:dyDescent="0.3">
      <c r="A88" s="12"/>
      <c r="B88" s="4"/>
      <c r="C88" s="2"/>
      <c r="D88" s="2"/>
      <c r="F88" s="16"/>
      <c r="G88" s="16"/>
      <c r="H88" s="16"/>
      <c r="J88" s="38"/>
      <c r="K88" s="38"/>
      <c r="L88" s="38"/>
    </row>
    <row r="89" spans="1:12" ht="13.8" thickBot="1" x14ac:dyDescent="0.3">
      <c r="A89" s="12"/>
      <c r="B89" s="4"/>
      <c r="C89" s="2"/>
      <c r="D89" s="2"/>
      <c r="F89" s="16"/>
      <c r="G89" s="16"/>
      <c r="H89" s="16"/>
      <c r="J89" s="38"/>
      <c r="K89" s="38"/>
      <c r="L89" s="38"/>
    </row>
    <row r="90" spans="1:12" ht="13.8" thickBot="1" x14ac:dyDescent="0.3">
      <c r="A90" s="12"/>
      <c r="B90" s="4"/>
      <c r="C90" s="2"/>
      <c r="D90" s="2"/>
      <c r="F90" s="16"/>
      <c r="G90" s="16"/>
      <c r="H90" s="16"/>
      <c r="J90" s="38"/>
      <c r="K90" s="38"/>
      <c r="L90" s="38"/>
    </row>
    <row r="91" spans="1:12" ht="13.8" thickBot="1" x14ac:dyDescent="0.3">
      <c r="A91" s="12"/>
      <c r="B91" s="4"/>
      <c r="C91" s="2"/>
      <c r="D91" s="2"/>
      <c r="F91" s="16"/>
      <c r="G91" s="16"/>
      <c r="H91" s="16"/>
      <c r="J91" s="38"/>
      <c r="K91" s="38"/>
      <c r="L91" s="38"/>
    </row>
    <row r="92" spans="1:12" ht="13.8" thickBot="1" x14ac:dyDescent="0.3">
      <c r="A92" s="12"/>
      <c r="B92" s="4"/>
      <c r="C92" s="2"/>
      <c r="D92" s="2"/>
      <c r="F92" s="16"/>
      <c r="G92" s="16"/>
      <c r="H92" s="16"/>
      <c r="J92" s="38"/>
      <c r="K92" s="38"/>
      <c r="L92" s="38"/>
    </row>
    <row r="93" spans="1:12" ht="13.8" thickBot="1" x14ac:dyDescent="0.3">
      <c r="A93" s="12"/>
      <c r="B93" s="4"/>
      <c r="C93" s="2"/>
      <c r="D93" s="2"/>
      <c r="F93" s="16"/>
      <c r="G93" s="16"/>
      <c r="H93" s="16"/>
      <c r="J93" s="38"/>
      <c r="K93" s="38"/>
      <c r="L93" s="38"/>
    </row>
    <row r="94" spans="1:12" ht="13.8" thickBot="1" x14ac:dyDescent="0.3">
      <c r="A94" s="12"/>
      <c r="B94" s="4"/>
      <c r="C94" s="2"/>
      <c r="D94" s="2"/>
      <c r="F94" s="16"/>
      <c r="G94" s="16"/>
      <c r="H94" s="16"/>
      <c r="J94" s="38"/>
      <c r="K94" s="38"/>
      <c r="L94" s="38"/>
    </row>
    <row r="95" spans="1:12" ht="13.8" thickBot="1" x14ac:dyDescent="0.3">
      <c r="A95" s="12"/>
      <c r="B95" s="4"/>
      <c r="C95" s="2"/>
      <c r="D95" s="2"/>
      <c r="F95" s="16"/>
      <c r="G95" s="16"/>
      <c r="H95" s="16"/>
      <c r="J95" s="38"/>
      <c r="K95" s="38"/>
      <c r="L95" s="38"/>
    </row>
    <row r="96" spans="1:12" ht="13.8" thickBot="1" x14ac:dyDescent="0.3">
      <c r="A96" s="12"/>
      <c r="B96" s="4"/>
      <c r="C96" s="2"/>
      <c r="D96" s="2"/>
      <c r="F96" s="16"/>
      <c r="G96" s="16"/>
      <c r="H96" s="16"/>
      <c r="J96" s="38"/>
      <c r="K96" s="38"/>
      <c r="L96" s="38"/>
    </row>
    <row r="97" spans="1:12" ht="13.8" thickBot="1" x14ac:dyDescent="0.3">
      <c r="A97" s="12"/>
      <c r="B97" s="4"/>
      <c r="C97" s="2"/>
      <c r="D97" s="2"/>
      <c r="F97" s="16"/>
      <c r="G97" s="16"/>
      <c r="H97" s="16"/>
      <c r="J97" s="38"/>
      <c r="K97" s="38"/>
      <c r="L97" s="38"/>
    </row>
    <row r="98" spans="1:12" ht="13.8" thickBot="1" x14ac:dyDescent="0.3">
      <c r="A98" s="12"/>
      <c r="B98" s="4"/>
      <c r="C98" s="2"/>
      <c r="D98" s="2"/>
      <c r="F98" s="16"/>
      <c r="G98" s="16"/>
      <c r="H98" s="16"/>
      <c r="J98" s="38"/>
      <c r="K98" s="38"/>
      <c r="L98" s="38"/>
    </row>
    <row r="99" spans="1:12" ht="13.8" thickBot="1" x14ac:dyDescent="0.3">
      <c r="A99" s="12"/>
      <c r="B99" s="4"/>
      <c r="C99" s="2"/>
      <c r="D99" s="2"/>
      <c r="F99" s="16"/>
      <c r="G99" s="16"/>
      <c r="H99" s="16"/>
      <c r="J99" s="38"/>
      <c r="K99" s="38"/>
      <c r="L99" s="38"/>
    </row>
    <row r="100" spans="1:12" ht="13.8" thickBot="1" x14ac:dyDescent="0.3">
      <c r="A100" s="12"/>
      <c r="B100" s="4"/>
      <c r="C100" s="2"/>
      <c r="D100" s="2"/>
      <c r="F100" s="16"/>
      <c r="G100" s="16"/>
      <c r="H100" s="16"/>
      <c r="J100" s="38"/>
      <c r="K100" s="38"/>
      <c r="L100" s="38"/>
    </row>
    <row r="101" spans="1:12" ht="13.8" thickBot="1" x14ac:dyDescent="0.3">
      <c r="A101" s="12"/>
      <c r="B101" s="4"/>
      <c r="C101" s="2"/>
      <c r="D101" s="2"/>
      <c r="F101" s="16"/>
      <c r="G101" s="16"/>
      <c r="H101" s="16"/>
      <c r="J101" s="38"/>
      <c r="K101" s="38"/>
      <c r="L101" s="38"/>
    </row>
    <row r="102" spans="1:12" ht="13.8" thickBot="1" x14ac:dyDescent="0.3">
      <c r="A102" s="12"/>
      <c r="B102" s="4"/>
      <c r="C102" s="2"/>
      <c r="D102" s="2"/>
      <c r="F102" s="16"/>
      <c r="G102" s="16"/>
      <c r="H102" s="16"/>
      <c r="J102" s="38"/>
      <c r="K102" s="38"/>
      <c r="L102" s="38"/>
    </row>
    <row r="103" spans="1:12" ht="13.8" thickBot="1" x14ac:dyDescent="0.3">
      <c r="A103" s="12"/>
      <c r="B103" s="4"/>
      <c r="C103" s="2"/>
      <c r="D103" s="2"/>
      <c r="F103" s="16"/>
      <c r="G103" s="16"/>
      <c r="H103" s="16"/>
      <c r="J103" s="38"/>
      <c r="K103" s="38"/>
      <c r="L103" s="38"/>
    </row>
    <row r="104" spans="1:12" ht="13.8" thickBot="1" x14ac:dyDescent="0.3">
      <c r="A104" s="12"/>
      <c r="B104" s="4"/>
      <c r="C104" s="2"/>
      <c r="D104" s="2"/>
      <c r="F104" s="16"/>
      <c r="G104" s="16"/>
      <c r="H104" s="16"/>
      <c r="J104" s="38"/>
      <c r="K104" s="38"/>
      <c r="L104" s="38"/>
    </row>
    <row r="105" spans="1:12" ht="13.8" thickBot="1" x14ac:dyDescent="0.3">
      <c r="A105" s="12"/>
      <c r="B105" s="4"/>
      <c r="C105" s="2"/>
      <c r="D105" s="2"/>
      <c r="F105" s="16"/>
      <c r="G105" s="16"/>
      <c r="H105" s="16"/>
      <c r="J105" s="38"/>
      <c r="K105" s="38"/>
      <c r="L105" s="38"/>
    </row>
    <row r="106" spans="1:12" ht="13.8" thickBot="1" x14ac:dyDescent="0.3">
      <c r="A106" s="12"/>
      <c r="B106" s="4"/>
      <c r="C106" s="2"/>
      <c r="D106" s="2"/>
      <c r="F106" s="16"/>
      <c r="G106" s="16"/>
      <c r="H106" s="16"/>
      <c r="J106" s="38"/>
      <c r="K106" s="38"/>
      <c r="L106" s="38"/>
    </row>
    <row r="107" spans="1:12" ht="13.8" thickBot="1" x14ac:dyDescent="0.3">
      <c r="A107" s="12"/>
      <c r="B107" s="4"/>
      <c r="C107" s="2"/>
      <c r="D107" s="2"/>
      <c r="F107" s="16"/>
      <c r="G107" s="16"/>
      <c r="H107" s="16"/>
      <c r="J107" s="38"/>
      <c r="K107" s="38"/>
      <c r="L107" s="38"/>
    </row>
    <row r="108" spans="1:12" ht="13.8" thickBot="1" x14ac:dyDescent="0.3">
      <c r="A108" s="12"/>
      <c r="B108" s="4"/>
      <c r="C108" s="2"/>
      <c r="D108" s="2"/>
      <c r="F108" s="16"/>
      <c r="G108" s="16"/>
      <c r="H108" s="16"/>
      <c r="J108" s="38"/>
      <c r="K108" s="38"/>
      <c r="L108" s="38"/>
    </row>
    <row r="109" spans="1:12" ht="13.8" thickBot="1" x14ac:dyDescent="0.3">
      <c r="A109" s="12"/>
      <c r="B109" s="4"/>
      <c r="C109" s="2"/>
      <c r="D109" s="2"/>
      <c r="F109" s="16"/>
      <c r="G109" s="16"/>
      <c r="H109" s="16"/>
      <c r="J109" s="38"/>
      <c r="K109" s="38"/>
      <c r="L109" s="38"/>
    </row>
    <row r="110" spans="1:12" ht="13.8" thickBot="1" x14ac:dyDescent="0.3">
      <c r="A110" s="12"/>
      <c r="B110" s="4"/>
      <c r="C110" s="2"/>
      <c r="D110" s="2"/>
      <c r="F110" s="16"/>
      <c r="G110" s="16"/>
      <c r="H110" s="16"/>
      <c r="J110" s="38"/>
      <c r="K110" s="38"/>
      <c r="L110" s="38"/>
    </row>
    <row r="111" spans="1:12" ht="13.8" thickBot="1" x14ac:dyDescent="0.3">
      <c r="A111" s="12"/>
      <c r="B111" s="4"/>
      <c r="C111" s="2"/>
      <c r="D111" s="2"/>
      <c r="F111" s="16"/>
      <c r="G111" s="16"/>
      <c r="H111" s="16"/>
      <c r="J111" s="38"/>
      <c r="K111" s="38"/>
      <c r="L111" s="38"/>
    </row>
    <row r="112" spans="1:12" ht="13.8" thickBot="1" x14ac:dyDescent="0.3">
      <c r="A112" s="12"/>
      <c r="B112" s="4"/>
      <c r="C112" s="2"/>
      <c r="D112" s="2"/>
      <c r="F112" s="16"/>
      <c r="G112" s="16"/>
      <c r="H112" s="16"/>
      <c r="J112" s="38"/>
      <c r="K112" s="38"/>
      <c r="L112" s="38"/>
    </row>
    <row r="113" spans="1:12" ht="13.8" thickBot="1" x14ac:dyDescent="0.3">
      <c r="A113" s="12"/>
      <c r="B113" s="4"/>
      <c r="C113" s="2"/>
      <c r="D113" s="2"/>
      <c r="F113" s="16"/>
      <c r="G113" s="16"/>
      <c r="H113" s="16"/>
      <c r="J113" s="38"/>
      <c r="K113" s="38"/>
      <c r="L113" s="38"/>
    </row>
    <row r="114" spans="1:12" ht="13.8" thickBot="1" x14ac:dyDescent="0.3">
      <c r="A114" s="12"/>
      <c r="B114" s="4"/>
      <c r="C114" s="2"/>
      <c r="D114" s="2"/>
      <c r="F114" s="16"/>
      <c r="G114" s="16"/>
      <c r="H114" s="16"/>
      <c r="J114" s="38"/>
      <c r="K114" s="38"/>
      <c r="L114" s="38"/>
    </row>
    <row r="115" spans="1:12" ht="13.8" thickBot="1" x14ac:dyDescent="0.3">
      <c r="A115" s="12"/>
      <c r="B115" s="4"/>
      <c r="C115" s="2"/>
      <c r="D115" s="2"/>
      <c r="F115" s="16"/>
      <c r="G115" s="16"/>
      <c r="H115" s="16"/>
      <c r="J115" s="38"/>
      <c r="K115" s="38"/>
      <c r="L115" s="38"/>
    </row>
    <row r="116" spans="1:12" ht="13.8" thickBot="1" x14ac:dyDescent="0.3">
      <c r="A116" s="12"/>
      <c r="B116" s="4"/>
      <c r="C116" s="2"/>
      <c r="D116" s="2"/>
      <c r="F116" s="16"/>
      <c r="G116" s="16"/>
      <c r="H116" s="16"/>
      <c r="J116" s="38"/>
      <c r="K116" s="38"/>
      <c r="L116" s="38"/>
    </row>
    <row r="117" spans="1:12" ht="13.8" thickBot="1" x14ac:dyDescent="0.3">
      <c r="A117" s="12"/>
      <c r="B117" s="4"/>
      <c r="C117" s="2"/>
      <c r="D117" s="2"/>
      <c r="F117" s="16"/>
      <c r="G117" s="16"/>
      <c r="H117" s="16"/>
      <c r="J117" s="38"/>
      <c r="K117" s="38"/>
      <c r="L117" s="38"/>
    </row>
    <row r="118" spans="1:12" ht="13.8" thickBot="1" x14ac:dyDescent="0.3">
      <c r="A118" s="12"/>
      <c r="B118" s="4"/>
      <c r="C118" s="2"/>
      <c r="D118" s="2"/>
      <c r="F118" s="16"/>
      <c r="G118" s="16"/>
      <c r="H118" s="16"/>
      <c r="J118" s="38"/>
      <c r="K118" s="38"/>
      <c r="L118" s="38"/>
    </row>
    <row r="119" spans="1:12" ht="13.8" thickBot="1" x14ac:dyDescent="0.3">
      <c r="A119" s="12"/>
      <c r="B119" s="4"/>
      <c r="C119" s="2"/>
      <c r="D119" s="2"/>
      <c r="F119" s="16"/>
      <c r="G119" s="16"/>
      <c r="H119" s="16"/>
      <c r="J119" s="38"/>
      <c r="K119" s="38"/>
      <c r="L119" s="38"/>
    </row>
    <row r="120" spans="1:12" ht="13.8" thickBot="1" x14ac:dyDescent="0.3">
      <c r="A120" s="12"/>
      <c r="B120" s="4"/>
      <c r="C120" s="2"/>
      <c r="D120" s="2"/>
      <c r="F120" s="16"/>
      <c r="G120" s="16"/>
      <c r="H120" s="16"/>
      <c r="J120" s="38"/>
      <c r="K120" s="38"/>
      <c r="L120" s="38"/>
    </row>
    <row r="121" spans="1:12" ht="13.8" thickBot="1" x14ac:dyDescent="0.3">
      <c r="A121" s="12"/>
      <c r="B121" s="4"/>
      <c r="C121" s="2"/>
      <c r="D121" s="2"/>
      <c r="F121" s="16"/>
      <c r="G121" s="16"/>
      <c r="H121" s="16"/>
      <c r="J121" s="38"/>
      <c r="K121" s="38"/>
      <c r="L121" s="38"/>
    </row>
    <row r="122" spans="1:12" ht="13.8" thickBot="1" x14ac:dyDescent="0.3">
      <c r="A122" s="12"/>
      <c r="B122" s="4"/>
      <c r="C122" s="2"/>
      <c r="D122" s="2"/>
      <c r="F122" s="16"/>
      <c r="G122" s="16"/>
      <c r="H122" s="16"/>
      <c r="J122" s="38"/>
      <c r="K122" s="38"/>
      <c r="L122" s="38"/>
    </row>
    <row r="123" spans="1:12" ht="13.8" thickBot="1" x14ac:dyDescent="0.3">
      <c r="A123" s="12"/>
      <c r="B123" s="4"/>
      <c r="C123" s="2"/>
      <c r="D123" s="2"/>
      <c r="F123" s="16"/>
      <c r="G123" s="16"/>
      <c r="H123" s="16"/>
      <c r="J123" s="38"/>
      <c r="K123" s="38"/>
      <c r="L123" s="38"/>
    </row>
    <row r="124" spans="1:12" ht="13.8" thickBot="1" x14ac:dyDescent="0.3">
      <c r="A124" s="12"/>
      <c r="B124" s="4"/>
      <c r="C124" s="2"/>
      <c r="D124" s="2"/>
      <c r="F124" s="16"/>
      <c r="G124" s="16"/>
      <c r="H124" s="16"/>
      <c r="J124" s="38"/>
      <c r="K124" s="38"/>
      <c r="L124" s="38"/>
    </row>
    <row r="125" spans="1:12" ht="13.8" thickBot="1" x14ac:dyDescent="0.3">
      <c r="A125" s="12"/>
      <c r="B125" s="4"/>
      <c r="C125" s="2"/>
      <c r="D125" s="2"/>
      <c r="F125" s="16"/>
      <c r="G125" s="16"/>
      <c r="H125" s="16"/>
      <c r="J125" s="38"/>
      <c r="K125" s="38"/>
      <c r="L125" s="38"/>
    </row>
    <row r="126" spans="1:12" ht="13.8" thickBot="1" x14ac:dyDescent="0.3">
      <c r="A126" s="12"/>
      <c r="B126" s="4"/>
      <c r="C126" s="2"/>
      <c r="D126" s="2"/>
      <c r="F126" s="16"/>
      <c r="G126" s="16"/>
      <c r="H126" s="16"/>
      <c r="J126" s="38"/>
      <c r="K126" s="38"/>
      <c r="L126" s="38"/>
    </row>
    <row r="127" spans="1:12" ht="13.8" thickBot="1" x14ac:dyDescent="0.3">
      <c r="A127" s="12"/>
      <c r="B127" s="4"/>
      <c r="C127" s="2"/>
      <c r="D127" s="2"/>
      <c r="F127" s="16"/>
      <c r="G127" s="16"/>
      <c r="H127" s="16"/>
      <c r="J127" s="38"/>
      <c r="K127" s="38"/>
      <c r="L127" s="38"/>
    </row>
    <row r="128" spans="1:12" ht="13.8" thickBot="1" x14ac:dyDescent="0.3">
      <c r="A128" s="12"/>
      <c r="B128" s="4"/>
      <c r="C128" s="2"/>
      <c r="D128" s="2"/>
      <c r="F128" s="16"/>
      <c r="G128" s="16"/>
      <c r="H128" s="16"/>
      <c r="J128" s="38"/>
      <c r="K128" s="38"/>
      <c r="L128" s="38"/>
    </row>
    <row r="129" spans="1:12" ht="13.8" thickBot="1" x14ac:dyDescent="0.3">
      <c r="A129" s="12"/>
      <c r="B129" s="4"/>
      <c r="C129" s="2"/>
      <c r="D129" s="2"/>
      <c r="F129" s="16"/>
      <c r="G129" s="16"/>
      <c r="H129" s="16"/>
      <c r="J129" s="38"/>
      <c r="K129" s="38"/>
      <c r="L129" s="38"/>
    </row>
    <row r="130" spans="1:12" ht="13.8" thickBot="1" x14ac:dyDescent="0.3">
      <c r="A130" s="12"/>
      <c r="B130" s="4"/>
      <c r="C130" s="2"/>
      <c r="D130" s="2"/>
      <c r="F130" s="16"/>
      <c r="G130" s="16"/>
      <c r="H130" s="16"/>
      <c r="J130" s="38"/>
      <c r="K130" s="38"/>
      <c r="L130" s="38"/>
    </row>
    <row r="131" spans="1:12" ht="13.8" thickBot="1" x14ac:dyDescent="0.3">
      <c r="A131" s="12"/>
      <c r="B131" s="4"/>
      <c r="C131" s="2"/>
      <c r="D131" s="2"/>
      <c r="F131" s="16"/>
      <c r="G131" s="16"/>
      <c r="H131" s="16"/>
      <c r="J131" s="38"/>
      <c r="K131" s="38"/>
      <c r="L131" s="38"/>
    </row>
    <row r="132" spans="1:12" ht="13.8" thickBot="1" x14ac:dyDescent="0.3">
      <c r="A132" s="12"/>
      <c r="B132" s="4"/>
      <c r="C132" s="2"/>
      <c r="D132" s="2"/>
      <c r="F132" s="16"/>
      <c r="G132" s="16"/>
      <c r="H132" s="16"/>
      <c r="J132" s="38"/>
      <c r="K132" s="38"/>
      <c r="L132" s="38"/>
    </row>
    <row r="133" spans="1:12" ht="13.8" thickBot="1" x14ac:dyDescent="0.3">
      <c r="A133" s="12"/>
      <c r="B133" s="4"/>
      <c r="C133" s="2"/>
      <c r="D133" s="2"/>
      <c r="F133" s="16"/>
      <c r="G133" s="16"/>
      <c r="H133" s="16"/>
      <c r="J133" s="38"/>
      <c r="K133" s="38"/>
      <c r="L133" s="38"/>
    </row>
    <row r="134" spans="1:12" ht="13.8" thickBot="1" x14ac:dyDescent="0.3">
      <c r="A134" s="12"/>
      <c r="B134" s="4"/>
      <c r="C134" s="2"/>
      <c r="D134" s="2"/>
      <c r="F134" s="16"/>
      <c r="G134" s="16"/>
      <c r="H134" s="16"/>
      <c r="J134" s="38"/>
      <c r="K134" s="38"/>
      <c r="L134" s="38"/>
    </row>
    <row r="135" spans="1:12" ht="13.8" thickBot="1" x14ac:dyDescent="0.3">
      <c r="A135" s="12"/>
      <c r="B135" s="4"/>
      <c r="C135" s="2"/>
      <c r="D135" s="2"/>
      <c r="F135" s="16"/>
      <c r="G135" s="16"/>
      <c r="H135" s="16"/>
      <c r="J135" s="38"/>
      <c r="K135" s="38"/>
      <c r="L135" s="38"/>
    </row>
    <row r="136" spans="1:12" ht="13.8" thickBot="1" x14ac:dyDescent="0.3">
      <c r="A136" s="12"/>
      <c r="B136" s="4"/>
      <c r="C136" s="2"/>
      <c r="D136" s="2"/>
      <c r="F136" s="16"/>
      <c r="G136" s="16"/>
      <c r="H136" s="16"/>
      <c r="J136" s="38"/>
      <c r="K136" s="38"/>
      <c r="L136" s="38"/>
    </row>
    <row r="137" spans="1:12" ht="13.8" thickBot="1" x14ac:dyDescent="0.3">
      <c r="A137" s="12"/>
      <c r="B137" s="4"/>
      <c r="C137" s="2"/>
      <c r="D137" s="2"/>
      <c r="F137" s="16"/>
      <c r="G137" s="16"/>
      <c r="H137" s="16"/>
      <c r="J137" s="38"/>
      <c r="K137" s="38"/>
      <c r="L137" s="38"/>
    </row>
    <row r="138" spans="1:12" ht="13.8" thickBot="1" x14ac:dyDescent="0.3">
      <c r="A138" s="12"/>
      <c r="B138" s="4"/>
      <c r="C138" s="2"/>
      <c r="D138" s="2"/>
      <c r="F138" s="16"/>
      <c r="G138" s="16"/>
      <c r="H138" s="16"/>
      <c r="J138" s="38"/>
      <c r="K138" s="38"/>
      <c r="L138" s="38"/>
    </row>
    <row r="139" spans="1:12" ht="13.8" thickBot="1" x14ac:dyDescent="0.3">
      <c r="A139" s="12"/>
      <c r="B139" s="4"/>
      <c r="C139" s="2"/>
      <c r="D139" s="2"/>
      <c r="F139" s="16"/>
      <c r="G139" s="16"/>
      <c r="H139" s="16"/>
      <c r="J139" s="38"/>
      <c r="K139" s="38"/>
      <c r="L139" s="38"/>
    </row>
    <row r="140" spans="1:12" ht="13.8" thickBot="1" x14ac:dyDescent="0.3">
      <c r="A140" s="12"/>
      <c r="B140" s="4"/>
      <c r="C140" s="2"/>
      <c r="D140" s="2"/>
      <c r="F140" s="16"/>
      <c r="G140" s="16"/>
      <c r="H140" s="16"/>
      <c r="J140" s="38"/>
      <c r="K140" s="38"/>
      <c r="L140" s="38"/>
    </row>
    <row r="141" spans="1:12" ht="13.8" thickBot="1" x14ac:dyDescent="0.3">
      <c r="A141" s="12"/>
      <c r="B141" s="4"/>
      <c r="C141" s="2"/>
      <c r="D141" s="2"/>
      <c r="F141" s="16"/>
      <c r="G141" s="16"/>
      <c r="H141" s="16"/>
      <c r="J141" s="38"/>
      <c r="K141" s="38"/>
      <c r="L141" s="38"/>
    </row>
    <row r="142" spans="1:12" ht="13.8" thickBot="1" x14ac:dyDescent="0.3">
      <c r="A142" s="12"/>
      <c r="B142" s="4"/>
      <c r="C142" s="2"/>
      <c r="D142" s="2"/>
      <c r="F142" s="16"/>
      <c r="G142" s="16"/>
      <c r="H142" s="16"/>
      <c r="J142" s="38"/>
      <c r="K142" s="38"/>
      <c r="L142" s="38"/>
    </row>
    <row r="143" spans="1:12" ht="13.8" thickBot="1" x14ac:dyDescent="0.3">
      <c r="A143" s="12"/>
      <c r="B143" s="4"/>
      <c r="C143" s="2"/>
      <c r="D143" s="2"/>
      <c r="F143" s="16"/>
      <c r="G143" s="16"/>
      <c r="H143" s="16"/>
      <c r="J143" s="38"/>
      <c r="K143" s="38"/>
      <c r="L143" s="38"/>
    </row>
    <row r="144" spans="1:12" ht="13.8" thickBot="1" x14ac:dyDescent="0.3">
      <c r="A144" s="12"/>
      <c r="B144" s="4"/>
      <c r="C144" s="2"/>
      <c r="D144" s="2"/>
      <c r="F144" s="16"/>
      <c r="G144" s="16"/>
      <c r="H144" s="16"/>
      <c r="J144" s="38"/>
      <c r="K144" s="38"/>
      <c r="L144" s="38"/>
    </row>
    <row r="145" spans="1:12" ht="13.8" thickBot="1" x14ac:dyDescent="0.3">
      <c r="A145" s="12"/>
      <c r="B145" s="4"/>
      <c r="C145" s="2"/>
      <c r="D145" s="2"/>
      <c r="F145" s="16"/>
      <c r="G145" s="16"/>
      <c r="H145" s="16"/>
      <c r="J145" s="38"/>
      <c r="K145" s="38"/>
      <c r="L145" s="38"/>
    </row>
    <row r="146" spans="1:12" ht="13.8" thickBot="1" x14ac:dyDescent="0.3">
      <c r="A146" s="12"/>
      <c r="B146" s="4"/>
      <c r="C146" s="2"/>
      <c r="D146" s="2"/>
      <c r="F146" s="16"/>
      <c r="G146" s="16"/>
      <c r="H146" s="16"/>
      <c r="J146" s="38"/>
      <c r="K146" s="38"/>
      <c r="L146" s="38"/>
    </row>
    <row r="147" spans="1:12" ht="13.8" thickBot="1" x14ac:dyDescent="0.3">
      <c r="A147" s="12"/>
      <c r="B147" s="4"/>
      <c r="C147" s="2"/>
      <c r="D147" s="2"/>
      <c r="F147" s="16"/>
      <c r="G147" s="16"/>
      <c r="H147" s="16"/>
      <c r="J147" s="38"/>
      <c r="K147" s="38"/>
      <c r="L147" s="38"/>
    </row>
    <row r="148" spans="1:12" ht="13.8" thickBot="1" x14ac:dyDescent="0.3">
      <c r="A148" s="12"/>
      <c r="B148" s="4"/>
      <c r="C148" s="2"/>
      <c r="D148" s="2"/>
      <c r="F148" s="16"/>
      <c r="G148" s="16"/>
      <c r="H148" s="16"/>
      <c r="J148" s="38"/>
      <c r="K148" s="38"/>
      <c r="L148" s="38"/>
    </row>
    <row r="149" spans="1:12" ht="13.8" thickBot="1" x14ac:dyDescent="0.3">
      <c r="A149" s="12"/>
      <c r="B149" s="4"/>
      <c r="C149" s="2"/>
      <c r="D149" s="2"/>
      <c r="F149" s="16"/>
      <c r="G149" s="16"/>
      <c r="H149" s="16"/>
      <c r="J149" s="38"/>
      <c r="K149" s="38"/>
      <c r="L149" s="38"/>
    </row>
    <row r="150" spans="1:12" ht="13.8" thickBot="1" x14ac:dyDescent="0.3">
      <c r="A150" s="12"/>
      <c r="B150" s="4"/>
      <c r="C150" s="2"/>
      <c r="D150" s="2"/>
      <c r="F150" s="16"/>
      <c r="G150" s="16"/>
      <c r="H150" s="16"/>
      <c r="J150" s="38"/>
      <c r="K150" s="38"/>
      <c r="L150" s="38"/>
    </row>
    <row r="151" spans="1:12" ht="13.8" thickBot="1" x14ac:dyDescent="0.3">
      <c r="A151" s="12"/>
      <c r="B151" s="4"/>
      <c r="C151" s="2"/>
      <c r="D151" s="2"/>
      <c r="F151" s="16"/>
      <c r="G151" s="16"/>
      <c r="H151" s="16"/>
      <c r="J151" s="38"/>
      <c r="K151" s="38"/>
      <c r="L151" s="38"/>
    </row>
    <row r="152" spans="1:12" ht="13.8" thickBot="1" x14ac:dyDescent="0.3">
      <c r="A152" s="12"/>
      <c r="B152" s="4"/>
      <c r="C152" s="2"/>
      <c r="D152" s="2"/>
      <c r="F152" s="16"/>
      <c r="G152" s="16"/>
      <c r="H152" s="16"/>
      <c r="J152" s="38"/>
      <c r="K152" s="38"/>
      <c r="L152" s="38"/>
    </row>
    <row r="153" spans="1:12" ht="13.8" thickBot="1" x14ac:dyDescent="0.3">
      <c r="A153" s="12"/>
      <c r="B153" s="4"/>
      <c r="C153" s="2"/>
      <c r="D153" s="2"/>
      <c r="F153" s="16"/>
      <c r="G153" s="16"/>
      <c r="H153" s="16"/>
      <c r="J153" s="38"/>
      <c r="K153" s="38"/>
      <c r="L153" s="38"/>
    </row>
    <row r="154" spans="1:12" ht="13.8" thickBot="1" x14ac:dyDescent="0.3">
      <c r="A154" s="12"/>
      <c r="B154" s="4"/>
      <c r="C154" s="2"/>
      <c r="D154" s="2"/>
      <c r="F154" s="16"/>
      <c r="G154" s="16"/>
      <c r="H154" s="16"/>
      <c r="J154" s="38"/>
      <c r="K154" s="38"/>
      <c r="L154" s="38"/>
    </row>
    <row r="155" spans="1:12" ht="13.8" thickBot="1" x14ac:dyDescent="0.3">
      <c r="A155" s="12"/>
      <c r="B155" s="4"/>
      <c r="C155" s="2"/>
      <c r="D155" s="2"/>
      <c r="F155" s="16"/>
      <c r="G155" s="16"/>
      <c r="H155" s="16"/>
      <c r="J155" s="38"/>
      <c r="K155" s="38"/>
      <c r="L155" s="38"/>
    </row>
    <row r="156" spans="1:12" ht="13.8" thickBot="1" x14ac:dyDescent="0.3">
      <c r="A156" s="12"/>
      <c r="B156" s="4"/>
      <c r="C156" s="2"/>
      <c r="D156" s="2"/>
      <c r="F156" s="16"/>
      <c r="G156" s="16"/>
      <c r="H156" s="16"/>
      <c r="J156" s="38"/>
      <c r="K156" s="38"/>
      <c r="L156" s="38"/>
    </row>
    <row r="157" spans="1:12" ht="13.8" thickBot="1" x14ac:dyDescent="0.3">
      <c r="A157" s="12"/>
      <c r="B157" s="4"/>
      <c r="C157" s="2"/>
      <c r="D157" s="2"/>
      <c r="F157" s="16"/>
      <c r="G157" s="16"/>
      <c r="H157" s="16"/>
      <c r="J157" s="38"/>
      <c r="K157" s="38"/>
      <c r="L157" s="38"/>
    </row>
    <row r="158" spans="1:12" ht="13.8" thickBot="1" x14ac:dyDescent="0.3">
      <c r="A158" s="12"/>
      <c r="B158" s="4"/>
      <c r="C158" s="2"/>
      <c r="D158" s="2"/>
      <c r="F158" s="16"/>
      <c r="G158" s="16"/>
      <c r="H158" s="16"/>
      <c r="J158" s="38"/>
      <c r="K158" s="38"/>
      <c r="L158" s="38"/>
    </row>
    <row r="159" spans="1:12" ht="13.8" thickBot="1" x14ac:dyDescent="0.3">
      <c r="A159" s="12"/>
      <c r="B159" s="4"/>
      <c r="C159" s="2"/>
      <c r="D159" s="2"/>
      <c r="F159" s="16"/>
      <c r="G159" s="16"/>
      <c r="H159" s="16"/>
      <c r="J159" s="38"/>
      <c r="K159" s="38"/>
      <c r="L159" s="38"/>
    </row>
    <row r="160" spans="1:12" ht="13.8" thickBot="1" x14ac:dyDescent="0.3">
      <c r="A160" s="12"/>
      <c r="B160" s="4"/>
      <c r="C160" s="2"/>
      <c r="D160" s="2"/>
      <c r="F160" s="16"/>
      <c r="G160" s="16"/>
      <c r="H160" s="16"/>
      <c r="J160" s="38"/>
      <c r="K160" s="38"/>
      <c r="L160" s="38"/>
    </row>
    <row r="161" spans="1:12" ht="13.8" thickBot="1" x14ac:dyDescent="0.3">
      <c r="A161" s="12"/>
      <c r="B161" s="4"/>
      <c r="C161" s="2"/>
      <c r="D161" s="2"/>
      <c r="F161" s="16"/>
      <c r="G161" s="16"/>
      <c r="H161" s="16"/>
      <c r="J161" s="38"/>
      <c r="K161" s="38"/>
      <c r="L161" s="38"/>
    </row>
    <row r="162" spans="1:12" ht="13.8" thickBot="1" x14ac:dyDescent="0.3">
      <c r="A162" s="12"/>
      <c r="B162" s="4"/>
      <c r="C162" s="2"/>
      <c r="D162" s="2"/>
      <c r="F162" s="16"/>
      <c r="G162" s="16"/>
      <c r="H162" s="16"/>
      <c r="J162" s="38"/>
      <c r="K162" s="38"/>
      <c r="L162" s="38"/>
    </row>
    <row r="163" spans="1:12" ht="13.8" thickBot="1" x14ac:dyDescent="0.3">
      <c r="A163" s="12"/>
      <c r="B163" s="4"/>
      <c r="C163" s="2"/>
      <c r="D163" s="2"/>
      <c r="F163" s="16"/>
      <c r="G163" s="16"/>
      <c r="H163" s="16"/>
      <c r="J163" s="38"/>
      <c r="K163" s="38"/>
      <c r="L163" s="38"/>
    </row>
    <row r="164" spans="1:12" ht="13.8" thickBot="1" x14ac:dyDescent="0.3">
      <c r="A164" s="12"/>
      <c r="B164" s="4"/>
      <c r="C164" s="2"/>
      <c r="D164" s="2"/>
      <c r="F164" s="16"/>
      <c r="G164" s="16"/>
      <c r="H164" s="16"/>
      <c r="J164" s="38"/>
      <c r="K164" s="38"/>
      <c r="L164" s="38"/>
    </row>
    <row r="165" spans="1:12" ht="13.8" thickBot="1" x14ac:dyDescent="0.3">
      <c r="A165" s="12"/>
      <c r="B165" s="4"/>
      <c r="C165" s="2"/>
      <c r="D165" s="2"/>
      <c r="F165" s="16"/>
      <c r="G165" s="16"/>
      <c r="H165" s="16"/>
      <c r="J165" s="38"/>
      <c r="K165" s="38"/>
      <c r="L165" s="38"/>
    </row>
    <row r="166" spans="1:12" ht="13.8" thickBot="1" x14ac:dyDescent="0.3">
      <c r="A166" s="12"/>
      <c r="B166" s="4"/>
      <c r="C166" s="2"/>
      <c r="D166" s="2"/>
      <c r="F166" s="16"/>
      <c r="G166" s="16"/>
      <c r="H166" s="16"/>
      <c r="J166" s="38"/>
      <c r="K166" s="38"/>
      <c r="L166" s="38"/>
    </row>
    <row r="167" spans="1:12" ht="13.8" thickBot="1" x14ac:dyDescent="0.3">
      <c r="A167" s="12"/>
      <c r="B167" s="4"/>
      <c r="C167" s="2"/>
      <c r="D167" s="2"/>
      <c r="F167" s="16"/>
      <c r="G167" s="16"/>
      <c r="H167" s="16"/>
      <c r="J167" s="38"/>
      <c r="K167" s="38"/>
      <c r="L167" s="38"/>
    </row>
    <row r="168" spans="1:12" ht="13.8" thickBot="1" x14ac:dyDescent="0.3">
      <c r="A168" s="12"/>
      <c r="B168" s="4"/>
      <c r="C168" s="2"/>
      <c r="D168" s="2"/>
      <c r="F168" s="16"/>
      <c r="G168" s="16"/>
      <c r="H168" s="16"/>
      <c r="J168" s="38"/>
      <c r="K168" s="38"/>
      <c r="L168" s="38"/>
    </row>
    <row r="169" spans="1:12" ht="13.8" thickBot="1" x14ac:dyDescent="0.3">
      <c r="A169" s="12"/>
      <c r="B169" s="4"/>
      <c r="C169" s="2"/>
      <c r="D169" s="2"/>
      <c r="F169" s="16"/>
      <c r="G169" s="16"/>
      <c r="H169" s="16"/>
      <c r="J169" s="38"/>
      <c r="K169" s="38"/>
      <c r="L169" s="38"/>
    </row>
    <row r="170" spans="1:12" ht="13.8" thickBot="1" x14ac:dyDescent="0.3">
      <c r="A170" s="12"/>
      <c r="B170" s="4"/>
      <c r="C170" s="2"/>
      <c r="D170" s="2"/>
      <c r="F170" s="16"/>
      <c r="G170" s="16"/>
      <c r="H170" s="16"/>
      <c r="J170" s="38"/>
      <c r="K170" s="38"/>
      <c r="L170" s="38"/>
    </row>
    <row r="171" spans="1:12" ht="13.8" thickBot="1" x14ac:dyDescent="0.3">
      <c r="A171" s="12"/>
      <c r="B171" s="4"/>
      <c r="C171" s="2"/>
      <c r="D171" s="2"/>
      <c r="F171" s="16"/>
      <c r="G171" s="16"/>
      <c r="H171" s="16"/>
      <c r="J171" s="38"/>
      <c r="K171" s="38"/>
      <c r="L171" s="38"/>
    </row>
    <row r="172" spans="1:12" ht="13.8" thickBot="1" x14ac:dyDescent="0.3">
      <c r="A172" s="12"/>
      <c r="B172" s="4"/>
      <c r="C172" s="2"/>
      <c r="D172" s="2"/>
      <c r="F172" s="16"/>
      <c r="G172" s="16"/>
      <c r="H172" s="16"/>
      <c r="J172" s="38"/>
      <c r="K172" s="38"/>
      <c r="L172" s="38"/>
    </row>
    <row r="173" spans="1:12" ht="13.8" thickBot="1" x14ac:dyDescent="0.3">
      <c r="A173" s="12"/>
      <c r="B173" s="4"/>
      <c r="C173" s="2"/>
      <c r="D173" s="2"/>
      <c r="F173" s="16"/>
      <c r="G173" s="16"/>
      <c r="H173" s="16"/>
      <c r="J173" s="38"/>
      <c r="K173" s="38"/>
      <c r="L173" s="38"/>
    </row>
    <row r="174" spans="1:12" ht="13.8" thickBot="1" x14ac:dyDescent="0.3">
      <c r="A174" s="12"/>
      <c r="B174" s="4"/>
      <c r="C174" s="2"/>
      <c r="D174" s="2"/>
      <c r="F174" s="16"/>
      <c r="G174" s="16"/>
      <c r="H174" s="16"/>
      <c r="J174" s="38"/>
      <c r="K174" s="38"/>
      <c r="L174" s="38"/>
    </row>
    <row r="175" spans="1:12" ht="13.8" thickBot="1" x14ac:dyDescent="0.3">
      <c r="A175" s="12"/>
      <c r="B175" s="4"/>
      <c r="C175" s="2"/>
      <c r="D175" s="2"/>
      <c r="F175" s="16"/>
      <c r="G175" s="16"/>
      <c r="H175" s="16"/>
      <c r="J175" s="38"/>
      <c r="K175" s="38"/>
      <c r="L175" s="38"/>
    </row>
    <row r="176" spans="1:12" ht="13.8" thickBot="1" x14ac:dyDescent="0.3">
      <c r="A176" s="12"/>
      <c r="B176" s="4"/>
      <c r="C176" s="2"/>
      <c r="D176" s="2"/>
      <c r="F176" s="16"/>
      <c r="G176" s="16"/>
      <c r="H176" s="16"/>
      <c r="J176" s="38"/>
      <c r="K176" s="38"/>
      <c r="L176" s="38"/>
    </row>
    <row r="177" spans="1:12" ht="13.8" thickBot="1" x14ac:dyDescent="0.3">
      <c r="A177" s="12"/>
      <c r="B177" s="4"/>
      <c r="C177" s="2"/>
      <c r="D177" s="2"/>
      <c r="F177" s="16"/>
      <c r="G177" s="16"/>
      <c r="H177" s="16"/>
      <c r="J177" s="38"/>
      <c r="K177" s="38"/>
      <c r="L177" s="38"/>
    </row>
    <row r="178" spans="1:12" ht="13.8" thickBot="1" x14ac:dyDescent="0.3">
      <c r="A178" s="12"/>
      <c r="B178" s="4"/>
      <c r="C178" s="2"/>
      <c r="D178" s="2"/>
      <c r="F178" s="16"/>
      <c r="G178" s="16"/>
      <c r="H178" s="16"/>
      <c r="J178" s="38"/>
      <c r="K178" s="38"/>
      <c r="L178" s="38"/>
    </row>
    <row r="179" spans="1:12" ht="13.8" thickBot="1" x14ac:dyDescent="0.3">
      <c r="A179" s="12"/>
      <c r="B179" s="4"/>
      <c r="C179" s="2"/>
      <c r="D179" s="2"/>
      <c r="F179" s="16"/>
      <c r="G179" s="16"/>
      <c r="H179" s="16"/>
      <c r="J179" s="38"/>
      <c r="K179" s="38"/>
      <c r="L179" s="38"/>
    </row>
    <row r="180" spans="1:12" ht="13.8" thickBot="1" x14ac:dyDescent="0.3">
      <c r="A180" s="12"/>
      <c r="B180" s="4"/>
      <c r="C180" s="2"/>
      <c r="D180" s="2"/>
      <c r="F180" s="16"/>
      <c r="G180" s="16"/>
      <c r="H180" s="16"/>
      <c r="J180" s="38"/>
      <c r="K180" s="38"/>
      <c r="L180" s="38"/>
    </row>
    <row r="181" spans="1:12" ht="13.8" thickBot="1" x14ac:dyDescent="0.3">
      <c r="A181" s="12"/>
      <c r="B181" s="4"/>
      <c r="C181" s="2"/>
      <c r="D181" s="2"/>
      <c r="F181" s="16"/>
      <c r="G181" s="16"/>
      <c r="H181" s="16"/>
      <c r="J181" s="38"/>
      <c r="K181" s="38"/>
      <c r="L181" s="38"/>
    </row>
    <row r="182" spans="1:12" ht="13.8" thickBot="1" x14ac:dyDescent="0.3">
      <c r="A182" s="12"/>
      <c r="B182" s="4"/>
      <c r="C182" s="2"/>
      <c r="D182" s="2"/>
      <c r="F182" s="16"/>
      <c r="G182" s="16"/>
      <c r="H182" s="16"/>
      <c r="J182" s="38"/>
      <c r="K182" s="38"/>
      <c r="L182" s="38"/>
    </row>
    <row r="183" spans="1:12" ht="13.8" thickBot="1" x14ac:dyDescent="0.3">
      <c r="A183" s="12"/>
      <c r="B183" s="4"/>
      <c r="C183" s="2"/>
      <c r="D183" s="2"/>
      <c r="F183" s="16"/>
      <c r="G183" s="16"/>
      <c r="H183" s="16"/>
      <c r="J183" s="38"/>
      <c r="K183" s="38"/>
      <c r="L183" s="38"/>
    </row>
    <row r="184" spans="1:12" ht="13.8" thickBot="1" x14ac:dyDescent="0.3">
      <c r="A184" s="12"/>
      <c r="B184" s="4"/>
      <c r="C184" s="2"/>
      <c r="D184" s="2"/>
      <c r="F184" s="16"/>
      <c r="G184" s="16"/>
      <c r="H184" s="16"/>
      <c r="J184" s="38"/>
      <c r="K184" s="38"/>
      <c r="L184" s="38"/>
    </row>
    <row r="185" spans="1:12" ht="13.8" thickBot="1" x14ac:dyDescent="0.3">
      <c r="A185" s="12"/>
      <c r="B185" s="4"/>
      <c r="C185" s="2"/>
      <c r="D185" s="2"/>
      <c r="F185" s="16"/>
      <c r="G185" s="16"/>
      <c r="H185" s="16"/>
      <c r="J185" s="38"/>
      <c r="K185" s="38"/>
      <c r="L185" s="38"/>
    </row>
    <row r="186" spans="1:12" ht="13.8" thickBot="1" x14ac:dyDescent="0.3">
      <c r="A186" s="12"/>
      <c r="B186" s="4"/>
      <c r="C186" s="2"/>
      <c r="D186" s="2"/>
      <c r="F186" s="16"/>
      <c r="G186" s="16"/>
      <c r="H186" s="16"/>
      <c r="J186" s="38"/>
      <c r="K186" s="38"/>
      <c r="L186" s="38"/>
    </row>
    <row r="187" spans="1:12" ht="13.8" thickBot="1" x14ac:dyDescent="0.3">
      <c r="A187" s="12"/>
      <c r="B187" s="4"/>
      <c r="C187" s="2"/>
      <c r="D187" s="2"/>
      <c r="F187" s="16"/>
      <c r="G187" s="16"/>
      <c r="H187" s="16"/>
      <c r="J187" s="38"/>
      <c r="K187" s="38"/>
      <c r="L187" s="38"/>
    </row>
    <row r="188" spans="1:12" ht="13.8" thickBot="1" x14ac:dyDescent="0.3">
      <c r="A188" s="12"/>
      <c r="B188" s="4"/>
      <c r="C188" s="2"/>
      <c r="D188" s="2"/>
      <c r="F188" s="16"/>
      <c r="G188" s="16"/>
      <c r="H188" s="16"/>
      <c r="J188" s="38"/>
      <c r="K188" s="38"/>
      <c r="L188" s="38"/>
    </row>
    <row r="189" spans="1:12" ht="13.8" thickBot="1" x14ac:dyDescent="0.3">
      <c r="A189" s="12"/>
      <c r="B189" s="4"/>
      <c r="C189" s="2"/>
      <c r="D189" s="2"/>
      <c r="F189" s="16"/>
      <c r="G189" s="16"/>
      <c r="H189" s="16"/>
      <c r="J189" s="38"/>
      <c r="K189" s="38"/>
      <c r="L189" s="38"/>
    </row>
    <row r="190" spans="1:12" ht="13.8" thickBot="1" x14ac:dyDescent="0.3">
      <c r="A190" s="12"/>
      <c r="B190" s="4"/>
      <c r="C190" s="2"/>
      <c r="D190" s="2"/>
      <c r="F190" s="16"/>
      <c r="G190" s="16"/>
      <c r="H190" s="16"/>
      <c r="J190" s="38"/>
      <c r="K190" s="38"/>
      <c r="L190" s="38"/>
    </row>
    <row r="191" spans="1:12" ht="13.8" thickBot="1" x14ac:dyDescent="0.3">
      <c r="A191" s="12"/>
      <c r="B191" s="4"/>
      <c r="C191" s="2"/>
      <c r="D191" s="2"/>
      <c r="F191" s="16"/>
      <c r="G191" s="16"/>
      <c r="H191" s="16"/>
      <c r="J191" s="38"/>
      <c r="K191" s="38"/>
      <c r="L191" s="38"/>
    </row>
    <row r="192" spans="1:12" ht="13.8" thickBot="1" x14ac:dyDescent="0.3">
      <c r="A192" s="12"/>
      <c r="B192" s="4"/>
      <c r="C192" s="2"/>
      <c r="D192" s="2"/>
      <c r="F192" s="16"/>
      <c r="G192" s="16"/>
      <c r="H192" s="16"/>
      <c r="J192" s="38"/>
      <c r="K192" s="38"/>
      <c r="L192" s="38"/>
    </row>
    <row r="193" spans="1:12" ht="13.8" thickBot="1" x14ac:dyDescent="0.3">
      <c r="A193" s="12"/>
      <c r="B193" s="4"/>
      <c r="C193" s="2"/>
      <c r="D193" s="2"/>
      <c r="F193" s="16"/>
      <c r="G193" s="16"/>
      <c r="H193" s="16"/>
      <c r="J193" s="38"/>
      <c r="K193" s="38"/>
      <c r="L193" s="38"/>
    </row>
    <row r="194" spans="1:12" ht="13.8" thickBot="1" x14ac:dyDescent="0.3">
      <c r="A194" s="12"/>
      <c r="B194" s="4"/>
      <c r="C194" s="2"/>
      <c r="D194" s="2"/>
      <c r="F194" s="16"/>
      <c r="G194" s="16"/>
      <c r="H194" s="16"/>
      <c r="J194" s="38"/>
      <c r="K194" s="38"/>
      <c r="L194" s="38"/>
    </row>
    <row r="195" spans="1:12" ht="13.8" thickBot="1" x14ac:dyDescent="0.3">
      <c r="A195" s="12"/>
      <c r="B195" s="4"/>
      <c r="C195" s="2"/>
      <c r="D195" s="2"/>
      <c r="F195" s="16"/>
      <c r="G195" s="16"/>
      <c r="H195" s="16"/>
      <c r="J195" s="38"/>
      <c r="K195" s="38"/>
      <c r="L195" s="38"/>
    </row>
    <row r="196" spans="1:12" ht="13.8" thickBot="1" x14ac:dyDescent="0.3">
      <c r="A196" s="12"/>
      <c r="B196" s="4"/>
      <c r="C196" s="2"/>
      <c r="D196" s="2"/>
      <c r="F196" s="16"/>
      <c r="G196" s="16"/>
      <c r="H196" s="16"/>
      <c r="J196" s="38"/>
      <c r="K196" s="38"/>
      <c r="L196" s="38"/>
    </row>
    <row r="197" spans="1:12" ht="13.8" thickBot="1" x14ac:dyDescent="0.3">
      <c r="A197" s="12"/>
      <c r="B197" s="4"/>
      <c r="C197" s="2"/>
      <c r="D197" s="2"/>
      <c r="F197" s="16"/>
      <c r="G197" s="16"/>
      <c r="H197" s="16"/>
      <c r="J197" s="38"/>
      <c r="K197" s="38"/>
      <c r="L197" s="38"/>
    </row>
    <row r="198" spans="1:12" ht="13.8" thickBot="1" x14ac:dyDescent="0.3">
      <c r="A198" s="12"/>
      <c r="B198" s="4"/>
      <c r="C198" s="2"/>
      <c r="D198" s="2"/>
      <c r="F198" s="16"/>
      <c r="G198" s="16"/>
      <c r="H198" s="16"/>
      <c r="J198" s="38"/>
      <c r="K198" s="38"/>
      <c r="L198" s="38"/>
    </row>
    <row r="199" spans="1:12" ht="13.8" thickBot="1" x14ac:dyDescent="0.3">
      <c r="A199" s="12"/>
      <c r="B199" s="4"/>
      <c r="C199" s="2"/>
      <c r="D199" s="2"/>
      <c r="F199" s="16"/>
      <c r="G199" s="16"/>
      <c r="H199" s="16"/>
      <c r="J199" s="38"/>
      <c r="K199" s="38"/>
      <c r="L199" s="38"/>
    </row>
    <row r="200" spans="1:12" ht="13.8" thickBot="1" x14ac:dyDescent="0.3">
      <c r="A200" s="12"/>
      <c r="B200" s="4"/>
      <c r="C200" s="2"/>
      <c r="D200" s="2"/>
      <c r="F200" s="16"/>
      <c r="G200" s="16"/>
      <c r="H200" s="16"/>
      <c r="J200" s="38"/>
      <c r="K200" s="38"/>
      <c r="L200" s="38"/>
    </row>
    <row r="201" spans="1:12" ht="13.8" thickBot="1" x14ac:dyDescent="0.3">
      <c r="A201" s="12"/>
      <c r="B201" s="4"/>
      <c r="C201" s="2"/>
      <c r="D201" s="2"/>
      <c r="F201" s="16"/>
      <c r="G201" s="16"/>
      <c r="H201" s="16"/>
      <c r="J201" s="38"/>
      <c r="K201" s="38"/>
      <c r="L201" s="38"/>
    </row>
    <row r="202" spans="1:12" ht="13.8" thickBot="1" x14ac:dyDescent="0.3">
      <c r="A202" s="12"/>
      <c r="B202" s="4"/>
      <c r="C202" s="2"/>
      <c r="D202" s="2"/>
      <c r="F202" s="16"/>
      <c r="G202" s="16"/>
      <c r="H202" s="16"/>
      <c r="J202" s="38"/>
      <c r="K202" s="38"/>
      <c r="L202" s="38"/>
    </row>
    <row r="203" spans="1:12" ht="13.8" thickBot="1" x14ac:dyDescent="0.3">
      <c r="A203" s="12"/>
      <c r="B203" s="4"/>
      <c r="C203" s="2"/>
      <c r="D203" s="2"/>
      <c r="F203" s="16"/>
      <c r="G203" s="16"/>
      <c r="H203" s="16"/>
      <c r="J203" s="38"/>
      <c r="K203" s="38"/>
      <c r="L203" s="38"/>
    </row>
    <row r="204" spans="1:12" ht="13.8" thickBot="1" x14ac:dyDescent="0.3">
      <c r="A204" s="12"/>
      <c r="B204" s="4"/>
      <c r="C204" s="2"/>
      <c r="D204" s="2"/>
      <c r="F204" s="16"/>
      <c r="G204" s="16"/>
      <c r="H204" s="16"/>
      <c r="J204" s="38"/>
      <c r="K204" s="38"/>
      <c r="L204" s="38"/>
    </row>
    <row r="205" spans="1:12" ht="13.8" thickBot="1" x14ac:dyDescent="0.3">
      <c r="A205" s="12"/>
      <c r="B205" s="4"/>
      <c r="C205" s="2"/>
      <c r="D205" s="2"/>
      <c r="F205" s="16"/>
      <c r="G205" s="16"/>
      <c r="H205" s="16"/>
      <c r="J205" s="38"/>
      <c r="K205" s="38"/>
      <c r="L205" s="38"/>
    </row>
    <row r="206" spans="1:12" ht="13.8" thickBot="1" x14ac:dyDescent="0.3">
      <c r="A206" s="12"/>
      <c r="B206" s="4"/>
      <c r="C206" s="2"/>
      <c r="D206" s="2"/>
      <c r="F206" s="16"/>
      <c r="G206" s="16"/>
      <c r="H206" s="16"/>
      <c r="J206" s="38"/>
      <c r="K206" s="38"/>
      <c r="L206" s="38"/>
    </row>
    <row r="207" spans="1:12" ht="13.8" thickBot="1" x14ac:dyDescent="0.3">
      <c r="A207" s="12"/>
      <c r="B207" s="4"/>
      <c r="C207" s="2"/>
      <c r="D207" s="2"/>
      <c r="F207" s="16"/>
      <c r="G207" s="16"/>
      <c r="H207" s="16"/>
      <c r="J207" s="38"/>
      <c r="K207" s="38"/>
      <c r="L207" s="38"/>
    </row>
    <row r="208" spans="1:12" ht="13.8" thickBot="1" x14ac:dyDescent="0.3">
      <c r="A208" s="12"/>
      <c r="B208" s="4"/>
      <c r="C208" s="2"/>
      <c r="D208" s="2"/>
      <c r="F208" s="16"/>
      <c r="G208" s="16"/>
      <c r="H208" s="16"/>
      <c r="J208" s="38"/>
      <c r="K208" s="38"/>
      <c r="L208" s="38"/>
    </row>
    <row r="209" spans="1:12" ht="13.8" thickBot="1" x14ac:dyDescent="0.3">
      <c r="A209" s="12"/>
      <c r="B209" s="4"/>
      <c r="C209" s="2"/>
      <c r="D209" s="2"/>
      <c r="F209" s="16"/>
      <c r="G209" s="16"/>
      <c r="H209" s="16"/>
      <c r="J209" s="38"/>
      <c r="K209" s="38"/>
      <c r="L209" s="38"/>
    </row>
    <row r="210" spans="1:12" ht="13.8" thickBot="1" x14ac:dyDescent="0.3">
      <c r="A210" s="12"/>
      <c r="B210" s="4"/>
      <c r="C210" s="2"/>
      <c r="D210" s="2"/>
      <c r="F210" s="16"/>
      <c r="G210" s="16"/>
      <c r="H210" s="16"/>
      <c r="J210" s="38"/>
      <c r="K210" s="38"/>
      <c r="L210" s="38"/>
    </row>
    <row r="211" spans="1:12" ht="13.8" thickBot="1" x14ac:dyDescent="0.3">
      <c r="A211" s="12"/>
      <c r="B211" s="4"/>
      <c r="C211" s="2"/>
      <c r="D211" s="2"/>
      <c r="F211" s="16"/>
      <c r="G211" s="16"/>
      <c r="H211" s="16"/>
      <c r="J211" s="38"/>
      <c r="K211" s="38"/>
      <c r="L211" s="38"/>
    </row>
    <row r="212" spans="1:12" ht="13.8" thickBot="1" x14ac:dyDescent="0.3">
      <c r="A212" s="12"/>
      <c r="B212" s="4"/>
      <c r="C212" s="2"/>
      <c r="D212" s="2"/>
      <c r="F212" s="16"/>
      <c r="G212" s="16"/>
      <c r="H212" s="16"/>
      <c r="J212" s="38"/>
      <c r="K212" s="38"/>
      <c r="L212" s="38"/>
    </row>
    <row r="213" spans="1:12" ht="13.8" thickBot="1" x14ac:dyDescent="0.3">
      <c r="A213" s="12"/>
      <c r="B213" s="4"/>
      <c r="C213" s="2"/>
      <c r="D213" s="2"/>
      <c r="F213" s="16"/>
      <c r="G213" s="16"/>
      <c r="H213" s="16"/>
      <c r="J213" s="38"/>
      <c r="K213" s="38"/>
      <c r="L213" s="38"/>
    </row>
    <row r="214" spans="1:12" ht="13.8" thickBot="1" x14ac:dyDescent="0.3">
      <c r="A214" s="12"/>
      <c r="B214" s="4"/>
      <c r="C214" s="2"/>
      <c r="D214" s="2"/>
      <c r="F214" s="16"/>
      <c r="G214" s="16"/>
      <c r="H214" s="16"/>
      <c r="J214" s="38"/>
      <c r="K214" s="38"/>
      <c r="L214" s="38"/>
    </row>
    <row r="215" spans="1:12" ht="13.8" thickBot="1" x14ac:dyDescent="0.3">
      <c r="A215" s="12"/>
      <c r="B215" s="4"/>
      <c r="C215" s="2"/>
      <c r="D215" s="2"/>
      <c r="F215" s="16"/>
      <c r="G215" s="16"/>
      <c r="H215" s="16"/>
      <c r="J215" s="38"/>
      <c r="K215" s="38"/>
      <c r="L215" s="38"/>
    </row>
    <row r="216" spans="1:12" ht="13.8" thickBot="1" x14ac:dyDescent="0.3">
      <c r="A216" s="12"/>
      <c r="B216" s="4"/>
      <c r="C216" s="2"/>
      <c r="D216" s="2"/>
      <c r="F216" s="16"/>
      <c r="G216" s="16"/>
      <c r="H216" s="16"/>
      <c r="J216" s="38"/>
      <c r="K216" s="38"/>
      <c r="L216" s="38"/>
    </row>
    <row r="217" spans="1:12" ht="13.8" thickBot="1" x14ac:dyDescent="0.3">
      <c r="A217" s="12"/>
      <c r="B217" s="4"/>
      <c r="C217" s="2"/>
      <c r="D217" s="2"/>
      <c r="F217" s="16"/>
      <c r="G217" s="16"/>
      <c r="H217" s="16"/>
      <c r="J217" s="38"/>
      <c r="K217" s="38"/>
      <c r="L217" s="38"/>
    </row>
    <row r="218" spans="1:12" ht="13.8" thickBot="1" x14ac:dyDescent="0.3">
      <c r="A218" s="12"/>
      <c r="B218" s="4"/>
      <c r="C218" s="2"/>
      <c r="D218" s="2"/>
      <c r="F218" s="16"/>
      <c r="G218" s="16"/>
      <c r="H218" s="16"/>
      <c r="J218" s="38"/>
      <c r="K218" s="38"/>
      <c r="L218" s="38"/>
    </row>
    <row r="219" spans="1:12" ht="13.8" thickBot="1" x14ac:dyDescent="0.3">
      <c r="A219" s="12"/>
      <c r="B219" s="4"/>
      <c r="C219" s="2"/>
      <c r="D219" s="2"/>
      <c r="F219" s="16"/>
      <c r="G219" s="16"/>
      <c r="H219" s="16"/>
      <c r="J219" s="38"/>
      <c r="K219" s="38"/>
      <c r="L219" s="38"/>
    </row>
    <row r="220" spans="1:12" ht="13.8" thickBot="1" x14ac:dyDescent="0.3">
      <c r="A220" s="12"/>
      <c r="B220" s="4"/>
      <c r="C220" s="2"/>
      <c r="D220" s="2"/>
      <c r="F220" s="16"/>
      <c r="G220" s="16"/>
      <c r="H220" s="16"/>
      <c r="J220" s="38"/>
      <c r="K220" s="38"/>
      <c r="L220" s="38"/>
    </row>
    <row r="221" spans="1:12" ht="13.8" thickBot="1" x14ac:dyDescent="0.3">
      <c r="A221" s="12"/>
      <c r="B221" s="4"/>
      <c r="C221" s="2"/>
      <c r="D221" s="2"/>
      <c r="F221" s="16"/>
      <c r="G221" s="16"/>
      <c r="H221" s="16"/>
      <c r="J221" s="38"/>
      <c r="K221" s="38"/>
      <c r="L221" s="38"/>
    </row>
    <row r="222" spans="1:12" ht="13.8" thickBot="1" x14ac:dyDescent="0.3">
      <c r="A222" s="12"/>
      <c r="B222" s="4"/>
      <c r="C222" s="2"/>
      <c r="D222" s="2"/>
      <c r="F222" s="16"/>
      <c r="G222" s="16"/>
      <c r="H222" s="16"/>
      <c r="J222" s="38"/>
      <c r="K222" s="38"/>
      <c r="L222" s="38"/>
    </row>
    <row r="223" spans="1:12" ht="13.8" thickBot="1" x14ac:dyDescent="0.3">
      <c r="A223" s="12"/>
      <c r="B223" s="4"/>
      <c r="C223" s="2"/>
      <c r="D223" s="2"/>
      <c r="F223" s="16"/>
      <c r="G223" s="16"/>
      <c r="H223" s="16"/>
      <c r="J223" s="38"/>
      <c r="K223" s="38"/>
      <c r="L223" s="38"/>
    </row>
    <row r="224" spans="1:12" ht="13.8" thickBot="1" x14ac:dyDescent="0.3">
      <c r="A224" s="12"/>
      <c r="B224" s="4"/>
      <c r="C224" s="2"/>
      <c r="D224" s="2"/>
      <c r="F224" s="16"/>
      <c r="G224" s="16"/>
      <c r="H224" s="16"/>
      <c r="J224" s="38"/>
      <c r="K224" s="38"/>
      <c r="L224" s="38"/>
    </row>
    <row r="225" spans="1:12" ht="13.8" thickBot="1" x14ac:dyDescent="0.3">
      <c r="A225" s="12"/>
      <c r="B225" s="4"/>
      <c r="C225" s="2"/>
      <c r="D225" s="2"/>
      <c r="F225" s="16"/>
      <c r="G225" s="16"/>
      <c r="H225" s="16"/>
      <c r="J225" s="38"/>
      <c r="K225" s="38"/>
      <c r="L225" s="38"/>
    </row>
    <row r="226" spans="1:12" ht="13.8" thickBot="1" x14ac:dyDescent="0.3">
      <c r="A226" s="12"/>
      <c r="B226" s="4"/>
      <c r="C226" s="2"/>
      <c r="D226" s="2"/>
      <c r="F226" s="16"/>
      <c r="G226" s="16"/>
      <c r="H226" s="16"/>
      <c r="J226" s="38"/>
      <c r="K226" s="38"/>
      <c r="L226" s="38"/>
    </row>
    <row r="227" spans="1:12" ht="13.8" thickBot="1" x14ac:dyDescent="0.3">
      <c r="A227" s="12"/>
      <c r="B227" s="4"/>
      <c r="C227" s="2"/>
      <c r="D227" s="2"/>
      <c r="F227" s="16"/>
      <c r="G227" s="16"/>
      <c r="H227" s="16"/>
      <c r="J227" s="38"/>
      <c r="K227" s="38"/>
      <c r="L227" s="38"/>
    </row>
    <row r="228" spans="1:12" ht="13.8" thickBot="1" x14ac:dyDescent="0.3">
      <c r="A228" s="12"/>
      <c r="B228" s="4"/>
      <c r="C228" s="2"/>
      <c r="D228" s="2"/>
      <c r="F228" s="16"/>
      <c r="G228" s="16"/>
      <c r="H228" s="16"/>
      <c r="J228" s="38"/>
      <c r="K228" s="38"/>
      <c r="L228" s="38"/>
    </row>
    <row r="229" spans="1:12" ht="13.8" thickBot="1" x14ac:dyDescent="0.3">
      <c r="A229" s="12"/>
      <c r="B229" s="4"/>
      <c r="C229" s="2"/>
      <c r="D229" s="2"/>
      <c r="F229" s="16"/>
      <c r="G229" s="16"/>
      <c r="H229" s="16"/>
      <c r="J229" s="38"/>
      <c r="K229" s="38"/>
      <c r="L229" s="38"/>
    </row>
    <row r="230" spans="1:12" ht="13.8" thickBot="1" x14ac:dyDescent="0.3">
      <c r="A230" s="12"/>
      <c r="B230" s="4"/>
      <c r="C230" s="2"/>
      <c r="D230" s="2"/>
      <c r="F230" s="16"/>
      <c r="G230" s="16"/>
      <c r="H230" s="16"/>
      <c r="J230" s="38"/>
      <c r="K230" s="38"/>
      <c r="L230" s="38"/>
    </row>
    <row r="231" spans="1:12" ht="13.8" thickBot="1" x14ac:dyDescent="0.3">
      <c r="A231" s="12"/>
      <c r="B231" s="4"/>
      <c r="C231" s="2"/>
      <c r="D231" s="2"/>
      <c r="F231" s="16"/>
      <c r="G231" s="16"/>
      <c r="H231" s="16"/>
      <c r="J231" s="38"/>
      <c r="K231" s="38"/>
      <c r="L231" s="38"/>
    </row>
    <row r="232" spans="1:12" ht="13.8" thickBot="1" x14ac:dyDescent="0.3">
      <c r="A232" s="12"/>
      <c r="B232" s="4"/>
      <c r="C232" s="2"/>
      <c r="D232" s="2"/>
      <c r="F232" s="16"/>
      <c r="G232" s="16"/>
      <c r="H232" s="16"/>
      <c r="J232" s="38"/>
      <c r="K232" s="38"/>
      <c r="L232" s="38"/>
    </row>
    <row r="233" spans="1:12" ht="13.8" thickBot="1" x14ac:dyDescent="0.3">
      <c r="A233" s="12"/>
      <c r="B233" s="4"/>
      <c r="C233" s="2"/>
      <c r="D233" s="2"/>
      <c r="F233" s="16"/>
      <c r="G233" s="16"/>
      <c r="H233" s="16"/>
      <c r="J233" s="38"/>
      <c r="K233" s="38"/>
      <c r="L233" s="38"/>
    </row>
    <row r="234" spans="1:12" ht="13.8" thickBot="1" x14ac:dyDescent="0.3">
      <c r="A234" s="12"/>
      <c r="B234" s="4"/>
      <c r="C234" s="2"/>
      <c r="D234" s="2"/>
      <c r="F234" s="16"/>
      <c r="G234" s="16"/>
      <c r="H234" s="16"/>
      <c r="J234" s="38"/>
      <c r="K234" s="38"/>
      <c r="L234" s="38"/>
    </row>
    <row r="235" spans="1:12" ht="13.8" thickBot="1" x14ac:dyDescent="0.3">
      <c r="A235" s="12"/>
      <c r="B235" s="4"/>
      <c r="C235" s="2"/>
      <c r="D235" s="2"/>
      <c r="F235" s="16"/>
      <c r="G235" s="16"/>
      <c r="H235" s="16"/>
      <c r="J235" s="38"/>
      <c r="K235" s="38"/>
      <c r="L235" s="38"/>
    </row>
    <row r="236" spans="1:12" ht="13.8" thickBot="1" x14ac:dyDescent="0.3">
      <c r="A236" s="12"/>
      <c r="B236" s="4"/>
      <c r="C236" s="2"/>
      <c r="D236" s="2"/>
      <c r="F236" s="16"/>
      <c r="G236" s="16"/>
      <c r="H236" s="16"/>
      <c r="J236" s="38"/>
      <c r="K236" s="38"/>
      <c r="L236" s="38"/>
    </row>
    <row r="237" spans="1:12" ht="13.8" thickBot="1" x14ac:dyDescent="0.3">
      <c r="A237" s="12"/>
      <c r="B237" s="4"/>
      <c r="C237" s="2"/>
      <c r="D237" s="2"/>
      <c r="F237" s="16"/>
      <c r="G237" s="16"/>
      <c r="H237" s="16"/>
      <c r="J237" s="38"/>
      <c r="K237" s="38"/>
      <c r="L237" s="38"/>
    </row>
    <row r="238" spans="1:12" ht="13.8" thickBot="1" x14ac:dyDescent="0.3">
      <c r="A238" s="12"/>
      <c r="B238" s="4"/>
      <c r="C238" s="2"/>
      <c r="D238" s="2"/>
      <c r="F238" s="16"/>
      <c r="G238" s="16"/>
      <c r="H238" s="16"/>
      <c r="J238" s="38"/>
      <c r="K238" s="38"/>
      <c r="L238" s="38"/>
    </row>
    <row r="239" spans="1:12" ht="13.8" thickBot="1" x14ac:dyDescent="0.3">
      <c r="A239" s="12"/>
      <c r="B239" s="4"/>
      <c r="C239" s="2"/>
      <c r="D239" s="2"/>
      <c r="F239" s="16"/>
      <c r="G239" s="16"/>
      <c r="H239" s="16"/>
      <c r="J239" s="38"/>
      <c r="K239" s="38"/>
      <c r="L239" s="38"/>
    </row>
    <row r="240" spans="1:12" ht="13.8" thickBot="1" x14ac:dyDescent="0.3">
      <c r="A240" s="12"/>
      <c r="B240" s="4"/>
      <c r="C240" s="2"/>
      <c r="D240" s="2"/>
      <c r="F240" s="16"/>
      <c r="G240" s="16"/>
      <c r="H240" s="16"/>
      <c r="J240" s="38"/>
      <c r="K240" s="38"/>
      <c r="L240" s="38"/>
    </row>
    <row r="241" spans="1:12" ht="13.8" thickBot="1" x14ac:dyDescent="0.3">
      <c r="A241" s="12"/>
      <c r="B241" s="4"/>
      <c r="C241" s="2"/>
      <c r="D241" s="2"/>
      <c r="F241" s="16"/>
      <c r="G241" s="16"/>
      <c r="H241" s="16"/>
      <c r="J241" s="38"/>
      <c r="K241" s="38"/>
      <c r="L241" s="38"/>
    </row>
    <row r="242" spans="1:12" ht="13.8" thickBot="1" x14ac:dyDescent="0.3">
      <c r="A242" s="12"/>
      <c r="B242" s="4"/>
      <c r="C242" s="2"/>
      <c r="D242" s="2"/>
      <c r="F242" s="16"/>
      <c r="G242" s="16"/>
      <c r="H242" s="16"/>
      <c r="J242" s="38"/>
      <c r="K242" s="38"/>
      <c r="L242" s="38"/>
    </row>
    <row r="243" spans="1:12" ht="13.8" thickBot="1" x14ac:dyDescent="0.3">
      <c r="A243" s="12"/>
      <c r="B243" s="4"/>
      <c r="C243" s="2"/>
      <c r="D243" s="2"/>
      <c r="F243" s="16"/>
      <c r="G243" s="16"/>
      <c r="H243" s="16"/>
      <c r="J243" s="38"/>
      <c r="K243" s="38"/>
      <c r="L243" s="38"/>
    </row>
    <row r="244" spans="1:12" ht="13.8" thickBot="1" x14ac:dyDescent="0.3">
      <c r="A244" s="12"/>
      <c r="B244" s="4"/>
      <c r="C244" s="2"/>
      <c r="D244" s="2"/>
      <c r="F244" s="16"/>
      <c r="G244" s="16"/>
      <c r="H244" s="16"/>
      <c r="J244" s="38"/>
      <c r="K244" s="38"/>
      <c r="L244" s="38"/>
    </row>
    <row r="245" spans="1:12" ht="13.8" thickBot="1" x14ac:dyDescent="0.3">
      <c r="A245" s="12"/>
      <c r="B245" s="4"/>
      <c r="C245" s="2"/>
      <c r="D245" s="2"/>
      <c r="F245" s="16"/>
      <c r="G245" s="16"/>
      <c r="H245" s="16"/>
      <c r="J245" s="38"/>
      <c r="K245" s="38"/>
      <c r="L245" s="38"/>
    </row>
    <row r="246" spans="1:12" ht="13.8" thickBot="1" x14ac:dyDescent="0.3">
      <c r="A246" s="12"/>
      <c r="B246" s="4"/>
      <c r="C246" s="2"/>
      <c r="D246" s="2"/>
      <c r="F246" s="16"/>
      <c r="G246" s="16"/>
      <c r="H246" s="16"/>
      <c r="J246" s="38"/>
      <c r="K246" s="38"/>
      <c r="L246" s="38"/>
    </row>
    <row r="247" spans="1:12" ht="13.8" thickBot="1" x14ac:dyDescent="0.3">
      <c r="A247" s="12"/>
      <c r="B247" s="4"/>
      <c r="C247" s="2"/>
      <c r="D247" s="2"/>
      <c r="F247" s="16"/>
      <c r="G247" s="16"/>
      <c r="H247" s="16"/>
      <c r="J247" s="38"/>
      <c r="K247" s="38"/>
      <c r="L247" s="38"/>
    </row>
    <row r="248" spans="1:12" ht="13.8" thickBot="1" x14ac:dyDescent="0.3">
      <c r="A248" s="12"/>
      <c r="B248" s="4"/>
      <c r="C248" s="2"/>
      <c r="D248" s="2"/>
      <c r="F248" s="16"/>
      <c r="G248" s="16"/>
      <c r="H248" s="16"/>
      <c r="J248" s="38"/>
      <c r="K248" s="38"/>
      <c r="L248" s="38"/>
    </row>
    <row r="249" spans="1:12" ht="13.8" thickBot="1" x14ac:dyDescent="0.3">
      <c r="A249" s="12"/>
      <c r="B249" s="4"/>
      <c r="C249" s="2"/>
      <c r="D249" s="2"/>
      <c r="F249" s="16"/>
      <c r="G249" s="16"/>
      <c r="H249" s="16"/>
      <c r="J249" s="38"/>
      <c r="K249" s="38"/>
      <c r="L249" s="38"/>
    </row>
    <row r="250" spans="1:12" ht="13.8" thickBot="1" x14ac:dyDescent="0.3">
      <c r="A250" s="12"/>
      <c r="B250" s="4"/>
      <c r="C250" s="2"/>
      <c r="D250" s="2"/>
      <c r="F250" s="16"/>
      <c r="G250" s="16"/>
      <c r="H250" s="16"/>
      <c r="J250" s="38"/>
      <c r="K250" s="38"/>
      <c r="L250" s="38"/>
    </row>
    <row r="251" spans="1:12" ht="13.8" thickBot="1" x14ac:dyDescent="0.3">
      <c r="A251" s="12"/>
      <c r="B251" s="4"/>
      <c r="C251" s="2"/>
      <c r="D251" s="2"/>
      <c r="F251" s="16"/>
      <c r="G251" s="16"/>
      <c r="H251" s="16"/>
      <c r="J251" s="38"/>
      <c r="K251" s="38"/>
      <c r="L251" s="38"/>
    </row>
    <row r="252" spans="1:12" ht="13.8" thickBot="1" x14ac:dyDescent="0.3">
      <c r="A252" s="12"/>
      <c r="B252" s="4"/>
      <c r="C252" s="2"/>
      <c r="D252" s="2"/>
      <c r="F252" s="16"/>
      <c r="G252" s="16"/>
      <c r="H252" s="16"/>
      <c r="J252" s="38"/>
      <c r="K252" s="38"/>
      <c r="L252" s="38"/>
    </row>
    <row r="253" spans="1:12" ht="13.8" thickBot="1" x14ac:dyDescent="0.3">
      <c r="A253" s="12"/>
      <c r="B253" s="4"/>
      <c r="C253" s="2"/>
      <c r="D253" s="2"/>
      <c r="F253" s="16"/>
      <c r="G253" s="16"/>
      <c r="H253" s="16"/>
      <c r="J253" s="38"/>
      <c r="K253" s="38"/>
      <c r="L253" s="38"/>
    </row>
    <row r="254" spans="1:12" ht="13.8" thickBot="1" x14ac:dyDescent="0.3">
      <c r="A254" s="12"/>
      <c r="B254" s="4"/>
      <c r="C254" s="2"/>
      <c r="D254" s="2"/>
      <c r="F254" s="16"/>
      <c r="G254" s="16"/>
      <c r="H254" s="16"/>
      <c r="J254" s="38"/>
      <c r="K254" s="38"/>
      <c r="L254" s="38"/>
    </row>
    <row r="255" spans="1:12" ht="13.8" thickBot="1" x14ac:dyDescent="0.3">
      <c r="A255" s="12"/>
      <c r="B255" s="4"/>
      <c r="C255" s="2"/>
      <c r="D255" s="2"/>
      <c r="F255" s="16"/>
      <c r="G255" s="16"/>
      <c r="H255" s="16"/>
      <c r="J255" s="38"/>
      <c r="K255" s="38"/>
      <c r="L255" s="38"/>
    </row>
    <row r="256" spans="1:12" ht="13.8" thickBot="1" x14ac:dyDescent="0.3">
      <c r="A256" s="12"/>
      <c r="B256" s="4"/>
      <c r="C256" s="2"/>
      <c r="D256" s="2"/>
      <c r="F256" s="16"/>
      <c r="G256" s="16"/>
      <c r="H256" s="16"/>
      <c r="J256" s="38"/>
      <c r="K256" s="38"/>
      <c r="L256" s="38"/>
    </row>
    <row r="257" spans="1:14" ht="13.8" thickBot="1" x14ac:dyDescent="0.3">
      <c r="A257" s="12"/>
      <c r="B257" s="4"/>
      <c r="C257" s="2"/>
      <c r="D257" s="2"/>
      <c r="F257" s="16"/>
      <c r="G257" s="16"/>
      <c r="H257" s="16"/>
      <c r="J257" s="38"/>
      <c r="K257" s="38"/>
      <c r="L257" s="38"/>
    </row>
    <row r="258" spans="1:14" ht="13.8" thickBot="1" x14ac:dyDescent="0.3">
      <c r="A258" s="12"/>
      <c r="B258" s="4"/>
      <c r="C258" s="2"/>
      <c r="D258" s="2"/>
      <c r="F258" s="16"/>
      <c r="G258" s="16"/>
      <c r="H258" s="16"/>
      <c r="J258" s="38"/>
      <c r="K258" s="38"/>
      <c r="L258" s="38"/>
    </row>
    <row r="259" spans="1:14" ht="13.8" thickBot="1" x14ac:dyDescent="0.3">
      <c r="A259" s="12"/>
      <c r="B259" s="4"/>
      <c r="C259" s="2"/>
      <c r="D259" s="2"/>
      <c r="F259" s="16"/>
      <c r="G259" s="16"/>
      <c r="H259" s="16"/>
      <c r="J259" s="38"/>
      <c r="K259" s="38"/>
      <c r="L259" s="38"/>
    </row>
    <row r="260" spans="1:14" ht="13.8" thickBot="1" x14ac:dyDescent="0.3">
      <c r="A260" s="12"/>
      <c r="B260" s="4"/>
      <c r="C260" s="2"/>
      <c r="D260" s="2"/>
      <c r="F260" s="16"/>
      <c r="G260" s="16"/>
      <c r="H260" s="16"/>
      <c r="J260" s="38"/>
      <c r="K260" s="38"/>
      <c r="L260" s="38"/>
    </row>
    <row r="261" spans="1:14" s="36" customFormat="1" ht="13.8" thickBot="1" x14ac:dyDescent="0.3">
      <c r="A261" s="33"/>
      <c r="B261" s="34"/>
      <c r="C261" s="35"/>
      <c r="D261" s="35"/>
      <c r="F261" s="37"/>
      <c r="G261" s="37"/>
      <c r="H261" s="37"/>
      <c r="J261" s="38"/>
      <c r="K261" s="38"/>
      <c r="L261" s="38"/>
      <c r="M261" s="99"/>
      <c r="N261" s="99"/>
    </row>
    <row r="262" spans="1:14" s="36" customFormat="1" ht="13.8" thickBot="1" x14ac:dyDescent="0.3">
      <c r="A262" s="33"/>
      <c r="B262" s="34"/>
      <c r="C262" s="35"/>
      <c r="D262" s="35"/>
      <c r="F262" s="37"/>
      <c r="G262" s="37"/>
      <c r="H262" s="37"/>
      <c r="J262" s="38"/>
      <c r="K262" s="38"/>
      <c r="L262" s="38"/>
      <c r="M262" s="99"/>
      <c r="N262" s="99"/>
    </row>
    <row r="263" spans="1:14" ht="13.8" thickBot="1" x14ac:dyDescent="0.3">
      <c r="A263" s="12"/>
    </row>
    <row r="264" spans="1:14" ht="13.8" thickBot="1" x14ac:dyDescent="0.3">
      <c r="A264" s="12"/>
    </row>
    <row r="265" spans="1:14" ht="13.8" thickBot="1" x14ac:dyDescent="0.3">
      <c r="A265" s="12"/>
    </row>
    <row r="266" spans="1:14" ht="13.8" thickBot="1" x14ac:dyDescent="0.3">
      <c r="A266" s="12"/>
    </row>
    <row r="267" spans="1:14" ht="13.8" thickBot="1" x14ac:dyDescent="0.3">
      <c r="A267" s="12"/>
    </row>
    <row r="268" spans="1:14" ht="13.8" thickBot="1" x14ac:dyDescent="0.3">
      <c r="A268" s="12"/>
    </row>
    <row r="269" spans="1:14" ht="13.8" thickBot="1" x14ac:dyDescent="0.3">
      <c r="A269" s="12"/>
    </row>
    <row r="270" spans="1:14" ht="13.8" thickBot="1" x14ac:dyDescent="0.3">
      <c r="A270" s="12"/>
    </row>
    <row r="271" spans="1:14" ht="13.8" thickBot="1" x14ac:dyDescent="0.3">
      <c r="A271" s="12"/>
    </row>
    <row r="272" spans="1:14" ht="13.8" thickBot="1" x14ac:dyDescent="0.3">
      <c r="A272" s="12"/>
    </row>
    <row r="273" spans="1:1" ht="13.8" thickBot="1" x14ac:dyDescent="0.3">
      <c r="A273" s="12"/>
    </row>
    <row r="274" spans="1:1" ht="13.8" thickBot="1" x14ac:dyDescent="0.3">
      <c r="A274" s="12"/>
    </row>
    <row r="275" spans="1:1" ht="13.8" thickBot="1" x14ac:dyDescent="0.3">
      <c r="A275" s="12"/>
    </row>
    <row r="276" spans="1:1" ht="13.8" thickBot="1" x14ac:dyDescent="0.3">
      <c r="A276" s="12"/>
    </row>
    <row r="277" spans="1:1" ht="13.8" thickBot="1" x14ac:dyDescent="0.3">
      <c r="A277" s="12"/>
    </row>
    <row r="278" spans="1:1" ht="13.8" thickBot="1" x14ac:dyDescent="0.3">
      <c r="A278" s="12"/>
    </row>
    <row r="279" spans="1:1" ht="13.8" thickBot="1" x14ac:dyDescent="0.3">
      <c r="A279" s="12"/>
    </row>
    <row r="280" spans="1:1" ht="13.8" thickBot="1" x14ac:dyDescent="0.3">
      <c r="A280" s="12"/>
    </row>
    <row r="281" spans="1:1" ht="13.8" thickBot="1" x14ac:dyDescent="0.3">
      <c r="A281" s="12"/>
    </row>
    <row r="282" spans="1:1" ht="13.8" thickBot="1" x14ac:dyDescent="0.3">
      <c r="A282" s="12"/>
    </row>
    <row r="283" spans="1:1" ht="13.8" thickBot="1" x14ac:dyDescent="0.3">
      <c r="A283" s="12"/>
    </row>
    <row r="284" spans="1:1" ht="13.8" thickBot="1" x14ac:dyDescent="0.3">
      <c r="A284" s="12"/>
    </row>
    <row r="285" spans="1:1" ht="13.8" thickBot="1" x14ac:dyDescent="0.3">
      <c r="A285" s="12"/>
    </row>
    <row r="286" spans="1:1" ht="13.8" thickBot="1" x14ac:dyDescent="0.3">
      <c r="A286" s="12"/>
    </row>
    <row r="287" spans="1:1" ht="13.8" thickBot="1" x14ac:dyDescent="0.3">
      <c r="A287" s="12"/>
    </row>
    <row r="288" spans="1:1" ht="13.8" thickBot="1" x14ac:dyDescent="0.3">
      <c r="A288" s="12"/>
    </row>
    <row r="289" spans="1:1" ht="13.8" thickBot="1" x14ac:dyDescent="0.3">
      <c r="A289" s="12"/>
    </row>
    <row r="290" spans="1:1" ht="13.8" thickBot="1" x14ac:dyDescent="0.3">
      <c r="A290" s="12"/>
    </row>
    <row r="291" spans="1:1" ht="13.8" thickBot="1" x14ac:dyDescent="0.3">
      <c r="A291" s="12"/>
    </row>
    <row r="292" spans="1:1" ht="13.8" thickBot="1" x14ac:dyDescent="0.3">
      <c r="A292" s="12"/>
    </row>
    <row r="293" spans="1:1" ht="13.8" thickBot="1" x14ac:dyDescent="0.3">
      <c r="A293" s="12"/>
    </row>
    <row r="294" spans="1:1" ht="13.8" thickBot="1" x14ac:dyDescent="0.3">
      <c r="A294" s="12"/>
    </row>
    <row r="295" spans="1:1" ht="13.8" thickBot="1" x14ac:dyDescent="0.3">
      <c r="A295" s="12"/>
    </row>
    <row r="296" spans="1:1" ht="13.8" thickBot="1" x14ac:dyDescent="0.3">
      <c r="A296" s="12"/>
    </row>
    <row r="297" spans="1:1" ht="13.8" thickBot="1" x14ac:dyDescent="0.3">
      <c r="A297" s="12"/>
    </row>
    <row r="298" spans="1:1" ht="13.8" thickBot="1" x14ac:dyDescent="0.3">
      <c r="A298" s="12"/>
    </row>
    <row r="299" spans="1:1" ht="13.8" thickBot="1" x14ac:dyDescent="0.3">
      <c r="A299" s="12"/>
    </row>
    <row r="300" spans="1:1" ht="13.8" thickBot="1" x14ac:dyDescent="0.3">
      <c r="A300" s="12"/>
    </row>
    <row r="301" spans="1:1" ht="13.8" thickBot="1" x14ac:dyDescent="0.3">
      <c r="A301" s="12"/>
    </row>
    <row r="302" spans="1:1" ht="13.8" thickBot="1" x14ac:dyDescent="0.3">
      <c r="A302" s="12"/>
    </row>
    <row r="303" spans="1:1" ht="13.8" thickBot="1" x14ac:dyDescent="0.3">
      <c r="A303" s="12"/>
    </row>
    <row r="304" spans="1:1" ht="13.8" thickBot="1" x14ac:dyDescent="0.3">
      <c r="A304" s="12"/>
    </row>
    <row r="305" spans="1:1" ht="13.8" thickBot="1" x14ac:dyDescent="0.3">
      <c r="A305" s="12"/>
    </row>
    <row r="306" spans="1:1" ht="13.8" thickBot="1" x14ac:dyDescent="0.3">
      <c r="A306" s="12"/>
    </row>
    <row r="307" spans="1:1" ht="13.8" thickBot="1" x14ac:dyDescent="0.3">
      <c r="A307" s="12"/>
    </row>
    <row r="308" spans="1:1" ht="13.8" thickBot="1" x14ac:dyDescent="0.3">
      <c r="A308" s="12"/>
    </row>
    <row r="309" spans="1:1" ht="13.8" thickBot="1" x14ac:dyDescent="0.3">
      <c r="A309" s="12"/>
    </row>
    <row r="310" spans="1:1" ht="13.8" thickBot="1" x14ac:dyDescent="0.3">
      <c r="A310" s="12"/>
    </row>
    <row r="311" spans="1:1" ht="13.8" thickBot="1" x14ac:dyDescent="0.3">
      <c r="A311" s="12"/>
    </row>
    <row r="312" spans="1:1" ht="13.8" thickBot="1" x14ac:dyDescent="0.3">
      <c r="A312" s="12"/>
    </row>
    <row r="313" spans="1:1" ht="13.8" thickBot="1" x14ac:dyDescent="0.3">
      <c r="A313" s="12"/>
    </row>
    <row r="314" spans="1:1" ht="13.8" thickBot="1" x14ac:dyDescent="0.3">
      <c r="A314" s="12"/>
    </row>
    <row r="315" spans="1:1" ht="13.8" thickBot="1" x14ac:dyDescent="0.3">
      <c r="A315" s="12"/>
    </row>
    <row r="316" spans="1:1" ht="13.8" thickBot="1" x14ac:dyDescent="0.3">
      <c r="A316" s="12"/>
    </row>
    <row r="317" spans="1:1" ht="13.8" thickBot="1" x14ac:dyDescent="0.3">
      <c r="A317" s="12"/>
    </row>
    <row r="318" spans="1:1" ht="13.8" thickBot="1" x14ac:dyDescent="0.3">
      <c r="A318" s="12"/>
    </row>
    <row r="319" spans="1:1" ht="13.8" thickBot="1" x14ac:dyDescent="0.3">
      <c r="A319" s="12"/>
    </row>
    <row r="320" spans="1:1" ht="13.8" thickBot="1" x14ac:dyDescent="0.3">
      <c r="A320" s="12"/>
    </row>
    <row r="321" spans="1:1" ht="13.8" thickBot="1" x14ac:dyDescent="0.3">
      <c r="A321" s="12"/>
    </row>
    <row r="322" spans="1:1" ht="13.8" thickBot="1" x14ac:dyDescent="0.3">
      <c r="A322" s="12"/>
    </row>
    <row r="323" spans="1:1" ht="13.8" thickBot="1" x14ac:dyDescent="0.3">
      <c r="A323" s="12"/>
    </row>
    <row r="324" spans="1:1" ht="13.8" thickBot="1" x14ac:dyDescent="0.3">
      <c r="A324" s="12"/>
    </row>
    <row r="325" spans="1:1" ht="13.8" thickBot="1" x14ac:dyDescent="0.3">
      <c r="A325" s="12"/>
    </row>
    <row r="326" spans="1:1" ht="13.8" thickBot="1" x14ac:dyDescent="0.3">
      <c r="A326" s="12"/>
    </row>
    <row r="327" spans="1:1" ht="13.8" thickBot="1" x14ac:dyDescent="0.3">
      <c r="A327" s="12"/>
    </row>
    <row r="328" spans="1:1" ht="13.8" thickBot="1" x14ac:dyDescent="0.3">
      <c r="A328" s="12"/>
    </row>
    <row r="329" spans="1:1" ht="13.8" thickBot="1" x14ac:dyDescent="0.3">
      <c r="A329" s="12"/>
    </row>
    <row r="330" spans="1:1" ht="13.8" thickBot="1" x14ac:dyDescent="0.3">
      <c r="A330" s="12"/>
    </row>
    <row r="331" spans="1:1" ht="13.8" thickBot="1" x14ac:dyDescent="0.3">
      <c r="A331" s="12"/>
    </row>
    <row r="332" spans="1:1" ht="13.8" thickBot="1" x14ac:dyDescent="0.3">
      <c r="A332" s="12"/>
    </row>
    <row r="333" spans="1:1" ht="13.8" thickBot="1" x14ac:dyDescent="0.3">
      <c r="A333" s="12"/>
    </row>
    <row r="334" spans="1:1" ht="13.8" thickBot="1" x14ac:dyDescent="0.3">
      <c r="A334" s="12"/>
    </row>
    <row r="335" spans="1:1" ht="13.8" thickBot="1" x14ac:dyDescent="0.3">
      <c r="A335" s="12"/>
    </row>
    <row r="336" spans="1:1" ht="13.8" thickBot="1" x14ac:dyDescent="0.3">
      <c r="A336" s="12"/>
    </row>
    <row r="337" spans="1:1" ht="13.8" thickBot="1" x14ac:dyDescent="0.3">
      <c r="A337" s="12"/>
    </row>
    <row r="338" spans="1:1" ht="13.8" thickBot="1" x14ac:dyDescent="0.3">
      <c r="A338" s="12"/>
    </row>
    <row r="339" spans="1:1" ht="13.8" thickBot="1" x14ac:dyDescent="0.3">
      <c r="A339" s="12"/>
    </row>
    <row r="340" spans="1:1" ht="13.8" thickBot="1" x14ac:dyDescent="0.3">
      <c r="A340" s="12"/>
    </row>
    <row r="341" spans="1:1" ht="13.8" thickBot="1" x14ac:dyDescent="0.3">
      <c r="A341" s="12"/>
    </row>
    <row r="342" spans="1:1" ht="13.8" thickBot="1" x14ac:dyDescent="0.3">
      <c r="A342" s="12"/>
    </row>
    <row r="343" spans="1:1" ht="13.8" thickBot="1" x14ac:dyDescent="0.3">
      <c r="A343" s="12"/>
    </row>
    <row r="344" spans="1:1" ht="13.8" thickBot="1" x14ac:dyDescent="0.3">
      <c r="A344" s="12"/>
    </row>
    <row r="345" spans="1:1" ht="13.8" thickBot="1" x14ac:dyDescent="0.3">
      <c r="A345" s="12"/>
    </row>
    <row r="346" spans="1:1" ht="13.8" thickBot="1" x14ac:dyDescent="0.3">
      <c r="A346" s="12"/>
    </row>
    <row r="347" spans="1:1" ht="13.8" thickBot="1" x14ac:dyDescent="0.3">
      <c r="A347" s="12"/>
    </row>
    <row r="348" spans="1:1" ht="13.8" thickBot="1" x14ac:dyDescent="0.3">
      <c r="A348" s="12"/>
    </row>
    <row r="349" spans="1:1" ht="13.8" thickBot="1" x14ac:dyDescent="0.3">
      <c r="A349" s="12"/>
    </row>
    <row r="350" spans="1:1" ht="13.8" thickBot="1" x14ac:dyDescent="0.3">
      <c r="A350" s="12"/>
    </row>
    <row r="351" spans="1:1" ht="13.8" thickBot="1" x14ac:dyDescent="0.3">
      <c r="A351" s="12"/>
    </row>
    <row r="352" spans="1:1" ht="13.8" thickBot="1" x14ac:dyDescent="0.3">
      <c r="A352" s="12"/>
    </row>
    <row r="353" spans="1:1" ht="13.8" thickBot="1" x14ac:dyDescent="0.3">
      <c r="A353" s="12"/>
    </row>
    <row r="354" spans="1:1" ht="13.8" thickBot="1" x14ac:dyDescent="0.3">
      <c r="A354" s="12"/>
    </row>
    <row r="355" spans="1:1" ht="13.8" thickBot="1" x14ac:dyDescent="0.3">
      <c r="A355" s="12"/>
    </row>
    <row r="356" spans="1:1" ht="13.8" thickBot="1" x14ac:dyDescent="0.3">
      <c r="A356" s="12"/>
    </row>
    <row r="357" spans="1:1" ht="13.8" thickBot="1" x14ac:dyDescent="0.3">
      <c r="A357" s="12"/>
    </row>
    <row r="358" spans="1:1" ht="13.8" thickBot="1" x14ac:dyDescent="0.3">
      <c r="A358" s="12"/>
    </row>
    <row r="359" spans="1:1" ht="13.8" thickBot="1" x14ac:dyDescent="0.3">
      <c r="A359" s="12"/>
    </row>
    <row r="360" spans="1:1" ht="13.8" thickBot="1" x14ac:dyDescent="0.3">
      <c r="A360" s="12"/>
    </row>
    <row r="361" spans="1:1" ht="13.8" thickBot="1" x14ac:dyDescent="0.3">
      <c r="A361" s="12"/>
    </row>
    <row r="362" spans="1:1" ht="13.8" thickBot="1" x14ac:dyDescent="0.3">
      <c r="A362" s="12"/>
    </row>
    <row r="363" spans="1:1" ht="13.8" thickBot="1" x14ac:dyDescent="0.3">
      <c r="A363" s="12"/>
    </row>
    <row r="364" spans="1:1" ht="13.8" thickBot="1" x14ac:dyDescent="0.3">
      <c r="A364" s="12"/>
    </row>
    <row r="365" spans="1:1" ht="13.8" thickBot="1" x14ac:dyDescent="0.3">
      <c r="A365" s="12"/>
    </row>
    <row r="366" spans="1:1" ht="13.8" thickBot="1" x14ac:dyDescent="0.3">
      <c r="A366" s="12"/>
    </row>
    <row r="367" spans="1:1" ht="13.8" thickBot="1" x14ac:dyDescent="0.3">
      <c r="A367" s="12"/>
    </row>
    <row r="368" spans="1:1" ht="13.8" thickBot="1" x14ac:dyDescent="0.3">
      <c r="A368" s="12"/>
    </row>
    <row r="369" spans="1:1" ht="13.8" thickBot="1" x14ac:dyDescent="0.3">
      <c r="A369" s="12"/>
    </row>
    <row r="370" spans="1:1" ht="13.8" thickBot="1" x14ac:dyDescent="0.3">
      <c r="A370" s="12"/>
    </row>
    <row r="371" spans="1:1" ht="13.8" thickBot="1" x14ac:dyDescent="0.3">
      <c r="A371" s="12"/>
    </row>
    <row r="372" spans="1:1" ht="13.8" thickBot="1" x14ac:dyDescent="0.3">
      <c r="A372" s="12"/>
    </row>
    <row r="373" spans="1:1" ht="13.8" thickBot="1" x14ac:dyDescent="0.3">
      <c r="A373" s="12"/>
    </row>
    <row r="374" spans="1:1" ht="13.8" thickBot="1" x14ac:dyDescent="0.3">
      <c r="A374" s="12"/>
    </row>
    <row r="375" spans="1:1" ht="13.8" thickBot="1" x14ac:dyDescent="0.3">
      <c r="A375" s="12"/>
    </row>
    <row r="376" spans="1:1" ht="13.8" thickBot="1" x14ac:dyDescent="0.3">
      <c r="A376" s="12"/>
    </row>
    <row r="377" spans="1:1" ht="13.8" thickBot="1" x14ac:dyDescent="0.3">
      <c r="A377" s="12"/>
    </row>
    <row r="378" spans="1:1" ht="13.8" thickBot="1" x14ac:dyDescent="0.3">
      <c r="A378" s="12"/>
    </row>
    <row r="379" spans="1:1" ht="13.8" thickBot="1" x14ac:dyDescent="0.3">
      <c r="A379" s="12"/>
    </row>
    <row r="380" spans="1:1" ht="13.8" thickBot="1" x14ac:dyDescent="0.3">
      <c r="A380" s="12"/>
    </row>
    <row r="381" spans="1:1" ht="13.8" thickBot="1" x14ac:dyDescent="0.3">
      <c r="A381" s="12"/>
    </row>
    <row r="382" spans="1:1" ht="13.8" thickBot="1" x14ac:dyDescent="0.3">
      <c r="A382" s="12"/>
    </row>
    <row r="383" spans="1:1" ht="13.8" thickBot="1" x14ac:dyDescent="0.3">
      <c r="A383" s="12"/>
    </row>
    <row r="384" spans="1:1" ht="13.8" thickBot="1" x14ac:dyDescent="0.3">
      <c r="A384" s="12"/>
    </row>
    <row r="385" spans="1:1" ht="13.8" thickBot="1" x14ac:dyDescent="0.3">
      <c r="A385" s="12"/>
    </row>
    <row r="386" spans="1:1" ht="13.8" thickBot="1" x14ac:dyDescent="0.3">
      <c r="A386" s="12"/>
    </row>
    <row r="387" spans="1:1" ht="13.8" thickBot="1" x14ac:dyDescent="0.3">
      <c r="A387" s="12"/>
    </row>
    <row r="388" spans="1:1" ht="13.8" thickBot="1" x14ac:dyDescent="0.3">
      <c r="A388" s="12"/>
    </row>
    <row r="389" spans="1:1" ht="13.8" thickBot="1" x14ac:dyDescent="0.3">
      <c r="A389" s="12"/>
    </row>
    <row r="390" spans="1:1" ht="13.8" thickBot="1" x14ac:dyDescent="0.3">
      <c r="A390" s="12"/>
    </row>
    <row r="391" spans="1:1" ht="13.8" thickBot="1" x14ac:dyDescent="0.3">
      <c r="A391" s="12"/>
    </row>
    <row r="392" spans="1:1" ht="13.8" thickBot="1" x14ac:dyDescent="0.3">
      <c r="A392" s="12"/>
    </row>
    <row r="393" spans="1:1" ht="13.8" thickBot="1" x14ac:dyDescent="0.3">
      <c r="A393" s="12"/>
    </row>
    <row r="394" spans="1:1" ht="13.8" thickBot="1" x14ac:dyDescent="0.3">
      <c r="A394" s="12"/>
    </row>
    <row r="395" spans="1:1" ht="13.8" thickBot="1" x14ac:dyDescent="0.3">
      <c r="A395" s="12"/>
    </row>
    <row r="396" spans="1:1" ht="13.8" thickBot="1" x14ac:dyDescent="0.3">
      <c r="A396" s="12"/>
    </row>
    <row r="397" spans="1:1" ht="13.8" thickBot="1" x14ac:dyDescent="0.3">
      <c r="A397" s="12"/>
    </row>
    <row r="398" spans="1:1" ht="13.8" thickBot="1" x14ac:dyDescent="0.3">
      <c r="A398" s="12"/>
    </row>
    <row r="399" spans="1:1" ht="13.8" thickBot="1" x14ac:dyDescent="0.3">
      <c r="A399" s="12"/>
    </row>
    <row r="400" spans="1:1" ht="13.8" thickBot="1" x14ac:dyDescent="0.3">
      <c r="A400" s="12"/>
    </row>
    <row r="401" spans="1:1" ht="13.8" thickBot="1" x14ac:dyDescent="0.3">
      <c r="A401" s="12"/>
    </row>
    <row r="402" spans="1:1" ht="13.8" thickBot="1" x14ac:dyDescent="0.3">
      <c r="A402" s="12"/>
    </row>
    <row r="403" spans="1:1" ht="13.8" thickBot="1" x14ac:dyDescent="0.3">
      <c r="A403" s="12"/>
    </row>
    <row r="404" spans="1:1" ht="13.8" thickBot="1" x14ac:dyDescent="0.3">
      <c r="A404" s="12"/>
    </row>
    <row r="405" spans="1:1" ht="13.8" thickBot="1" x14ac:dyDescent="0.3">
      <c r="A405" s="12"/>
    </row>
    <row r="406" spans="1:1" ht="13.8" thickBot="1" x14ac:dyDescent="0.3">
      <c r="A406" s="12"/>
    </row>
    <row r="407" spans="1:1" ht="13.8" thickBot="1" x14ac:dyDescent="0.3">
      <c r="A407" s="12"/>
    </row>
    <row r="408" spans="1:1" ht="13.8" thickBot="1" x14ac:dyDescent="0.3">
      <c r="A408" s="12"/>
    </row>
    <row r="409" spans="1:1" ht="13.8" thickBot="1" x14ac:dyDescent="0.3">
      <c r="A409" s="12"/>
    </row>
    <row r="410" spans="1:1" ht="13.8" thickBot="1" x14ac:dyDescent="0.3">
      <c r="A410" s="12"/>
    </row>
    <row r="411" spans="1:1" ht="13.8" thickBot="1" x14ac:dyDescent="0.3">
      <c r="A411" s="12"/>
    </row>
    <row r="412" spans="1:1" ht="13.8" thickBot="1" x14ac:dyDescent="0.3">
      <c r="A412" s="12"/>
    </row>
    <row r="413" spans="1:1" ht="13.8" thickBot="1" x14ac:dyDescent="0.3">
      <c r="A413" s="12"/>
    </row>
    <row r="414" spans="1:1" ht="13.8" thickBot="1" x14ac:dyDescent="0.3">
      <c r="A414" s="12"/>
    </row>
    <row r="415" spans="1:1" ht="13.8" thickBot="1" x14ac:dyDescent="0.3">
      <c r="A415" s="12"/>
    </row>
    <row r="416" spans="1:1" ht="13.8" thickBot="1" x14ac:dyDescent="0.3">
      <c r="A416" s="12"/>
    </row>
    <row r="417" spans="1:1" ht="13.8" thickBot="1" x14ac:dyDescent="0.3">
      <c r="A417" s="12"/>
    </row>
    <row r="418" spans="1:1" ht="13.8" thickBot="1" x14ac:dyDescent="0.3">
      <c r="A418" s="12"/>
    </row>
    <row r="419" spans="1:1" ht="13.8" thickBot="1" x14ac:dyDescent="0.3">
      <c r="A419" s="12"/>
    </row>
    <row r="420" spans="1:1" ht="13.8" thickBot="1" x14ac:dyDescent="0.3">
      <c r="A420" s="12"/>
    </row>
    <row r="421" spans="1:1" ht="13.8" thickBot="1" x14ac:dyDescent="0.3">
      <c r="A421" s="12"/>
    </row>
    <row r="422" spans="1:1" ht="13.8" thickBot="1" x14ac:dyDescent="0.3">
      <c r="A422" s="12"/>
    </row>
    <row r="423" spans="1:1" ht="13.8" thickBot="1" x14ac:dyDescent="0.3">
      <c r="A423" s="12"/>
    </row>
    <row r="424" spans="1:1" ht="13.8" thickBot="1" x14ac:dyDescent="0.3">
      <c r="A424" s="12"/>
    </row>
    <row r="425" spans="1:1" ht="13.8" thickBot="1" x14ac:dyDescent="0.3">
      <c r="A425" s="12"/>
    </row>
    <row r="426" spans="1:1" ht="13.8" thickBot="1" x14ac:dyDescent="0.3">
      <c r="A426" s="12"/>
    </row>
    <row r="427" spans="1:1" ht="13.8" thickBot="1" x14ac:dyDescent="0.3">
      <c r="A427" s="12"/>
    </row>
    <row r="428" spans="1:1" ht="13.8" thickBot="1" x14ac:dyDescent="0.3">
      <c r="A428" s="12"/>
    </row>
    <row r="429" spans="1:1" ht="13.8" thickBot="1" x14ac:dyDescent="0.3">
      <c r="A429" s="12"/>
    </row>
    <row r="430" spans="1:1" ht="13.8" thickBot="1" x14ac:dyDescent="0.3">
      <c r="A430" s="12"/>
    </row>
    <row r="431" spans="1:1" ht="13.8" thickBot="1" x14ac:dyDescent="0.3">
      <c r="A431" s="12"/>
    </row>
    <row r="432" spans="1:1" ht="13.8" thickBot="1" x14ac:dyDescent="0.3">
      <c r="A432" s="12"/>
    </row>
    <row r="433" spans="1:1" ht="13.8" thickBot="1" x14ac:dyDescent="0.3">
      <c r="A433" s="12"/>
    </row>
    <row r="434" spans="1:1" ht="13.8" thickBot="1" x14ac:dyDescent="0.3">
      <c r="A434" s="12"/>
    </row>
    <row r="435" spans="1:1" ht="13.8" thickBot="1" x14ac:dyDescent="0.3">
      <c r="A435" s="12"/>
    </row>
    <row r="436" spans="1:1" ht="13.8" thickBot="1" x14ac:dyDescent="0.3">
      <c r="A436" s="12"/>
    </row>
    <row r="437" spans="1:1" ht="13.8" thickBot="1" x14ac:dyDescent="0.3">
      <c r="A437" s="12"/>
    </row>
    <row r="438" spans="1:1" ht="13.8" thickBot="1" x14ac:dyDescent="0.3">
      <c r="A438" s="12"/>
    </row>
    <row r="439" spans="1:1" ht="13.8" thickBot="1" x14ac:dyDescent="0.3">
      <c r="A439" s="12"/>
    </row>
    <row r="440" spans="1:1" ht="13.8" thickBot="1" x14ac:dyDescent="0.3">
      <c r="A440" s="12"/>
    </row>
    <row r="441" spans="1:1" ht="13.8" thickBot="1" x14ac:dyDescent="0.3">
      <c r="A441" s="12"/>
    </row>
    <row r="442" spans="1:1" ht="13.8" thickBot="1" x14ac:dyDescent="0.3">
      <c r="A442" s="12"/>
    </row>
    <row r="443" spans="1:1" ht="13.8" thickBot="1" x14ac:dyDescent="0.3">
      <c r="A443" s="12"/>
    </row>
    <row r="444" spans="1:1" ht="13.8" thickBot="1" x14ac:dyDescent="0.3">
      <c r="A444" s="12"/>
    </row>
    <row r="445" spans="1:1" ht="13.8" thickBot="1" x14ac:dyDescent="0.3">
      <c r="A445" s="12"/>
    </row>
    <row r="446" spans="1:1" ht="13.8" thickBot="1" x14ac:dyDescent="0.3">
      <c r="A446" s="12"/>
    </row>
    <row r="447" spans="1:1" ht="13.8" thickBot="1" x14ac:dyDescent="0.3">
      <c r="A447" s="12"/>
    </row>
    <row r="448" spans="1:1" ht="13.8" thickBot="1" x14ac:dyDescent="0.3">
      <c r="A448" s="12"/>
    </row>
    <row r="449" spans="1:1" ht="13.8" thickBot="1" x14ac:dyDescent="0.3">
      <c r="A449" s="12"/>
    </row>
    <row r="450" spans="1:1" ht="13.8" thickBot="1" x14ac:dyDescent="0.3">
      <c r="A450" s="12"/>
    </row>
    <row r="451" spans="1:1" ht="13.8" thickBot="1" x14ac:dyDescent="0.3">
      <c r="A451" s="12"/>
    </row>
    <row r="452" spans="1:1" ht="13.8" thickBot="1" x14ac:dyDescent="0.3">
      <c r="A452" s="12"/>
    </row>
    <row r="453" spans="1:1" ht="13.8" thickBot="1" x14ac:dyDescent="0.3">
      <c r="A453" s="12"/>
    </row>
    <row r="454" spans="1:1" ht="13.8" thickBot="1" x14ac:dyDescent="0.3">
      <c r="A454" s="12"/>
    </row>
    <row r="455" spans="1:1" ht="13.8" thickBot="1" x14ac:dyDescent="0.3">
      <c r="A455" s="12"/>
    </row>
    <row r="456" spans="1:1" ht="13.8" thickBot="1" x14ac:dyDescent="0.3">
      <c r="A456" s="12"/>
    </row>
    <row r="457" spans="1:1" ht="13.8" thickBot="1" x14ac:dyDescent="0.3">
      <c r="A457" s="12"/>
    </row>
    <row r="458" spans="1:1" ht="13.8" thickBot="1" x14ac:dyDescent="0.3">
      <c r="A458" s="12"/>
    </row>
    <row r="459" spans="1:1" ht="13.8" thickBot="1" x14ac:dyDescent="0.3">
      <c r="A459" s="12"/>
    </row>
    <row r="460" spans="1:1" ht="13.8" thickBot="1" x14ac:dyDescent="0.3">
      <c r="A460" s="12"/>
    </row>
    <row r="461" spans="1:1" ht="13.8" thickBot="1" x14ac:dyDescent="0.3">
      <c r="A461" s="12"/>
    </row>
    <row r="462" spans="1:1" ht="13.8" thickBot="1" x14ac:dyDescent="0.3">
      <c r="A462" s="12"/>
    </row>
    <row r="463" spans="1:1" ht="13.8" thickBot="1" x14ac:dyDescent="0.3">
      <c r="A463" s="12"/>
    </row>
    <row r="464" spans="1:1" ht="13.8" thickBot="1" x14ac:dyDescent="0.3">
      <c r="A464" s="12"/>
    </row>
    <row r="465" spans="1:1" ht="13.8" thickBot="1" x14ac:dyDescent="0.3">
      <c r="A465" s="12"/>
    </row>
    <row r="466" spans="1:1" ht="13.8" thickBot="1" x14ac:dyDescent="0.3">
      <c r="A466" s="12"/>
    </row>
    <row r="467" spans="1:1" ht="13.8" thickBot="1" x14ac:dyDescent="0.3">
      <c r="A467" s="12"/>
    </row>
    <row r="468" spans="1:1" ht="13.8" thickBot="1" x14ac:dyDescent="0.3">
      <c r="A468" s="12"/>
    </row>
    <row r="469" spans="1:1" ht="13.8" thickBot="1" x14ac:dyDescent="0.3">
      <c r="A469" s="12"/>
    </row>
    <row r="470" spans="1:1" ht="13.8" thickBot="1" x14ac:dyDescent="0.3">
      <c r="A470" s="12"/>
    </row>
    <row r="471" spans="1:1" ht="13.8" thickBot="1" x14ac:dyDescent="0.3">
      <c r="A471" s="12"/>
    </row>
    <row r="472" spans="1:1" ht="13.8" thickBot="1" x14ac:dyDescent="0.3">
      <c r="A472" s="12"/>
    </row>
    <row r="473" spans="1:1" ht="13.8" thickBot="1" x14ac:dyDescent="0.3">
      <c r="A473" s="12"/>
    </row>
    <row r="474" spans="1:1" ht="13.8" thickBot="1" x14ac:dyDescent="0.3">
      <c r="A474" s="12"/>
    </row>
    <row r="475" spans="1:1" ht="13.8" thickBot="1" x14ac:dyDescent="0.3">
      <c r="A475" s="12"/>
    </row>
    <row r="476" spans="1:1" ht="13.8" thickBot="1" x14ac:dyDescent="0.3">
      <c r="A476" s="12"/>
    </row>
    <row r="477" spans="1:1" ht="13.8" thickBot="1" x14ac:dyDescent="0.3">
      <c r="A477" s="12"/>
    </row>
    <row r="478" spans="1:1" ht="13.8" thickBot="1" x14ac:dyDescent="0.3">
      <c r="A478" s="12"/>
    </row>
    <row r="479" spans="1:1" ht="13.8" thickBot="1" x14ac:dyDescent="0.3">
      <c r="A479" s="12"/>
    </row>
    <row r="480" spans="1:1" ht="13.8" thickBot="1" x14ac:dyDescent="0.3">
      <c r="A480" s="12"/>
    </row>
    <row r="481" spans="1:1" ht="13.8" thickBot="1" x14ac:dyDescent="0.3">
      <c r="A481" s="12"/>
    </row>
    <row r="482" spans="1:1" ht="13.8" thickBot="1" x14ac:dyDescent="0.3">
      <c r="A482" s="12"/>
    </row>
    <row r="483" spans="1:1" ht="13.8" thickBot="1" x14ac:dyDescent="0.3">
      <c r="A483" s="12"/>
    </row>
    <row r="484" spans="1:1" ht="13.8" thickBot="1" x14ac:dyDescent="0.3">
      <c r="A484" s="12"/>
    </row>
    <row r="485" spans="1:1" ht="13.8" thickBot="1" x14ac:dyDescent="0.3">
      <c r="A485" s="12"/>
    </row>
    <row r="486" spans="1:1" ht="13.8" thickBot="1" x14ac:dyDescent="0.3">
      <c r="A486" s="12"/>
    </row>
    <row r="487" spans="1:1" ht="13.8" thickBot="1" x14ac:dyDescent="0.3">
      <c r="A487" s="12"/>
    </row>
    <row r="488" spans="1:1" ht="13.8" thickBot="1" x14ac:dyDescent="0.3">
      <c r="A488" s="12"/>
    </row>
    <row r="489" spans="1:1" ht="13.8" thickBot="1" x14ac:dyDescent="0.3">
      <c r="A489" s="12"/>
    </row>
    <row r="490" spans="1:1" ht="13.8" thickBot="1" x14ac:dyDescent="0.3">
      <c r="A490" s="12"/>
    </row>
    <row r="491" spans="1:1" ht="13.8" thickBot="1" x14ac:dyDescent="0.3">
      <c r="A491" s="12"/>
    </row>
    <row r="492" spans="1:1" ht="13.8" thickBot="1" x14ac:dyDescent="0.3">
      <c r="A492" s="12"/>
    </row>
    <row r="493" spans="1:1" ht="13.8" thickBot="1" x14ac:dyDescent="0.3">
      <c r="A493" s="12"/>
    </row>
    <row r="494" spans="1:1" ht="13.8" thickBot="1" x14ac:dyDescent="0.3">
      <c r="A494" s="12"/>
    </row>
    <row r="495" spans="1:1" ht="13.8" thickBot="1" x14ac:dyDescent="0.3">
      <c r="A495" s="12"/>
    </row>
    <row r="496" spans="1:1" ht="13.8" thickBot="1" x14ac:dyDescent="0.3">
      <c r="A496" s="12"/>
    </row>
    <row r="497" spans="1:1" ht="13.8" thickBot="1" x14ac:dyDescent="0.3">
      <c r="A497" s="12"/>
    </row>
    <row r="498" spans="1:1" ht="13.8" thickBot="1" x14ac:dyDescent="0.3">
      <c r="A498" s="12"/>
    </row>
    <row r="499" spans="1:1" ht="13.8" thickBot="1" x14ac:dyDescent="0.3">
      <c r="A499" s="12"/>
    </row>
    <row r="500" spans="1:1" ht="13.8" thickBot="1" x14ac:dyDescent="0.3">
      <c r="A500" s="12"/>
    </row>
    <row r="501" spans="1:1" ht="13.8" thickBot="1" x14ac:dyDescent="0.3">
      <c r="A501" s="12"/>
    </row>
    <row r="502" spans="1:1" ht="13.8" thickBot="1" x14ac:dyDescent="0.3">
      <c r="A502" s="12"/>
    </row>
    <row r="503" spans="1:1" ht="13.8" thickBot="1" x14ac:dyDescent="0.3">
      <c r="A503" s="12"/>
    </row>
    <row r="504" spans="1:1" ht="13.8" thickBot="1" x14ac:dyDescent="0.3">
      <c r="A504" s="12"/>
    </row>
    <row r="505" spans="1:1" ht="13.8" thickBot="1" x14ac:dyDescent="0.3">
      <c r="A505" s="12"/>
    </row>
    <row r="506" spans="1:1" ht="13.8" thickBot="1" x14ac:dyDescent="0.3">
      <c r="A506" s="12"/>
    </row>
    <row r="507" spans="1:1" ht="13.8" thickBot="1" x14ac:dyDescent="0.3">
      <c r="A507" s="12"/>
    </row>
    <row r="508" spans="1:1" ht="13.8" thickBot="1" x14ac:dyDescent="0.3">
      <c r="A508" s="12"/>
    </row>
    <row r="509" spans="1:1" ht="13.8" thickBot="1" x14ac:dyDescent="0.3">
      <c r="A509" s="12"/>
    </row>
    <row r="510" spans="1:1" ht="13.8" thickBot="1" x14ac:dyDescent="0.3">
      <c r="A510" s="12"/>
    </row>
    <row r="511" spans="1:1" ht="13.8" thickBot="1" x14ac:dyDescent="0.3">
      <c r="A511" s="12"/>
    </row>
    <row r="512" spans="1:1" ht="13.8" thickBot="1" x14ac:dyDescent="0.3">
      <c r="A512" s="12"/>
    </row>
    <row r="513" spans="1:1" ht="13.8" thickBot="1" x14ac:dyDescent="0.3">
      <c r="A513" s="12"/>
    </row>
    <row r="514" spans="1:1" ht="13.8" thickBot="1" x14ac:dyDescent="0.3">
      <c r="A514" s="12"/>
    </row>
    <row r="515" spans="1:1" ht="13.8" thickBot="1" x14ac:dyDescent="0.3">
      <c r="A515" s="12"/>
    </row>
    <row r="516" spans="1:1" ht="13.8" thickBot="1" x14ac:dyDescent="0.3">
      <c r="A516" s="12"/>
    </row>
    <row r="517" spans="1:1" ht="13.8" thickBot="1" x14ac:dyDescent="0.3">
      <c r="A517" s="12"/>
    </row>
    <row r="518" spans="1:1" ht="13.8" thickBot="1" x14ac:dyDescent="0.3">
      <c r="A518" s="12"/>
    </row>
    <row r="519" spans="1:1" ht="13.8" thickBot="1" x14ac:dyDescent="0.3">
      <c r="A519" s="12"/>
    </row>
    <row r="520" spans="1:1" ht="13.8" thickBot="1" x14ac:dyDescent="0.3">
      <c r="A520" s="12"/>
    </row>
    <row r="521" spans="1:1" ht="13.8" thickBot="1" x14ac:dyDescent="0.3">
      <c r="A521" s="12"/>
    </row>
    <row r="522" spans="1:1" ht="13.8" thickBot="1" x14ac:dyDescent="0.3">
      <c r="A522" s="12"/>
    </row>
    <row r="523" spans="1:1" ht="13.8" thickBot="1" x14ac:dyDescent="0.3">
      <c r="A523" s="12"/>
    </row>
    <row r="524" spans="1:1" ht="13.8" thickBot="1" x14ac:dyDescent="0.3">
      <c r="A524" s="12"/>
    </row>
    <row r="525" spans="1:1" ht="13.8" thickBot="1" x14ac:dyDescent="0.3">
      <c r="A525" s="12"/>
    </row>
    <row r="526" spans="1:1" ht="13.8" thickBot="1" x14ac:dyDescent="0.3">
      <c r="A526" s="12"/>
    </row>
    <row r="527" spans="1:1" ht="13.8" thickBot="1" x14ac:dyDescent="0.3">
      <c r="A527" s="12"/>
    </row>
    <row r="528" spans="1:1" ht="13.8" thickBot="1" x14ac:dyDescent="0.3">
      <c r="A528" s="12"/>
    </row>
    <row r="529" spans="1:1" ht="13.8" thickBot="1" x14ac:dyDescent="0.3">
      <c r="A529" s="12"/>
    </row>
    <row r="530" spans="1:1" ht="13.8" thickBot="1" x14ac:dyDescent="0.3">
      <c r="A530" s="12"/>
    </row>
    <row r="531" spans="1:1" ht="13.8" thickBot="1" x14ac:dyDescent="0.3">
      <c r="A531" s="12"/>
    </row>
    <row r="532" spans="1:1" ht="13.8" thickBot="1" x14ac:dyDescent="0.3">
      <c r="A532" s="12"/>
    </row>
    <row r="533" spans="1:1" ht="13.8" thickBot="1" x14ac:dyDescent="0.3">
      <c r="A533" s="12"/>
    </row>
    <row r="534" spans="1:1" ht="13.8" thickBot="1" x14ac:dyDescent="0.3">
      <c r="A534" s="12"/>
    </row>
    <row r="535" spans="1:1" ht="13.8" thickBot="1" x14ac:dyDescent="0.3">
      <c r="A535" s="12"/>
    </row>
    <row r="536" spans="1:1" ht="13.8" thickBot="1" x14ac:dyDescent="0.3">
      <c r="A536" s="12"/>
    </row>
    <row r="537" spans="1:1" ht="13.8" thickBot="1" x14ac:dyDescent="0.3">
      <c r="A537" s="12"/>
    </row>
    <row r="538" spans="1:1" ht="13.8" thickBot="1" x14ac:dyDescent="0.3">
      <c r="A538" s="12"/>
    </row>
    <row r="539" spans="1:1" ht="13.8" thickBot="1" x14ac:dyDescent="0.3">
      <c r="A539" s="12"/>
    </row>
    <row r="540" spans="1:1" ht="13.8" thickBot="1" x14ac:dyDescent="0.3">
      <c r="A540" s="12"/>
    </row>
    <row r="541" spans="1:1" ht="13.8" thickBot="1" x14ac:dyDescent="0.3">
      <c r="A541" s="12"/>
    </row>
    <row r="542" spans="1:1" ht="13.8" thickBot="1" x14ac:dyDescent="0.3">
      <c r="A542" s="12"/>
    </row>
    <row r="543" spans="1:1" ht="13.8" thickBot="1" x14ac:dyDescent="0.3">
      <c r="A543" s="12"/>
    </row>
    <row r="544" spans="1:1" ht="13.8" thickBot="1" x14ac:dyDescent="0.3">
      <c r="A544" s="12"/>
    </row>
    <row r="545" spans="1:1" ht="13.8" thickBot="1" x14ac:dyDescent="0.3">
      <c r="A545" s="12"/>
    </row>
    <row r="546" spans="1:1" ht="13.8" thickBot="1" x14ac:dyDescent="0.3">
      <c r="A546" s="12"/>
    </row>
    <row r="547" spans="1:1" ht="13.8" thickBot="1" x14ac:dyDescent="0.3">
      <c r="A547" s="12"/>
    </row>
    <row r="548" spans="1:1" ht="13.8" thickBot="1" x14ac:dyDescent="0.3">
      <c r="A548" s="12"/>
    </row>
    <row r="549" spans="1:1" ht="13.8" thickBot="1" x14ac:dyDescent="0.3">
      <c r="A549" s="12"/>
    </row>
    <row r="550" spans="1:1" ht="13.8" thickBot="1" x14ac:dyDescent="0.3">
      <c r="A550" s="12"/>
    </row>
    <row r="551" spans="1:1" ht="13.8" thickBot="1" x14ac:dyDescent="0.3">
      <c r="A551" s="12"/>
    </row>
    <row r="552" spans="1:1" ht="13.8" thickBot="1" x14ac:dyDescent="0.3">
      <c r="A552" s="12"/>
    </row>
    <row r="553" spans="1:1" ht="13.8" thickBot="1" x14ac:dyDescent="0.3">
      <c r="A553" s="12"/>
    </row>
    <row r="554" spans="1:1" ht="13.8" thickBot="1" x14ac:dyDescent="0.3">
      <c r="A554" s="12"/>
    </row>
    <row r="555" spans="1:1" ht="13.8" thickBot="1" x14ac:dyDescent="0.3">
      <c r="A555" s="12"/>
    </row>
    <row r="556" spans="1:1" ht="13.8" thickBot="1" x14ac:dyDescent="0.3">
      <c r="A556" s="12"/>
    </row>
    <row r="557" spans="1:1" ht="13.8" thickBot="1" x14ac:dyDescent="0.3">
      <c r="A557" s="12"/>
    </row>
    <row r="558" spans="1:1" ht="13.8" thickBot="1" x14ac:dyDescent="0.3">
      <c r="A558" s="12"/>
    </row>
    <row r="559" spans="1:1" ht="13.8" thickBot="1" x14ac:dyDescent="0.3">
      <c r="A559" s="12"/>
    </row>
    <row r="560" spans="1:1" ht="13.8" thickBot="1" x14ac:dyDescent="0.3">
      <c r="A560" s="12"/>
    </row>
    <row r="561" spans="1:1" ht="13.8" thickBot="1" x14ac:dyDescent="0.3">
      <c r="A561" s="12"/>
    </row>
    <row r="562" spans="1:1" ht="13.8" thickBot="1" x14ac:dyDescent="0.3">
      <c r="A562" s="12"/>
    </row>
    <row r="563" spans="1:1" ht="13.8" thickBot="1" x14ac:dyDescent="0.3">
      <c r="A563" s="12"/>
    </row>
    <row r="564" spans="1:1" ht="13.8" thickBot="1" x14ac:dyDescent="0.3">
      <c r="A564" s="12"/>
    </row>
    <row r="565" spans="1:1" ht="13.8" thickBot="1" x14ac:dyDescent="0.3">
      <c r="A565" s="12"/>
    </row>
    <row r="566" spans="1:1" ht="13.8" thickBot="1" x14ac:dyDescent="0.3">
      <c r="A566" s="12"/>
    </row>
    <row r="567" spans="1:1" ht="13.8" thickBot="1" x14ac:dyDescent="0.3">
      <c r="A567" s="12"/>
    </row>
    <row r="568" spans="1:1" ht="13.8" thickBot="1" x14ac:dyDescent="0.3">
      <c r="A568" s="12"/>
    </row>
    <row r="569" spans="1:1" ht="13.8" thickBot="1" x14ac:dyDescent="0.3">
      <c r="A569" s="12"/>
    </row>
    <row r="570" spans="1:1" ht="13.8" thickBot="1" x14ac:dyDescent="0.3">
      <c r="A570" s="12"/>
    </row>
    <row r="571" spans="1:1" ht="13.8" thickBot="1" x14ac:dyDescent="0.3">
      <c r="A571" s="12"/>
    </row>
    <row r="572" spans="1:1" ht="13.8" thickBot="1" x14ac:dyDescent="0.3">
      <c r="A572" s="12"/>
    </row>
    <row r="573" spans="1:1" ht="13.8" thickBot="1" x14ac:dyDescent="0.3">
      <c r="A573" s="12"/>
    </row>
    <row r="574" spans="1:1" ht="13.8" thickBot="1" x14ac:dyDescent="0.3">
      <c r="A574" s="12"/>
    </row>
    <row r="575" spans="1:1" ht="13.8" thickBot="1" x14ac:dyDescent="0.3">
      <c r="A575" s="12"/>
    </row>
    <row r="576" spans="1:1" ht="13.8" thickBot="1" x14ac:dyDescent="0.3">
      <c r="A576" s="12"/>
    </row>
    <row r="577" spans="1:1" ht="13.8" thickBot="1" x14ac:dyDescent="0.3">
      <c r="A577" s="12"/>
    </row>
    <row r="578" spans="1:1" ht="13.8" thickBot="1" x14ac:dyDescent="0.3">
      <c r="A578" s="12"/>
    </row>
    <row r="579" spans="1:1" ht="13.8" thickBot="1" x14ac:dyDescent="0.3">
      <c r="A579" s="12"/>
    </row>
    <row r="580" spans="1:1" ht="13.8" thickBot="1" x14ac:dyDescent="0.3">
      <c r="A580" s="12"/>
    </row>
    <row r="581" spans="1:1" ht="13.8" thickBot="1" x14ac:dyDescent="0.3">
      <c r="A581" s="12"/>
    </row>
    <row r="582" spans="1:1" ht="13.8" thickBot="1" x14ac:dyDescent="0.3">
      <c r="A582" s="12"/>
    </row>
    <row r="583" spans="1:1" ht="13.8" thickBot="1" x14ac:dyDescent="0.3">
      <c r="A583" s="12"/>
    </row>
    <row r="584" spans="1:1" ht="13.8" thickBot="1" x14ac:dyDescent="0.3">
      <c r="A584" s="12"/>
    </row>
    <row r="585" spans="1:1" ht="13.8" thickBot="1" x14ac:dyDescent="0.3">
      <c r="A585" s="12"/>
    </row>
    <row r="586" spans="1:1" ht="13.8" thickBot="1" x14ac:dyDescent="0.3">
      <c r="A586" s="12"/>
    </row>
    <row r="587" spans="1:1" ht="13.8" thickBot="1" x14ac:dyDescent="0.3">
      <c r="A587" s="12"/>
    </row>
    <row r="588" spans="1:1" ht="13.8" thickBot="1" x14ac:dyDescent="0.3">
      <c r="A588" s="12"/>
    </row>
    <row r="589" spans="1:1" ht="13.8" thickBot="1" x14ac:dyDescent="0.3">
      <c r="A589" s="12"/>
    </row>
    <row r="590" spans="1:1" ht="13.8" thickBot="1" x14ac:dyDescent="0.3">
      <c r="A590" s="12"/>
    </row>
    <row r="591" spans="1:1" ht="13.8" thickBot="1" x14ac:dyDescent="0.3">
      <c r="A591" s="12"/>
    </row>
    <row r="592" spans="1:1" ht="13.8" thickBot="1" x14ac:dyDescent="0.3">
      <c r="A592" s="12"/>
    </row>
    <row r="593" spans="1:1" ht="13.8" thickBot="1" x14ac:dyDescent="0.3">
      <c r="A593" s="12"/>
    </row>
    <row r="594" spans="1:1" ht="13.8" thickBot="1" x14ac:dyDescent="0.3">
      <c r="A594" s="12"/>
    </row>
    <row r="595" spans="1:1" ht="13.8" thickBot="1" x14ac:dyDescent="0.3">
      <c r="A595" s="12"/>
    </row>
    <row r="596" spans="1:1" ht="13.8" thickBot="1" x14ac:dyDescent="0.3">
      <c r="A596" s="12"/>
    </row>
    <row r="597" spans="1:1" ht="13.8" thickBot="1" x14ac:dyDescent="0.3">
      <c r="A597" s="12"/>
    </row>
    <row r="598" spans="1:1" ht="13.8" thickBot="1" x14ac:dyDescent="0.3">
      <c r="A598" s="12"/>
    </row>
    <row r="599" spans="1:1" ht="13.8" thickBot="1" x14ac:dyDescent="0.3">
      <c r="A599" s="12"/>
    </row>
    <row r="600" spans="1:1" ht="13.8" thickBot="1" x14ac:dyDescent="0.3">
      <c r="A600" s="12"/>
    </row>
    <row r="601" spans="1:1" ht="13.8" thickBot="1" x14ac:dyDescent="0.3">
      <c r="A601" s="12"/>
    </row>
    <row r="602" spans="1:1" ht="13.8" thickBot="1" x14ac:dyDescent="0.3">
      <c r="A602" s="12"/>
    </row>
    <row r="603" spans="1:1" ht="13.8" thickBot="1" x14ac:dyDescent="0.3">
      <c r="A603" s="12"/>
    </row>
    <row r="604" spans="1:1" ht="13.8" thickBot="1" x14ac:dyDescent="0.3">
      <c r="A604" s="12"/>
    </row>
    <row r="605" spans="1:1" ht="13.8" thickBot="1" x14ac:dyDescent="0.3">
      <c r="A605" s="12"/>
    </row>
    <row r="606" spans="1:1" ht="13.8" thickBot="1" x14ac:dyDescent="0.3">
      <c r="A606" s="12"/>
    </row>
    <row r="607" spans="1:1" ht="13.8" thickBot="1" x14ac:dyDescent="0.3">
      <c r="A607" s="12"/>
    </row>
    <row r="608" spans="1:1" ht="13.8" thickBot="1" x14ac:dyDescent="0.3">
      <c r="A608" s="12"/>
    </row>
    <row r="609" spans="1:1" ht="13.8" thickBot="1" x14ac:dyDescent="0.3">
      <c r="A609" s="12"/>
    </row>
    <row r="610" spans="1:1" ht="13.8" thickBot="1" x14ac:dyDescent="0.3">
      <c r="A610" s="12"/>
    </row>
    <row r="611" spans="1:1" ht="13.8" thickBot="1" x14ac:dyDescent="0.3">
      <c r="A611" s="12"/>
    </row>
    <row r="612" spans="1:1" ht="13.8" thickBot="1" x14ac:dyDescent="0.3">
      <c r="A612" s="12"/>
    </row>
    <row r="613" spans="1:1" ht="13.8" thickBot="1" x14ac:dyDescent="0.3">
      <c r="A613" s="12"/>
    </row>
    <row r="614" spans="1:1" ht="13.8" thickBot="1" x14ac:dyDescent="0.3">
      <c r="A614" s="12"/>
    </row>
    <row r="615" spans="1:1" ht="13.8" thickBot="1" x14ac:dyDescent="0.3">
      <c r="A615" s="12"/>
    </row>
    <row r="616" spans="1:1" ht="13.8" thickBot="1" x14ac:dyDescent="0.3">
      <c r="A616" s="12"/>
    </row>
    <row r="617" spans="1:1" ht="13.8" thickBot="1" x14ac:dyDescent="0.3">
      <c r="A617" s="12"/>
    </row>
    <row r="618" spans="1:1" ht="13.8" thickBot="1" x14ac:dyDescent="0.3">
      <c r="A618" s="12"/>
    </row>
    <row r="619" spans="1:1" ht="13.8" thickBot="1" x14ac:dyDescent="0.3">
      <c r="A619" s="12"/>
    </row>
    <row r="620" spans="1:1" ht="13.8" thickBot="1" x14ac:dyDescent="0.3">
      <c r="A620" s="12"/>
    </row>
    <row r="621" spans="1:1" ht="13.8" thickBot="1" x14ac:dyDescent="0.3">
      <c r="A621" s="12"/>
    </row>
    <row r="622" spans="1:1" ht="13.8" thickBot="1" x14ac:dyDescent="0.3">
      <c r="A622" s="12"/>
    </row>
    <row r="623" spans="1:1" ht="13.8" thickBot="1" x14ac:dyDescent="0.3">
      <c r="A623" s="12"/>
    </row>
    <row r="624" spans="1:1" ht="13.8" thickBot="1" x14ac:dyDescent="0.3">
      <c r="A624" s="12"/>
    </row>
    <row r="625" spans="1:1" ht="13.8" thickBot="1" x14ac:dyDescent="0.3">
      <c r="A625" s="12"/>
    </row>
    <row r="626" spans="1:1" ht="13.8" thickBot="1" x14ac:dyDescent="0.3">
      <c r="A626" s="12"/>
    </row>
    <row r="627" spans="1:1" ht="13.8" thickBot="1" x14ac:dyDescent="0.3">
      <c r="A627" s="12"/>
    </row>
    <row r="628" spans="1:1" ht="13.8" thickBot="1" x14ac:dyDescent="0.3">
      <c r="A628" s="12"/>
    </row>
    <row r="629" spans="1:1" ht="13.8" thickBot="1" x14ac:dyDescent="0.3">
      <c r="A629" s="12"/>
    </row>
    <row r="630" spans="1:1" ht="13.8" thickBot="1" x14ac:dyDescent="0.3">
      <c r="A630" s="12"/>
    </row>
    <row r="631" spans="1:1" ht="13.8" thickBot="1" x14ac:dyDescent="0.3">
      <c r="A631" s="12"/>
    </row>
    <row r="632" spans="1:1" ht="13.8" thickBot="1" x14ac:dyDescent="0.3">
      <c r="A632" s="12"/>
    </row>
    <row r="633" spans="1:1" ht="13.8" thickBot="1" x14ac:dyDescent="0.3">
      <c r="A633" s="12"/>
    </row>
    <row r="634" spans="1:1" ht="13.8" thickBot="1" x14ac:dyDescent="0.3">
      <c r="A634" s="12"/>
    </row>
    <row r="635" spans="1:1" ht="13.8" thickBot="1" x14ac:dyDescent="0.3">
      <c r="A635" s="12"/>
    </row>
    <row r="636" spans="1:1" ht="13.8" thickBot="1" x14ac:dyDescent="0.3">
      <c r="A636" s="12"/>
    </row>
    <row r="637" spans="1:1" ht="13.8" thickBot="1" x14ac:dyDescent="0.3">
      <c r="A637" s="12"/>
    </row>
    <row r="638" spans="1:1" ht="13.8" thickBot="1" x14ac:dyDescent="0.3">
      <c r="A638" s="12"/>
    </row>
    <row r="639" spans="1:1" ht="13.8" thickBot="1" x14ac:dyDescent="0.3">
      <c r="A639" s="12"/>
    </row>
    <row r="640" spans="1:1" ht="13.8" thickBot="1" x14ac:dyDescent="0.3">
      <c r="A640" s="12"/>
    </row>
    <row r="641" spans="1:1" ht="13.8" thickBot="1" x14ac:dyDescent="0.3">
      <c r="A641" s="12"/>
    </row>
    <row r="642" spans="1:1" ht="13.8" thickBot="1" x14ac:dyDescent="0.3">
      <c r="A642" s="12"/>
    </row>
    <row r="643" spans="1:1" ht="13.8" thickBot="1" x14ac:dyDescent="0.3">
      <c r="A643" s="12"/>
    </row>
    <row r="644" spans="1:1" ht="13.8" thickBot="1" x14ac:dyDescent="0.3">
      <c r="A644" s="12"/>
    </row>
    <row r="645" spans="1:1" ht="13.8" thickBot="1" x14ac:dyDescent="0.3">
      <c r="A645" s="12"/>
    </row>
    <row r="646" spans="1:1" ht="13.8" thickBot="1" x14ac:dyDescent="0.3">
      <c r="A646" s="12"/>
    </row>
    <row r="647" spans="1:1" ht="13.8" thickBot="1" x14ac:dyDescent="0.3">
      <c r="A647" s="12"/>
    </row>
    <row r="648" spans="1:1" ht="13.8" thickBot="1" x14ac:dyDescent="0.3">
      <c r="A648" s="12"/>
    </row>
    <row r="649" spans="1:1" ht="13.8" thickBot="1" x14ac:dyDescent="0.3">
      <c r="A649" s="12"/>
    </row>
    <row r="650" spans="1:1" ht="13.8" thickBot="1" x14ac:dyDescent="0.3">
      <c r="A650" s="12"/>
    </row>
    <row r="651" spans="1:1" ht="13.8" thickBot="1" x14ac:dyDescent="0.3">
      <c r="A651" s="12"/>
    </row>
    <row r="652" spans="1:1" ht="13.8" thickBot="1" x14ac:dyDescent="0.3">
      <c r="A652" s="12"/>
    </row>
    <row r="653" spans="1:1" ht="13.8" thickBot="1" x14ac:dyDescent="0.3">
      <c r="A653" s="12"/>
    </row>
    <row r="654" spans="1:1" ht="13.8" thickBot="1" x14ac:dyDescent="0.3">
      <c r="A654" s="12"/>
    </row>
    <row r="655" spans="1:1" ht="13.8" thickBot="1" x14ac:dyDescent="0.3">
      <c r="A655" s="12"/>
    </row>
    <row r="656" spans="1:1" ht="13.8" thickBot="1" x14ac:dyDescent="0.3">
      <c r="A656" s="12"/>
    </row>
    <row r="657" spans="1:1" ht="13.8" thickBot="1" x14ac:dyDescent="0.3">
      <c r="A657" s="12"/>
    </row>
    <row r="658" spans="1:1" ht="13.8" thickBot="1" x14ac:dyDescent="0.3">
      <c r="A658" s="12"/>
    </row>
    <row r="659" spans="1:1" ht="13.8" thickBot="1" x14ac:dyDescent="0.3">
      <c r="A659" s="12"/>
    </row>
    <row r="660" spans="1:1" ht="13.8" thickBot="1" x14ac:dyDescent="0.3">
      <c r="A660" s="12"/>
    </row>
    <row r="661" spans="1:1" ht="13.8" thickBot="1" x14ac:dyDescent="0.3">
      <c r="A661" s="12"/>
    </row>
    <row r="662" spans="1:1" ht="13.8" thickBot="1" x14ac:dyDescent="0.3">
      <c r="A662" s="12"/>
    </row>
    <row r="663" spans="1:1" ht="13.8" thickBot="1" x14ac:dyDescent="0.3">
      <c r="A663" s="12"/>
    </row>
    <row r="664" spans="1:1" ht="13.8" thickBot="1" x14ac:dyDescent="0.3">
      <c r="A664" s="12"/>
    </row>
    <row r="665" spans="1:1" ht="13.8" thickBot="1" x14ac:dyDescent="0.3">
      <c r="A665" s="12"/>
    </row>
    <row r="666" spans="1:1" ht="13.8" thickBot="1" x14ac:dyDescent="0.3">
      <c r="A666" s="12"/>
    </row>
    <row r="667" spans="1:1" ht="13.8" thickBot="1" x14ac:dyDescent="0.3">
      <c r="A667" s="12"/>
    </row>
    <row r="668" spans="1:1" ht="13.8" thickBot="1" x14ac:dyDescent="0.3">
      <c r="A668" s="12"/>
    </row>
    <row r="669" spans="1:1" ht="13.8" thickBot="1" x14ac:dyDescent="0.3">
      <c r="A669" s="12"/>
    </row>
    <row r="670" spans="1:1" ht="13.8" thickBot="1" x14ac:dyDescent="0.3">
      <c r="A670" s="12"/>
    </row>
    <row r="671" spans="1:1" ht="13.8" thickBot="1" x14ac:dyDescent="0.3">
      <c r="A671" s="12"/>
    </row>
    <row r="672" spans="1:1" ht="13.8" thickBot="1" x14ac:dyDescent="0.3">
      <c r="A672" s="12"/>
    </row>
    <row r="673" spans="1:1" ht="13.8" thickBot="1" x14ac:dyDescent="0.3">
      <c r="A673" s="12"/>
    </row>
    <row r="674" spans="1:1" ht="13.8" thickBot="1" x14ac:dyDescent="0.3">
      <c r="A674" s="12"/>
    </row>
    <row r="675" spans="1:1" ht="13.8" thickBot="1" x14ac:dyDescent="0.3">
      <c r="A675" s="12"/>
    </row>
    <row r="676" spans="1:1" ht="13.8" thickBot="1" x14ac:dyDescent="0.3">
      <c r="A676" s="12"/>
    </row>
    <row r="677" spans="1:1" ht="13.8" thickBot="1" x14ac:dyDescent="0.3">
      <c r="A677" s="12"/>
    </row>
    <row r="678" spans="1:1" ht="13.8" thickBot="1" x14ac:dyDescent="0.3">
      <c r="A678" s="12"/>
    </row>
    <row r="679" spans="1:1" ht="13.8" thickBot="1" x14ac:dyDescent="0.3">
      <c r="A679" s="12"/>
    </row>
    <row r="680" spans="1:1" ht="13.8" thickBot="1" x14ac:dyDescent="0.3">
      <c r="A680" s="12"/>
    </row>
    <row r="681" spans="1:1" ht="13.8" thickBot="1" x14ac:dyDescent="0.3">
      <c r="A681" s="12"/>
    </row>
    <row r="682" spans="1:1" ht="13.8" thickBot="1" x14ac:dyDescent="0.3">
      <c r="A682" s="12"/>
    </row>
    <row r="683" spans="1:1" ht="13.8" thickBot="1" x14ac:dyDescent="0.3">
      <c r="A683" s="12"/>
    </row>
    <row r="684" spans="1:1" ht="13.8" thickBot="1" x14ac:dyDescent="0.3">
      <c r="A684" s="12"/>
    </row>
    <row r="685" spans="1:1" ht="13.8" thickBot="1" x14ac:dyDescent="0.3">
      <c r="A685" s="12"/>
    </row>
    <row r="686" spans="1:1" ht="13.8" thickBot="1" x14ac:dyDescent="0.3">
      <c r="A686" s="12"/>
    </row>
    <row r="687" spans="1:1" ht="13.8" thickBot="1" x14ac:dyDescent="0.3">
      <c r="A687" s="12"/>
    </row>
    <row r="688" spans="1:1" ht="13.8" thickBot="1" x14ac:dyDescent="0.3">
      <c r="A688" s="12"/>
    </row>
    <row r="689" spans="1:1" ht="13.8" thickBot="1" x14ac:dyDescent="0.3">
      <c r="A689" s="12"/>
    </row>
    <row r="690" spans="1:1" ht="13.8" thickBot="1" x14ac:dyDescent="0.3">
      <c r="A690" s="12"/>
    </row>
    <row r="691" spans="1:1" ht="13.8" thickBot="1" x14ac:dyDescent="0.3">
      <c r="A691" s="12"/>
    </row>
    <row r="692" spans="1:1" ht="13.8" thickBot="1" x14ac:dyDescent="0.3">
      <c r="A692" s="12"/>
    </row>
    <row r="693" spans="1:1" ht="13.8" thickBot="1" x14ac:dyDescent="0.3">
      <c r="A693" s="12"/>
    </row>
    <row r="694" spans="1:1" ht="13.8" thickBot="1" x14ac:dyDescent="0.3">
      <c r="A694" s="12"/>
    </row>
    <row r="695" spans="1:1" ht="13.8" thickBot="1" x14ac:dyDescent="0.3">
      <c r="A695" s="12"/>
    </row>
    <row r="696" spans="1:1" ht="13.8" thickBot="1" x14ac:dyDescent="0.3">
      <c r="A696" s="12"/>
    </row>
    <row r="697" spans="1:1" ht="13.8" thickBot="1" x14ac:dyDescent="0.3">
      <c r="A697" s="12"/>
    </row>
    <row r="698" spans="1:1" ht="13.8" thickBot="1" x14ac:dyDescent="0.3">
      <c r="A698" s="12"/>
    </row>
    <row r="699" spans="1:1" ht="13.8" thickBot="1" x14ac:dyDescent="0.3">
      <c r="A699" s="12"/>
    </row>
    <row r="700" spans="1:1" ht="13.8" thickBot="1" x14ac:dyDescent="0.3">
      <c r="A700" s="12"/>
    </row>
    <row r="701" spans="1:1" ht="13.8" thickBot="1" x14ac:dyDescent="0.3">
      <c r="A701" s="12"/>
    </row>
    <row r="702" spans="1:1" ht="13.8" thickBot="1" x14ac:dyDescent="0.3">
      <c r="A702" s="12"/>
    </row>
    <row r="703" spans="1:1" ht="13.8" thickBot="1" x14ac:dyDescent="0.3">
      <c r="A703" s="12"/>
    </row>
    <row r="704" spans="1:1" ht="13.8" thickBot="1" x14ac:dyDescent="0.3">
      <c r="A704" s="12"/>
    </row>
    <row r="705" spans="1:1" ht="13.8" thickBot="1" x14ac:dyDescent="0.3">
      <c r="A705" s="12"/>
    </row>
    <row r="706" spans="1:1" ht="13.8" thickBot="1" x14ac:dyDescent="0.3">
      <c r="A706" s="12"/>
    </row>
    <row r="707" spans="1:1" ht="13.8" thickBot="1" x14ac:dyDescent="0.3">
      <c r="A707" s="12"/>
    </row>
    <row r="708" spans="1:1" ht="13.8" thickBot="1" x14ac:dyDescent="0.3">
      <c r="A708" s="12"/>
    </row>
    <row r="709" spans="1:1" ht="13.8" thickBot="1" x14ac:dyDescent="0.3">
      <c r="A709" s="12"/>
    </row>
    <row r="710" spans="1:1" ht="13.8" thickBot="1" x14ac:dyDescent="0.3">
      <c r="A710" s="12"/>
    </row>
    <row r="711" spans="1:1" ht="13.8" thickBot="1" x14ac:dyDescent="0.3">
      <c r="A711" s="12"/>
    </row>
    <row r="712" spans="1:1" ht="13.8" thickBot="1" x14ac:dyDescent="0.3">
      <c r="A712" s="12"/>
    </row>
    <row r="713" spans="1:1" ht="13.8" thickBot="1" x14ac:dyDescent="0.3">
      <c r="A713" s="12"/>
    </row>
    <row r="714" spans="1:1" ht="13.8" thickBot="1" x14ac:dyDescent="0.3">
      <c r="A714" s="12"/>
    </row>
    <row r="715" spans="1:1" ht="13.8" thickBot="1" x14ac:dyDescent="0.3">
      <c r="A715" s="12"/>
    </row>
    <row r="716" spans="1:1" ht="13.8" thickBot="1" x14ac:dyDescent="0.3">
      <c r="A716" s="12"/>
    </row>
    <row r="717" spans="1:1" ht="13.8" thickBot="1" x14ac:dyDescent="0.3">
      <c r="A717" s="12"/>
    </row>
    <row r="718" spans="1:1" ht="13.8" thickBot="1" x14ac:dyDescent="0.3">
      <c r="A718" s="12"/>
    </row>
    <row r="719" spans="1:1" ht="13.8" thickBot="1" x14ac:dyDescent="0.3">
      <c r="A719" s="12"/>
    </row>
    <row r="720" spans="1:1" ht="13.8" thickBot="1" x14ac:dyDescent="0.3">
      <c r="A720" s="12"/>
    </row>
    <row r="721" spans="1:1" ht="13.8" thickBot="1" x14ac:dyDescent="0.3">
      <c r="A721" s="12"/>
    </row>
    <row r="722" spans="1:1" ht="13.8" thickBot="1" x14ac:dyDescent="0.3">
      <c r="A722" s="12"/>
    </row>
    <row r="723" spans="1:1" ht="13.8" thickBot="1" x14ac:dyDescent="0.3">
      <c r="A723" s="12"/>
    </row>
    <row r="724" spans="1:1" ht="13.8" thickBot="1" x14ac:dyDescent="0.3">
      <c r="A724" s="12"/>
    </row>
    <row r="725" spans="1:1" ht="13.8" thickBot="1" x14ac:dyDescent="0.3">
      <c r="A725" s="12"/>
    </row>
    <row r="726" spans="1:1" ht="13.8" thickBot="1" x14ac:dyDescent="0.3">
      <c r="A726" s="12"/>
    </row>
    <row r="727" spans="1:1" ht="13.8" thickBot="1" x14ac:dyDescent="0.3">
      <c r="A727" s="12"/>
    </row>
    <row r="728" spans="1:1" ht="13.8" thickBot="1" x14ac:dyDescent="0.3">
      <c r="A728" s="12"/>
    </row>
    <row r="729" spans="1:1" ht="13.8" thickBot="1" x14ac:dyDescent="0.3">
      <c r="A729" s="12"/>
    </row>
    <row r="730" spans="1:1" ht="13.8" thickBot="1" x14ac:dyDescent="0.3">
      <c r="A730" s="12"/>
    </row>
    <row r="731" spans="1:1" ht="13.8" thickBot="1" x14ac:dyDescent="0.3">
      <c r="A731" s="12"/>
    </row>
    <row r="732" spans="1:1" ht="13.8" thickBot="1" x14ac:dyDescent="0.3">
      <c r="A732" s="12"/>
    </row>
    <row r="733" spans="1:1" ht="13.8" thickBot="1" x14ac:dyDescent="0.3">
      <c r="A733" s="12"/>
    </row>
    <row r="734" spans="1:1" ht="13.8" thickBot="1" x14ac:dyDescent="0.3">
      <c r="A734" s="12"/>
    </row>
    <row r="735" spans="1:1" ht="13.8" thickBot="1" x14ac:dyDescent="0.3">
      <c r="A735" s="12"/>
    </row>
    <row r="736" spans="1:1" ht="13.8" thickBot="1" x14ac:dyDescent="0.3">
      <c r="A736" s="12"/>
    </row>
    <row r="737" spans="1:1" ht="13.8" thickBot="1" x14ac:dyDescent="0.3">
      <c r="A737" s="12"/>
    </row>
    <row r="738" spans="1:1" ht="13.8" thickBot="1" x14ac:dyDescent="0.3">
      <c r="A738" s="12"/>
    </row>
    <row r="739" spans="1:1" ht="13.8" thickBot="1" x14ac:dyDescent="0.3">
      <c r="A739" s="12"/>
    </row>
    <row r="740" spans="1:1" ht="13.8" thickBot="1" x14ac:dyDescent="0.3">
      <c r="A740" s="12"/>
    </row>
    <row r="741" spans="1:1" ht="13.8" thickBot="1" x14ac:dyDescent="0.3">
      <c r="A741" s="12"/>
    </row>
    <row r="742" spans="1:1" ht="13.8" thickBot="1" x14ac:dyDescent="0.3">
      <c r="A742" s="12"/>
    </row>
    <row r="743" spans="1:1" ht="13.8" thickBot="1" x14ac:dyDescent="0.3">
      <c r="A743" s="12"/>
    </row>
    <row r="744" spans="1:1" ht="13.8" thickBot="1" x14ac:dyDescent="0.3">
      <c r="A744" s="12"/>
    </row>
    <row r="745" spans="1:1" ht="13.8" thickBot="1" x14ac:dyDescent="0.3">
      <c r="A745" s="12"/>
    </row>
    <row r="746" spans="1:1" ht="13.8" thickBot="1" x14ac:dyDescent="0.3">
      <c r="A746" s="12"/>
    </row>
    <row r="747" spans="1:1" ht="13.8" thickBot="1" x14ac:dyDescent="0.3">
      <c r="A747" s="12"/>
    </row>
    <row r="748" spans="1:1" ht="13.8" thickBot="1" x14ac:dyDescent="0.3">
      <c r="A748" s="12"/>
    </row>
    <row r="749" spans="1:1" ht="13.8" thickBot="1" x14ac:dyDescent="0.3">
      <c r="A749" s="12"/>
    </row>
    <row r="750" spans="1:1" ht="13.8" thickBot="1" x14ac:dyDescent="0.3">
      <c r="A750" s="12"/>
    </row>
    <row r="751" spans="1:1" ht="13.8" thickBot="1" x14ac:dyDescent="0.3">
      <c r="A751" s="12"/>
    </row>
    <row r="752" spans="1:1" ht="13.8" thickBot="1" x14ac:dyDescent="0.3">
      <c r="A752" s="12"/>
    </row>
    <row r="753" spans="1:1" ht="13.8" thickBot="1" x14ac:dyDescent="0.3">
      <c r="A753" s="12"/>
    </row>
    <row r="754" spans="1:1" ht="13.8" thickBot="1" x14ac:dyDescent="0.3">
      <c r="A754" s="12"/>
    </row>
    <row r="755" spans="1:1" ht="13.8" thickBot="1" x14ac:dyDescent="0.3">
      <c r="A755" s="12"/>
    </row>
    <row r="756" spans="1:1" ht="13.8" thickBot="1" x14ac:dyDescent="0.3">
      <c r="A756" s="12"/>
    </row>
    <row r="757" spans="1:1" ht="13.8" thickBot="1" x14ac:dyDescent="0.3">
      <c r="A757" s="12"/>
    </row>
    <row r="758" spans="1:1" ht="13.8" thickBot="1" x14ac:dyDescent="0.3">
      <c r="A758" s="12"/>
    </row>
    <row r="759" spans="1:1" ht="13.8" thickBot="1" x14ac:dyDescent="0.3">
      <c r="A759" s="12"/>
    </row>
    <row r="760" spans="1:1" ht="13.8" thickBot="1" x14ac:dyDescent="0.3">
      <c r="A760" s="12"/>
    </row>
    <row r="761" spans="1:1" ht="13.8" thickBot="1" x14ac:dyDescent="0.3">
      <c r="A761" s="12"/>
    </row>
    <row r="762" spans="1:1" ht="13.8" thickBot="1" x14ac:dyDescent="0.3">
      <c r="A762" s="12"/>
    </row>
    <row r="763" spans="1:1" ht="13.8" thickBot="1" x14ac:dyDescent="0.3">
      <c r="A763" s="12"/>
    </row>
    <row r="764" spans="1:1" ht="13.8" thickBot="1" x14ac:dyDescent="0.3">
      <c r="A764" s="12"/>
    </row>
    <row r="765" spans="1:1" ht="13.8" thickBot="1" x14ac:dyDescent="0.3">
      <c r="A765" s="12"/>
    </row>
    <row r="766" spans="1:1" ht="13.8" thickBot="1" x14ac:dyDescent="0.3">
      <c r="A766" s="12"/>
    </row>
    <row r="767" spans="1:1" ht="13.8" thickBot="1" x14ac:dyDescent="0.3">
      <c r="A767" s="12"/>
    </row>
    <row r="768" spans="1:1" ht="13.8" thickBot="1" x14ac:dyDescent="0.3">
      <c r="A768" s="12"/>
    </row>
    <row r="769" spans="1:1" ht="13.8" thickBot="1" x14ac:dyDescent="0.3">
      <c r="A769" s="12"/>
    </row>
    <row r="770" spans="1:1" ht="13.8" thickBot="1" x14ac:dyDescent="0.3">
      <c r="A770" s="12"/>
    </row>
    <row r="771" spans="1:1" ht="13.8" thickBot="1" x14ac:dyDescent="0.3">
      <c r="A771" s="12"/>
    </row>
    <row r="772" spans="1:1" ht="13.8" thickBot="1" x14ac:dyDescent="0.3">
      <c r="A772" s="12"/>
    </row>
    <row r="773" spans="1:1" ht="13.8" thickBot="1" x14ac:dyDescent="0.3">
      <c r="A773" s="12"/>
    </row>
    <row r="774" spans="1:1" ht="13.8" thickBot="1" x14ac:dyDescent="0.3">
      <c r="A774" s="12"/>
    </row>
    <row r="775" spans="1:1" ht="13.8" thickBot="1" x14ac:dyDescent="0.3">
      <c r="A775" s="12"/>
    </row>
    <row r="776" spans="1:1" ht="13.8" thickBot="1" x14ac:dyDescent="0.3">
      <c r="A776" s="12"/>
    </row>
    <row r="777" spans="1:1" ht="13.8" thickBot="1" x14ac:dyDescent="0.3">
      <c r="A777" s="12"/>
    </row>
    <row r="778" spans="1:1" ht="13.8" thickBot="1" x14ac:dyDescent="0.3">
      <c r="A778" s="12"/>
    </row>
    <row r="779" spans="1:1" ht="13.8" thickBot="1" x14ac:dyDescent="0.3">
      <c r="A779" s="12"/>
    </row>
    <row r="780" spans="1:1" ht="13.8" thickBot="1" x14ac:dyDescent="0.3">
      <c r="A780" s="12"/>
    </row>
    <row r="781" spans="1:1" ht="13.8" thickBot="1" x14ac:dyDescent="0.3">
      <c r="A781" s="12"/>
    </row>
    <row r="782" spans="1:1" ht="13.8" thickBot="1" x14ac:dyDescent="0.3">
      <c r="A782" s="12"/>
    </row>
    <row r="783" spans="1:1" ht="13.8" thickBot="1" x14ac:dyDescent="0.3">
      <c r="A783" s="12"/>
    </row>
    <row r="784" spans="1:1" ht="13.8" thickBot="1" x14ac:dyDescent="0.3">
      <c r="A784" s="12"/>
    </row>
    <row r="785" spans="1:1" ht="13.8" thickBot="1" x14ac:dyDescent="0.3">
      <c r="A785" s="12"/>
    </row>
    <row r="786" spans="1:1" ht="13.8" thickBot="1" x14ac:dyDescent="0.3">
      <c r="A786" s="12"/>
    </row>
    <row r="787" spans="1:1" ht="13.8" thickBot="1" x14ac:dyDescent="0.3">
      <c r="A787" s="12"/>
    </row>
    <row r="788" spans="1:1" ht="13.8" thickBot="1" x14ac:dyDescent="0.3">
      <c r="A788" s="12"/>
    </row>
    <row r="789" spans="1:1" ht="13.8" thickBot="1" x14ac:dyDescent="0.3">
      <c r="A789" s="12"/>
    </row>
    <row r="790" spans="1:1" ht="13.8" thickBot="1" x14ac:dyDescent="0.3">
      <c r="A790" s="12"/>
    </row>
    <row r="791" spans="1:1" ht="13.8" thickBot="1" x14ac:dyDescent="0.3">
      <c r="A791" s="12"/>
    </row>
    <row r="792" spans="1:1" ht="13.8" thickBot="1" x14ac:dyDescent="0.3">
      <c r="A792" s="12"/>
    </row>
    <row r="793" spans="1:1" ht="13.8" thickBot="1" x14ac:dyDescent="0.3">
      <c r="A793" s="12"/>
    </row>
    <row r="794" spans="1:1" ht="13.8" thickBot="1" x14ac:dyDescent="0.3">
      <c r="A794" s="12"/>
    </row>
    <row r="795" spans="1:1" ht="13.8" thickBot="1" x14ac:dyDescent="0.3">
      <c r="A795" s="12"/>
    </row>
    <row r="796" spans="1:1" ht="13.8" thickBot="1" x14ac:dyDescent="0.3">
      <c r="A796" s="12"/>
    </row>
    <row r="797" spans="1:1" ht="13.8" thickBot="1" x14ac:dyDescent="0.3">
      <c r="A797" s="12"/>
    </row>
    <row r="798" spans="1:1" ht="13.8" thickBot="1" x14ac:dyDescent="0.3">
      <c r="A798" s="12"/>
    </row>
    <row r="799" spans="1:1" ht="13.8" thickBot="1" x14ac:dyDescent="0.3">
      <c r="A799" s="12"/>
    </row>
    <row r="800" spans="1:1" ht="13.8" thickBot="1" x14ac:dyDescent="0.3">
      <c r="A800" s="12"/>
    </row>
    <row r="801" spans="1:1" ht="13.8" thickBot="1" x14ac:dyDescent="0.3">
      <c r="A801" s="12"/>
    </row>
    <row r="802" spans="1:1" ht="13.8" thickBot="1" x14ac:dyDescent="0.3">
      <c r="A802" s="12"/>
    </row>
    <row r="803" spans="1:1" ht="13.8" thickBot="1" x14ac:dyDescent="0.3">
      <c r="A803" s="12"/>
    </row>
    <row r="804" spans="1:1" ht="13.8" thickBot="1" x14ac:dyDescent="0.3">
      <c r="A804" s="12"/>
    </row>
    <row r="805" spans="1:1" ht="13.8" thickBot="1" x14ac:dyDescent="0.3">
      <c r="A805" s="12"/>
    </row>
    <row r="806" spans="1:1" ht="13.8" thickBot="1" x14ac:dyDescent="0.3">
      <c r="A806" s="12"/>
    </row>
    <row r="807" spans="1:1" ht="13.8" thickBot="1" x14ac:dyDescent="0.3">
      <c r="A807" s="12"/>
    </row>
    <row r="808" spans="1:1" ht="13.8" thickBot="1" x14ac:dyDescent="0.3">
      <c r="A808" s="12"/>
    </row>
    <row r="809" spans="1:1" ht="13.8" thickBot="1" x14ac:dyDescent="0.3">
      <c r="A809" s="12"/>
    </row>
    <row r="810" spans="1:1" ht="13.8" thickBot="1" x14ac:dyDescent="0.3">
      <c r="A810" s="12"/>
    </row>
    <row r="811" spans="1:1" ht="13.8" thickBot="1" x14ac:dyDescent="0.3">
      <c r="A811" s="12"/>
    </row>
    <row r="812" spans="1:1" ht="13.8" thickBot="1" x14ac:dyDescent="0.3">
      <c r="A812" s="12"/>
    </row>
    <row r="813" spans="1:1" ht="13.8" thickBot="1" x14ac:dyDescent="0.3">
      <c r="A813" s="12"/>
    </row>
    <row r="814" spans="1:1" ht="13.8" thickBot="1" x14ac:dyDescent="0.3">
      <c r="A814" s="12"/>
    </row>
    <row r="815" spans="1:1" ht="13.8" thickBot="1" x14ac:dyDescent="0.3">
      <c r="A815" s="12"/>
    </row>
    <row r="816" spans="1:1" ht="13.8" thickBot="1" x14ac:dyDescent="0.3">
      <c r="A816" s="12"/>
    </row>
    <row r="817" spans="1:1" ht="13.8" thickBot="1" x14ac:dyDescent="0.3">
      <c r="A817" s="12"/>
    </row>
    <row r="818" spans="1:1" ht="13.8" thickBot="1" x14ac:dyDescent="0.3">
      <c r="A818" s="12"/>
    </row>
    <row r="819" spans="1:1" ht="13.8" thickBot="1" x14ac:dyDescent="0.3">
      <c r="A819" s="12"/>
    </row>
    <row r="820" spans="1:1" ht="13.8" thickBot="1" x14ac:dyDescent="0.3">
      <c r="A820" s="12"/>
    </row>
    <row r="821" spans="1:1" ht="13.8" thickBot="1" x14ac:dyDescent="0.3">
      <c r="A821" s="12"/>
    </row>
    <row r="822" spans="1:1" ht="13.8" thickBot="1" x14ac:dyDescent="0.3">
      <c r="A822" s="12"/>
    </row>
    <row r="823" spans="1:1" ht="13.8" thickBot="1" x14ac:dyDescent="0.3">
      <c r="A823" s="12"/>
    </row>
    <row r="824" spans="1:1" ht="13.8" thickBot="1" x14ac:dyDescent="0.3">
      <c r="A824" s="12"/>
    </row>
    <row r="825" spans="1:1" ht="13.8" thickBot="1" x14ac:dyDescent="0.3">
      <c r="A825" s="12"/>
    </row>
    <row r="826" spans="1:1" ht="13.8" thickBot="1" x14ac:dyDescent="0.3">
      <c r="A826" s="12"/>
    </row>
    <row r="827" spans="1:1" ht="13.8" thickBot="1" x14ac:dyDescent="0.3">
      <c r="A827" s="12"/>
    </row>
    <row r="828" spans="1:1" ht="13.8" thickBot="1" x14ac:dyDescent="0.3">
      <c r="A828" s="12"/>
    </row>
    <row r="829" spans="1:1" ht="13.8" thickBot="1" x14ac:dyDescent="0.3">
      <c r="A829" s="12"/>
    </row>
    <row r="830" spans="1:1" ht="13.8" thickBot="1" x14ac:dyDescent="0.3">
      <c r="A830" s="12"/>
    </row>
    <row r="831" spans="1:1" ht="15.75" customHeight="1" thickBot="1" x14ac:dyDescent="0.3">
      <c r="A831" s="12"/>
    </row>
    <row r="832" spans="1:1" ht="15.75" customHeight="1" thickBot="1" x14ac:dyDescent="0.3">
      <c r="A832" s="12"/>
    </row>
    <row r="833" spans="1:1" ht="15.75" customHeight="1" thickBot="1" x14ac:dyDescent="0.3">
      <c r="A833" s="12"/>
    </row>
    <row r="834" spans="1:1" ht="15.75" customHeight="1" thickBot="1" x14ac:dyDescent="0.3">
      <c r="A834" s="12"/>
    </row>
    <row r="835" spans="1:1" ht="15.75" customHeight="1" thickBot="1" x14ac:dyDescent="0.3">
      <c r="A835" s="12"/>
    </row>
    <row r="836" spans="1:1" ht="15.75" customHeight="1" thickBot="1" x14ac:dyDescent="0.3">
      <c r="A836" s="12"/>
    </row>
    <row r="837" spans="1:1" ht="15.75" customHeight="1" thickBot="1" x14ac:dyDescent="0.3">
      <c r="A837" s="12"/>
    </row>
    <row r="838" spans="1:1" ht="15.75" customHeight="1" thickBot="1" x14ac:dyDescent="0.3">
      <c r="A838" s="12"/>
    </row>
    <row r="839" spans="1:1" ht="15.75" customHeight="1" thickBot="1" x14ac:dyDescent="0.3">
      <c r="A839" s="12"/>
    </row>
    <row r="840" spans="1:1" ht="15.75" customHeight="1" thickBot="1" x14ac:dyDescent="0.3">
      <c r="A840" s="12"/>
    </row>
    <row r="841" spans="1:1" ht="15.75" customHeight="1" thickBot="1" x14ac:dyDescent="0.3">
      <c r="A841" s="12"/>
    </row>
    <row r="842" spans="1:1" ht="15.75" customHeight="1" thickBot="1" x14ac:dyDescent="0.3">
      <c r="A842" s="12"/>
    </row>
    <row r="843" spans="1:1" ht="15.75" customHeight="1" thickBot="1" x14ac:dyDescent="0.3">
      <c r="A843" s="12"/>
    </row>
    <row r="844" spans="1:1" ht="15.75" customHeight="1" thickBot="1" x14ac:dyDescent="0.3">
      <c r="A844" s="12"/>
    </row>
    <row r="845" spans="1:1" ht="15.75" customHeight="1" thickBot="1" x14ac:dyDescent="0.3">
      <c r="A845" s="12"/>
    </row>
    <row r="846" spans="1:1" ht="15.75" customHeight="1" thickBot="1" x14ac:dyDescent="0.3">
      <c r="A846" s="12"/>
    </row>
    <row r="847" spans="1:1" ht="15.75" customHeight="1" thickBot="1" x14ac:dyDescent="0.3">
      <c r="A847" s="12"/>
    </row>
    <row r="848" spans="1:1" ht="15.75" customHeight="1" thickBot="1" x14ac:dyDescent="0.3">
      <c r="A848" s="12"/>
    </row>
    <row r="849" spans="1:1" ht="15.75" customHeight="1" thickBot="1" x14ac:dyDescent="0.3">
      <c r="A849" s="12"/>
    </row>
    <row r="850" spans="1:1" ht="15.75" customHeight="1" thickBot="1" x14ac:dyDescent="0.3">
      <c r="A850" s="9"/>
    </row>
    <row r="851" spans="1:1" ht="15.75" customHeight="1" thickBot="1" x14ac:dyDescent="0.3">
      <c r="A851" s="9"/>
    </row>
    <row r="852" spans="1:1" ht="15.75" customHeight="1" thickBot="1" x14ac:dyDescent="0.3">
      <c r="A852" s="9"/>
    </row>
    <row r="853" spans="1:1" ht="15.75" customHeight="1" thickBot="1" x14ac:dyDescent="0.3">
      <c r="A853" s="9"/>
    </row>
    <row r="854" spans="1:1" ht="15.75" customHeight="1" thickBot="1" x14ac:dyDescent="0.3">
      <c r="A854" s="9"/>
    </row>
    <row r="855" spans="1:1" ht="15.75" customHeight="1" thickBot="1" x14ac:dyDescent="0.3">
      <c r="A855" s="9"/>
    </row>
    <row r="856" spans="1:1" ht="15.75" customHeight="1" thickBot="1" x14ac:dyDescent="0.3">
      <c r="A856" s="9"/>
    </row>
    <row r="857" spans="1:1" ht="15.75" customHeight="1" thickBot="1" x14ac:dyDescent="0.3">
      <c r="A857" s="9"/>
    </row>
    <row r="858" spans="1:1" ht="15.75" customHeight="1" thickBot="1" x14ac:dyDescent="0.3">
      <c r="A858" s="9"/>
    </row>
    <row r="859" spans="1:1" ht="15.75" customHeight="1" thickBot="1" x14ac:dyDescent="0.3">
      <c r="A859" s="9"/>
    </row>
    <row r="860" spans="1:1" ht="15.75" customHeight="1" thickBot="1" x14ac:dyDescent="0.3">
      <c r="A860" s="9"/>
    </row>
    <row r="861" spans="1:1" ht="15.75" customHeight="1" thickBot="1" x14ac:dyDescent="0.3">
      <c r="A861" s="9"/>
    </row>
    <row r="862" spans="1:1" ht="15.75" customHeight="1" thickBot="1" x14ac:dyDescent="0.3">
      <c r="A862" s="9"/>
    </row>
    <row r="863" spans="1:1" ht="15.75" customHeight="1" thickBot="1" x14ac:dyDescent="0.3">
      <c r="A863" s="9"/>
    </row>
    <row r="864" spans="1:1" ht="15.75" customHeight="1" thickBot="1" x14ac:dyDescent="0.3">
      <c r="A864" s="9"/>
    </row>
    <row r="865" spans="1:1" ht="15.75" customHeight="1" thickBot="1" x14ac:dyDescent="0.3">
      <c r="A865" s="9"/>
    </row>
    <row r="866" spans="1:1" ht="15.75" customHeight="1" thickBot="1" x14ac:dyDescent="0.3">
      <c r="A866" s="9"/>
    </row>
    <row r="867" spans="1:1" ht="15.75" customHeight="1" thickBot="1" x14ac:dyDescent="0.3">
      <c r="A867" s="9"/>
    </row>
    <row r="868" spans="1:1" ht="15.75" customHeight="1" thickBot="1" x14ac:dyDescent="0.3">
      <c r="A868" s="9"/>
    </row>
    <row r="869" spans="1:1" ht="15.75" customHeight="1" thickBot="1" x14ac:dyDescent="0.3">
      <c r="A869" s="9"/>
    </row>
    <row r="870" spans="1:1" ht="15.75" customHeight="1" thickBot="1" x14ac:dyDescent="0.3">
      <c r="A870" s="9"/>
    </row>
    <row r="871" spans="1:1" ht="15.75" customHeight="1" thickBot="1" x14ac:dyDescent="0.3">
      <c r="A871" s="9"/>
    </row>
    <row r="872" spans="1:1" ht="15.75" customHeight="1" thickBot="1" x14ac:dyDescent="0.3">
      <c r="A872" s="9"/>
    </row>
    <row r="873" spans="1:1" ht="15.75" customHeight="1" thickBot="1" x14ac:dyDescent="0.3">
      <c r="A873" s="9"/>
    </row>
    <row r="874" spans="1:1" ht="15.75" customHeight="1" thickBot="1" x14ac:dyDescent="0.3">
      <c r="A874" s="9"/>
    </row>
    <row r="875" spans="1:1" ht="15.75" customHeight="1" thickBot="1" x14ac:dyDescent="0.3">
      <c r="A875" s="9"/>
    </row>
    <row r="876" spans="1:1" ht="15.75" customHeight="1" thickBot="1" x14ac:dyDescent="0.3">
      <c r="A876" s="9"/>
    </row>
    <row r="877" spans="1:1" ht="15.75" customHeight="1" thickBot="1" x14ac:dyDescent="0.3">
      <c r="A877" s="9"/>
    </row>
    <row r="878" spans="1:1" ht="15.75" customHeight="1" thickBot="1" x14ac:dyDescent="0.3">
      <c r="A878" s="9"/>
    </row>
    <row r="879" spans="1:1" ht="15.75" customHeight="1" thickBot="1" x14ac:dyDescent="0.3">
      <c r="A879" s="9"/>
    </row>
    <row r="880" spans="1:1" ht="15.75" customHeight="1" thickBot="1" x14ac:dyDescent="0.3">
      <c r="A880" s="9"/>
    </row>
    <row r="881" spans="1:1" ht="15.75" customHeight="1" thickBot="1" x14ac:dyDescent="0.3">
      <c r="A881" s="9"/>
    </row>
    <row r="882" spans="1:1" ht="15.75" customHeight="1" thickBot="1" x14ac:dyDescent="0.3">
      <c r="A882" s="9"/>
    </row>
    <row r="883" spans="1:1" ht="15.75" customHeight="1" thickBot="1" x14ac:dyDescent="0.3">
      <c r="A883" s="9"/>
    </row>
    <row r="884" spans="1:1" ht="15.75" customHeight="1" thickBot="1" x14ac:dyDescent="0.3">
      <c r="A884" s="9"/>
    </row>
    <row r="885" spans="1:1" ht="15.75" customHeight="1" thickBot="1" x14ac:dyDescent="0.3">
      <c r="A885" s="9"/>
    </row>
    <row r="886" spans="1:1" ht="15.75" customHeight="1" thickBot="1" x14ac:dyDescent="0.3">
      <c r="A886" s="9"/>
    </row>
    <row r="887" spans="1:1" ht="15.75" customHeight="1" thickBot="1" x14ac:dyDescent="0.3">
      <c r="A887" s="9"/>
    </row>
    <row r="888" spans="1:1" ht="15.75" customHeight="1" thickBot="1" x14ac:dyDescent="0.3">
      <c r="A888" s="9"/>
    </row>
    <row r="889" spans="1:1" ht="15.75" customHeight="1" thickBot="1" x14ac:dyDescent="0.3">
      <c r="A889" s="9"/>
    </row>
    <row r="890" spans="1:1" ht="15.75" customHeight="1" thickBot="1" x14ac:dyDescent="0.3">
      <c r="A890" s="9"/>
    </row>
    <row r="891" spans="1:1" ht="15.75" customHeight="1" thickBot="1" x14ac:dyDescent="0.3">
      <c r="A891" s="9"/>
    </row>
    <row r="892" spans="1:1" ht="15.75" customHeight="1" thickBot="1" x14ac:dyDescent="0.3">
      <c r="A892" s="9"/>
    </row>
    <row r="893" spans="1:1" ht="15.75" customHeight="1" thickBot="1" x14ac:dyDescent="0.3">
      <c r="A893" s="9"/>
    </row>
    <row r="894" spans="1:1" ht="15.75" customHeight="1" thickBot="1" x14ac:dyDescent="0.3">
      <c r="A894" s="9"/>
    </row>
    <row r="895" spans="1:1" ht="15.75" customHeight="1" thickBot="1" x14ac:dyDescent="0.3">
      <c r="A895" s="9"/>
    </row>
    <row r="896" spans="1:1" ht="15.75" customHeight="1" thickBot="1" x14ac:dyDescent="0.3">
      <c r="A896" s="9"/>
    </row>
    <row r="897" spans="1:1" ht="15.75" customHeight="1" thickBot="1" x14ac:dyDescent="0.3">
      <c r="A897" s="9"/>
    </row>
    <row r="898" spans="1:1" ht="15.75" customHeight="1" thickBot="1" x14ac:dyDescent="0.3">
      <c r="A898" s="9"/>
    </row>
    <row r="899" spans="1:1" ht="15.75" customHeight="1" thickBot="1" x14ac:dyDescent="0.3">
      <c r="A899" s="9"/>
    </row>
    <row r="900" spans="1:1" ht="15.75" customHeight="1" thickBot="1" x14ac:dyDescent="0.3">
      <c r="A900" s="9"/>
    </row>
    <row r="901" spans="1:1" ht="15.75" customHeight="1" thickBot="1" x14ac:dyDescent="0.3">
      <c r="A901" s="9"/>
    </row>
    <row r="902" spans="1:1" ht="15.75" customHeight="1" thickBot="1" x14ac:dyDescent="0.3">
      <c r="A902" s="9"/>
    </row>
    <row r="903" spans="1:1" ht="15.75" customHeight="1" thickBot="1" x14ac:dyDescent="0.3">
      <c r="A903" s="9"/>
    </row>
    <row r="904" spans="1:1" ht="15.75" customHeight="1" thickBot="1" x14ac:dyDescent="0.3">
      <c r="A904" s="9"/>
    </row>
    <row r="905" spans="1:1" ht="15.75" customHeight="1" thickBot="1" x14ac:dyDescent="0.3">
      <c r="A905" s="9"/>
    </row>
    <row r="906" spans="1:1" ht="15.75" customHeight="1" thickBot="1" x14ac:dyDescent="0.3">
      <c r="A906" s="9"/>
    </row>
    <row r="907" spans="1:1" ht="15.75" customHeight="1" thickBot="1" x14ac:dyDescent="0.3">
      <c r="A907" s="9"/>
    </row>
    <row r="908" spans="1:1" ht="15.75" customHeight="1" thickBot="1" x14ac:dyDescent="0.3">
      <c r="A908" s="9"/>
    </row>
    <row r="909" spans="1:1" ht="15.75" customHeight="1" thickBot="1" x14ac:dyDescent="0.3">
      <c r="A909" s="9"/>
    </row>
    <row r="910" spans="1:1" ht="15.75" customHeight="1" thickBot="1" x14ac:dyDescent="0.3">
      <c r="A910" s="9"/>
    </row>
    <row r="911" spans="1:1" ht="15.75" customHeight="1" thickBot="1" x14ac:dyDescent="0.3">
      <c r="A911" s="9"/>
    </row>
    <row r="912" spans="1:1" ht="15.75" customHeight="1" thickBot="1" x14ac:dyDescent="0.3">
      <c r="A912" s="9"/>
    </row>
    <row r="913" spans="1:1" ht="15.75" customHeight="1" thickBot="1" x14ac:dyDescent="0.3">
      <c r="A913" s="9"/>
    </row>
    <row r="914" spans="1:1" ht="15.75" customHeight="1" thickBot="1" x14ac:dyDescent="0.3">
      <c r="A914" s="9"/>
    </row>
    <row r="915" spans="1:1" ht="15.75" customHeight="1" thickBot="1" x14ac:dyDescent="0.3">
      <c r="A915" s="9"/>
    </row>
    <row r="916" spans="1:1" ht="15.75" customHeight="1" thickBot="1" x14ac:dyDescent="0.3">
      <c r="A916" s="9"/>
    </row>
    <row r="917" spans="1:1" ht="15.75" customHeight="1" thickBot="1" x14ac:dyDescent="0.3">
      <c r="A917" s="9"/>
    </row>
    <row r="918" spans="1:1" ht="15.75" customHeight="1" thickBot="1" x14ac:dyDescent="0.3">
      <c r="A918" s="9"/>
    </row>
    <row r="919" spans="1:1" ht="15.75" customHeight="1" thickBot="1" x14ac:dyDescent="0.3">
      <c r="A919" s="9"/>
    </row>
    <row r="920" spans="1:1" ht="15.75" customHeight="1" thickBot="1" x14ac:dyDescent="0.3">
      <c r="A920" s="9"/>
    </row>
    <row r="921" spans="1:1" ht="15.75" customHeight="1" thickBot="1" x14ac:dyDescent="0.3">
      <c r="A921" s="9"/>
    </row>
    <row r="922" spans="1:1" ht="15.75" customHeight="1" thickBot="1" x14ac:dyDescent="0.3">
      <c r="A922" s="9"/>
    </row>
    <row r="923" spans="1:1" ht="15.75" customHeight="1" thickBot="1" x14ac:dyDescent="0.3">
      <c r="A923" s="9"/>
    </row>
    <row r="924" spans="1:1" ht="15.75" customHeight="1" thickBot="1" x14ac:dyDescent="0.3">
      <c r="A924" s="9"/>
    </row>
    <row r="925" spans="1:1" ht="15.75" customHeight="1" thickBot="1" x14ac:dyDescent="0.3">
      <c r="A925" s="9"/>
    </row>
    <row r="926" spans="1:1" ht="15.75" customHeight="1" thickBot="1" x14ac:dyDescent="0.3">
      <c r="A926" s="9"/>
    </row>
    <row r="927" spans="1:1" ht="15.75" customHeight="1" thickBot="1" x14ac:dyDescent="0.3">
      <c r="A927" s="9"/>
    </row>
    <row r="928" spans="1:1" ht="15.75" customHeight="1" thickBot="1" x14ac:dyDescent="0.3">
      <c r="A928" s="9"/>
    </row>
    <row r="929" spans="1:1" ht="15.75" customHeight="1" thickBot="1" x14ac:dyDescent="0.3">
      <c r="A929" s="9"/>
    </row>
    <row r="930" spans="1:1" ht="15.75" customHeight="1" thickBot="1" x14ac:dyDescent="0.3">
      <c r="A930" s="9"/>
    </row>
    <row r="931" spans="1:1" ht="15.75" customHeight="1" thickBot="1" x14ac:dyDescent="0.3">
      <c r="A931" s="9"/>
    </row>
    <row r="932" spans="1:1" ht="15.75" customHeight="1" thickBot="1" x14ac:dyDescent="0.3">
      <c r="A932" s="9"/>
    </row>
    <row r="933" spans="1:1" ht="15.75" customHeight="1" thickBot="1" x14ac:dyDescent="0.3">
      <c r="A933" s="9"/>
    </row>
    <row r="934" spans="1:1" ht="15.75" customHeight="1" thickBot="1" x14ac:dyDescent="0.3">
      <c r="A934" s="9"/>
    </row>
    <row r="935" spans="1:1" ht="15.75" customHeight="1" thickBot="1" x14ac:dyDescent="0.3">
      <c r="A935" s="9"/>
    </row>
    <row r="936" spans="1:1" ht="15.75" customHeight="1" thickBot="1" x14ac:dyDescent="0.3">
      <c r="A936" s="9"/>
    </row>
    <row r="937" spans="1:1" ht="15.75" customHeight="1" thickBot="1" x14ac:dyDescent="0.3">
      <c r="A937" s="9"/>
    </row>
    <row r="938" spans="1:1" ht="15.75" customHeight="1" thickBot="1" x14ac:dyDescent="0.3">
      <c r="A938" s="9"/>
    </row>
    <row r="939" spans="1:1" ht="15.75" customHeight="1" thickBot="1" x14ac:dyDescent="0.3">
      <c r="A939" s="9"/>
    </row>
    <row r="940" spans="1:1" ht="15.75" customHeight="1" thickBot="1" x14ac:dyDescent="0.3">
      <c r="A940" s="9"/>
    </row>
    <row r="941" spans="1:1" ht="15.75" customHeight="1" thickBot="1" x14ac:dyDescent="0.3">
      <c r="A941" s="9"/>
    </row>
    <row r="942" spans="1:1" ht="15.75" customHeight="1" thickBot="1" x14ac:dyDescent="0.3">
      <c r="A942" s="9"/>
    </row>
    <row r="943" spans="1:1" ht="15.75" customHeight="1" thickBot="1" x14ac:dyDescent="0.3">
      <c r="A943" s="9"/>
    </row>
    <row r="944" spans="1:1" ht="15.75" customHeight="1" thickBot="1" x14ac:dyDescent="0.3">
      <c r="A944" s="9"/>
    </row>
    <row r="945" spans="1:1" ht="15.75" customHeight="1" thickBot="1" x14ac:dyDescent="0.3">
      <c r="A945" s="9"/>
    </row>
    <row r="946" spans="1:1" ht="15.75" customHeight="1" thickBot="1" x14ac:dyDescent="0.3">
      <c r="A946" s="9"/>
    </row>
    <row r="947" spans="1:1" ht="15.75" customHeight="1" thickBot="1" x14ac:dyDescent="0.3">
      <c r="A947" s="9"/>
    </row>
    <row r="948" spans="1:1" ht="15.75" customHeight="1" thickBot="1" x14ac:dyDescent="0.3">
      <c r="A948" s="9"/>
    </row>
    <row r="949" spans="1:1" ht="15.75" customHeight="1" thickBot="1" x14ac:dyDescent="0.3">
      <c r="A949" s="9"/>
    </row>
    <row r="950" spans="1:1" ht="15.75" customHeight="1" thickBot="1" x14ac:dyDescent="0.3">
      <c r="A950" s="9"/>
    </row>
    <row r="951" spans="1:1" ht="15.75" customHeight="1" thickBot="1" x14ac:dyDescent="0.3">
      <c r="A951" s="9"/>
    </row>
    <row r="952" spans="1:1" ht="15.75" customHeight="1" thickBot="1" x14ac:dyDescent="0.3">
      <c r="A952" s="9"/>
    </row>
    <row r="953" spans="1:1" ht="15.75" customHeight="1" thickBot="1" x14ac:dyDescent="0.3">
      <c r="A953" s="9"/>
    </row>
    <row r="954" spans="1:1" ht="15.75" customHeight="1" thickBot="1" x14ac:dyDescent="0.3">
      <c r="A954" s="9"/>
    </row>
    <row r="955" spans="1:1" ht="15.75" customHeight="1" thickBot="1" x14ac:dyDescent="0.3">
      <c r="A955" s="9"/>
    </row>
    <row r="956" spans="1:1" ht="15.75" customHeight="1" thickBot="1" x14ac:dyDescent="0.3">
      <c r="A956" s="9"/>
    </row>
    <row r="957" spans="1:1" ht="15.75" customHeight="1" thickBot="1" x14ac:dyDescent="0.3">
      <c r="A957" s="9"/>
    </row>
    <row r="958" spans="1:1" ht="15.75" customHeight="1" thickBot="1" x14ac:dyDescent="0.3">
      <c r="A958" s="9"/>
    </row>
    <row r="959" spans="1:1" ht="15.75" customHeight="1" thickBot="1" x14ac:dyDescent="0.3">
      <c r="A959" s="9"/>
    </row>
    <row r="960" spans="1:1" ht="15.75" customHeight="1" thickBot="1" x14ac:dyDescent="0.3">
      <c r="A960" s="9"/>
    </row>
    <row r="961" spans="1:1" ht="15.75" customHeight="1" thickBot="1" x14ac:dyDescent="0.3">
      <c r="A961" s="9"/>
    </row>
    <row r="962" spans="1:1" ht="15.75" customHeight="1" thickBot="1" x14ac:dyDescent="0.3">
      <c r="A962" s="9"/>
    </row>
    <row r="963" spans="1:1" ht="15.75" customHeight="1" thickBot="1" x14ac:dyDescent="0.3">
      <c r="A963" s="9"/>
    </row>
    <row r="964" spans="1:1" ht="15.75" customHeight="1" thickBot="1" x14ac:dyDescent="0.3">
      <c r="A964" s="9"/>
    </row>
    <row r="965" spans="1:1" ht="15.75" customHeight="1" thickBot="1" x14ac:dyDescent="0.3">
      <c r="A965" s="9"/>
    </row>
    <row r="966" spans="1:1" ht="15.75" customHeight="1" thickBot="1" x14ac:dyDescent="0.3">
      <c r="A966" s="9"/>
    </row>
    <row r="967" spans="1:1" ht="15.75" customHeight="1" thickBot="1" x14ac:dyDescent="0.3">
      <c r="A967" s="9"/>
    </row>
    <row r="968" spans="1:1" ht="15.75" customHeight="1" thickBot="1" x14ac:dyDescent="0.3">
      <c r="A968" s="9"/>
    </row>
    <row r="969" spans="1:1" ht="15.75" customHeight="1" thickBot="1" x14ac:dyDescent="0.3">
      <c r="A969" s="9"/>
    </row>
    <row r="970" spans="1:1" ht="15.75" customHeight="1" thickBot="1" x14ac:dyDescent="0.3">
      <c r="A970" s="9"/>
    </row>
    <row r="971" spans="1:1" ht="15.75" customHeight="1" thickBot="1" x14ac:dyDescent="0.3">
      <c r="A971" s="9"/>
    </row>
    <row r="972" spans="1:1" ht="15.75" customHeight="1" thickBot="1" x14ac:dyDescent="0.3">
      <c r="A972" s="9"/>
    </row>
    <row r="973" spans="1:1" ht="15.75" customHeight="1" thickBot="1" x14ac:dyDescent="0.3">
      <c r="A973" s="9"/>
    </row>
    <row r="974" spans="1:1" ht="15.75" customHeight="1" thickBot="1" x14ac:dyDescent="0.3">
      <c r="A974" s="9"/>
    </row>
    <row r="975" spans="1:1" ht="15.75" customHeight="1" thickBot="1" x14ac:dyDescent="0.3">
      <c r="A975" s="9"/>
    </row>
    <row r="976" spans="1:1" ht="15.75" customHeight="1" thickBot="1" x14ac:dyDescent="0.3">
      <c r="A976" s="9"/>
    </row>
    <row r="977" spans="1:1" ht="15.75" customHeight="1" thickBot="1" x14ac:dyDescent="0.3">
      <c r="A977" s="9"/>
    </row>
    <row r="978" spans="1:1" ht="15.75" customHeight="1" thickBot="1" x14ac:dyDescent="0.3">
      <c r="A978" s="9"/>
    </row>
    <row r="979" spans="1:1" ht="15.75" customHeight="1" thickBot="1" x14ac:dyDescent="0.3">
      <c r="A979" s="9"/>
    </row>
    <row r="980" spans="1:1" ht="15.75" customHeight="1" thickBot="1" x14ac:dyDescent="0.3">
      <c r="A980" s="9"/>
    </row>
    <row r="981" spans="1:1" ht="15.75" customHeight="1" thickBot="1" x14ac:dyDescent="0.3">
      <c r="A981" s="9"/>
    </row>
    <row r="982" spans="1:1" ht="15.75" customHeight="1" thickBot="1" x14ac:dyDescent="0.3">
      <c r="A982" s="9"/>
    </row>
    <row r="983" spans="1:1" ht="15.75" customHeight="1" thickBot="1" x14ac:dyDescent="0.3">
      <c r="A983" s="9"/>
    </row>
    <row r="984" spans="1:1" ht="15.75" customHeight="1" thickBot="1" x14ac:dyDescent="0.3">
      <c r="A984" s="9"/>
    </row>
    <row r="985" spans="1:1" ht="15.75" customHeight="1" thickBot="1" x14ac:dyDescent="0.3">
      <c r="A985" s="9"/>
    </row>
    <row r="986" spans="1:1" ht="15.75" customHeight="1" thickBot="1" x14ac:dyDescent="0.3">
      <c r="A986" s="9"/>
    </row>
    <row r="987" spans="1:1" ht="15.75" customHeight="1" thickBot="1" x14ac:dyDescent="0.3">
      <c r="A987" s="9"/>
    </row>
    <row r="988" spans="1:1" ht="15.75" customHeight="1" thickBot="1" x14ac:dyDescent="0.3">
      <c r="A988" s="9"/>
    </row>
    <row r="989" spans="1:1" ht="15.75" customHeight="1" thickBot="1" x14ac:dyDescent="0.3">
      <c r="A989" s="9"/>
    </row>
    <row r="990" spans="1:1" ht="15.75" customHeight="1" thickBot="1" x14ac:dyDescent="0.3">
      <c r="A990" s="9"/>
    </row>
    <row r="991" spans="1:1" ht="15.75" customHeight="1" thickBot="1" x14ac:dyDescent="0.3">
      <c r="A991" s="9"/>
    </row>
    <row r="992" spans="1:1" ht="15.75" customHeight="1" thickBot="1" x14ac:dyDescent="0.3">
      <c r="A992" s="9"/>
    </row>
    <row r="993" spans="1:1" ht="15.75" customHeight="1" thickBot="1" x14ac:dyDescent="0.3">
      <c r="A993" s="9"/>
    </row>
    <row r="994" spans="1:1" ht="15.75" customHeight="1" thickBot="1" x14ac:dyDescent="0.3">
      <c r="A994" s="9"/>
    </row>
    <row r="995" spans="1:1" ht="15.75" customHeight="1" thickBot="1" x14ac:dyDescent="0.3">
      <c r="A995" s="9"/>
    </row>
    <row r="996" spans="1:1" ht="15.75" customHeight="1" thickBot="1" x14ac:dyDescent="0.3">
      <c r="A996" s="9"/>
    </row>
    <row r="997" spans="1:1" ht="15.75" customHeight="1" thickBot="1" x14ac:dyDescent="0.3">
      <c r="A997" s="9"/>
    </row>
    <row r="998" spans="1:1" ht="15.75" customHeight="1" thickBot="1" x14ac:dyDescent="0.3">
      <c r="A998" s="9"/>
    </row>
    <row r="999" spans="1:1" ht="15.75" customHeight="1" thickBot="1" x14ac:dyDescent="0.3">
      <c r="A999" s="9"/>
    </row>
    <row r="1000" spans="1:1" ht="15.75" customHeight="1" thickBot="1" x14ac:dyDescent="0.3">
      <c r="A1000" s="9"/>
    </row>
    <row r="1001" spans="1:1" ht="15.75" customHeight="1" thickBot="1" x14ac:dyDescent="0.3">
      <c r="A1001" s="9"/>
    </row>
    <row r="1002" spans="1:1" ht="15.75" customHeight="1" thickBot="1" x14ac:dyDescent="0.3">
      <c r="A1002" s="9"/>
    </row>
    <row r="1003" spans="1:1" ht="15.75" customHeight="1" thickBot="1" x14ac:dyDescent="0.3">
      <c r="A1003" s="9"/>
    </row>
    <row r="1004" spans="1:1" ht="15.75" customHeight="1" thickBot="1" x14ac:dyDescent="0.3">
      <c r="A1004" s="9"/>
    </row>
    <row r="1005" spans="1:1" ht="15.75" customHeight="1" thickBot="1" x14ac:dyDescent="0.3">
      <c r="A1005" s="9"/>
    </row>
    <row r="1006" spans="1:1" ht="15.75" customHeight="1" thickBot="1" x14ac:dyDescent="0.3">
      <c r="A1006" s="9"/>
    </row>
    <row r="1007" spans="1:1" ht="15.75" customHeight="1" thickBot="1" x14ac:dyDescent="0.3">
      <c r="A1007" s="9"/>
    </row>
    <row r="1008" spans="1:1" ht="15.75" customHeight="1" thickBot="1" x14ac:dyDescent="0.3">
      <c r="A1008" s="9"/>
    </row>
    <row r="1009" spans="1:1" ht="15.75" customHeight="1" thickBot="1" x14ac:dyDescent="0.3">
      <c r="A1009" s="9"/>
    </row>
    <row r="1010" spans="1:1" ht="15.75" customHeight="1" thickBot="1" x14ac:dyDescent="0.3">
      <c r="A1010" s="9"/>
    </row>
    <row r="1011" spans="1:1" ht="15.75" customHeight="1" thickBot="1" x14ac:dyDescent="0.3">
      <c r="A1011" s="9"/>
    </row>
    <row r="1012" spans="1:1" ht="15.75" customHeight="1" thickBot="1" x14ac:dyDescent="0.3">
      <c r="A1012" s="9"/>
    </row>
    <row r="1013" spans="1:1" ht="15.75" customHeight="1" thickBot="1" x14ac:dyDescent="0.3">
      <c r="A1013" s="9"/>
    </row>
    <row r="1014" spans="1:1" ht="15.75" customHeight="1" thickBot="1" x14ac:dyDescent="0.3">
      <c r="A1014" s="9"/>
    </row>
    <row r="1015" spans="1:1" ht="15.75" customHeight="1" thickBot="1" x14ac:dyDescent="0.3">
      <c r="A1015" s="9"/>
    </row>
    <row r="1016" spans="1:1" ht="15.75" customHeight="1" thickBot="1" x14ac:dyDescent="0.3">
      <c r="A1016" s="9"/>
    </row>
    <row r="1017" spans="1:1" ht="15.75" customHeight="1" thickBot="1" x14ac:dyDescent="0.3">
      <c r="A1017" s="9"/>
    </row>
    <row r="1018" spans="1:1" ht="15.75" customHeight="1" thickBot="1" x14ac:dyDescent="0.3">
      <c r="A1018" s="9"/>
    </row>
    <row r="1019" spans="1:1" ht="15.75" customHeight="1" thickBot="1" x14ac:dyDescent="0.3">
      <c r="A1019" s="9"/>
    </row>
    <row r="1020" spans="1:1" ht="15.75" customHeight="1" thickBot="1" x14ac:dyDescent="0.3">
      <c r="A1020" s="9"/>
    </row>
    <row r="1021" spans="1:1" ht="15.75" customHeight="1" thickBot="1" x14ac:dyDescent="0.3">
      <c r="A1021" s="9"/>
    </row>
    <row r="1022" spans="1:1" ht="15.75" customHeight="1" thickBot="1" x14ac:dyDescent="0.3">
      <c r="A1022" s="9"/>
    </row>
    <row r="1023" spans="1:1" ht="15.75" customHeight="1" thickBot="1" x14ac:dyDescent="0.3">
      <c r="A1023" s="9"/>
    </row>
    <row r="1024" spans="1:1" ht="15.75" customHeight="1" thickBot="1" x14ac:dyDescent="0.3">
      <c r="A1024" s="9"/>
    </row>
    <row r="1025" spans="1:1" ht="15.75" customHeight="1" thickBot="1" x14ac:dyDescent="0.3">
      <c r="A1025" s="9"/>
    </row>
    <row r="1026" spans="1:1" ht="15.75" customHeight="1" thickBot="1" x14ac:dyDescent="0.3">
      <c r="A1026" s="9"/>
    </row>
    <row r="1027" spans="1:1" ht="15.75" customHeight="1" thickBot="1" x14ac:dyDescent="0.3">
      <c r="A1027" s="9"/>
    </row>
    <row r="1028" spans="1:1" ht="15.75" customHeight="1" thickBot="1" x14ac:dyDescent="0.3">
      <c r="A1028" s="9"/>
    </row>
    <row r="1029" spans="1:1" ht="15.75" customHeight="1" thickBot="1" x14ac:dyDescent="0.3">
      <c r="A1029" s="9"/>
    </row>
    <row r="1030" spans="1:1" ht="15.75" customHeight="1" thickBot="1" x14ac:dyDescent="0.3">
      <c r="A1030" s="9"/>
    </row>
    <row r="1031" spans="1:1" ht="15.75" customHeight="1" thickBot="1" x14ac:dyDescent="0.3">
      <c r="A1031" s="9"/>
    </row>
    <row r="1032" spans="1:1" ht="15.75" customHeight="1" thickBot="1" x14ac:dyDescent="0.3">
      <c r="A1032" s="9"/>
    </row>
    <row r="1033" spans="1:1" ht="15.75" customHeight="1" thickBot="1" x14ac:dyDescent="0.3">
      <c r="A1033" s="9"/>
    </row>
    <row r="1034" spans="1:1" ht="15.75" customHeight="1" thickBot="1" x14ac:dyDescent="0.3">
      <c r="A1034" s="9"/>
    </row>
    <row r="1035" spans="1:1" ht="15.75" customHeight="1" thickBot="1" x14ac:dyDescent="0.3">
      <c r="A1035" s="9"/>
    </row>
    <row r="1036" spans="1:1" ht="15.75" customHeight="1" thickBot="1" x14ac:dyDescent="0.3">
      <c r="A1036" s="9"/>
    </row>
    <row r="1037" spans="1:1" ht="15.75" customHeight="1" thickBot="1" x14ac:dyDescent="0.3">
      <c r="A1037" s="9"/>
    </row>
    <row r="1038" spans="1:1" ht="15.75" customHeight="1" thickBot="1" x14ac:dyDescent="0.3">
      <c r="A1038" s="9"/>
    </row>
    <row r="1039" spans="1:1" ht="15.75" customHeight="1" thickBot="1" x14ac:dyDescent="0.3">
      <c r="A1039" s="9"/>
    </row>
    <row r="1040" spans="1:1" ht="15.75" customHeight="1" thickBot="1" x14ac:dyDescent="0.3">
      <c r="A1040" s="9"/>
    </row>
    <row r="1041" spans="1:1" ht="15.75" customHeight="1" thickBot="1" x14ac:dyDescent="0.3">
      <c r="A1041" s="9"/>
    </row>
    <row r="1042" spans="1:1" ht="15.75" customHeight="1" thickBot="1" x14ac:dyDescent="0.3">
      <c r="A1042" s="9"/>
    </row>
    <row r="1043" spans="1:1" ht="15.75" customHeight="1" thickBot="1" x14ac:dyDescent="0.3">
      <c r="A1043" s="9"/>
    </row>
    <row r="1044" spans="1:1" ht="15.75" customHeight="1" thickBot="1" x14ac:dyDescent="0.3">
      <c r="A1044" s="9"/>
    </row>
    <row r="1045" spans="1:1" ht="15.75" customHeight="1" thickBot="1" x14ac:dyDescent="0.3">
      <c r="A1045" s="9"/>
    </row>
    <row r="1046" spans="1:1" ht="15.75" customHeight="1" thickBot="1" x14ac:dyDescent="0.3">
      <c r="A1046" s="9"/>
    </row>
    <row r="1047" spans="1:1" ht="15.75" customHeight="1" thickBot="1" x14ac:dyDescent="0.3">
      <c r="A1047" s="9"/>
    </row>
    <row r="1048" spans="1:1" ht="15.75" customHeight="1" thickBot="1" x14ac:dyDescent="0.3">
      <c r="A1048" s="9"/>
    </row>
    <row r="1049" spans="1:1" ht="15.75" customHeight="1" thickBot="1" x14ac:dyDescent="0.3">
      <c r="A1049" s="9"/>
    </row>
    <row r="1050" spans="1:1" ht="15.75" customHeight="1" thickBot="1" x14ac:dyDescent="0.3">
      <c r="A1050" s="9"/>
    </row>
    <row r="1051" spans="1:1" ht="15.75" customHeight="1" thickBot="1" x14ac:dyDescent="0.3">
      <c r="A1051" s="9"/>
    </row>
    <row r="1052" spans="1:1" ht="15.75" customHeight="1" thickBot="1" x14ac:dyDescent="0.3">
      <c r="A1052" s="9"/>
    </row>
    <row r="1053" spans="1:1" ht="15.75" customHeight="1" thickBot="1" x14ac:dyDescent="0.3">
      <c r="A1053" s="9"/>
    </row>
    <row r="1054" spans="1:1" ht="15.75" customHeight="1" thickBot="1" x14ac:dyDescent="0.3">
      <c r="A1054" s="9"/>
    </row>
    <row r="1055" spans="1:1" ht="15.75" customHeight="1" thickBot="1" x14ac:dyDescent="0.3">
      <c r="A1055" s="9"/>
    </row>
    <row r="1056" spans="1:1" ht="15.75" customHeight="1" thickBot="1" x14ac:dyDescent="0.3">
      <c r="A1056" s="9"/>
    </row>
    <row r="1057" spans="1:1" ht="15.75" customHeight="1" thickBot="1" x14ac:dyDescent="0.3">
      <c r="A1057" s="9"/>
    </row>
    <row r="1058" spans="1:1" ht="15.75" customHeight="1" thickBot="1" x14ac:dyDescent="0.3">
      <c r="A1058" s="9"/>
    </row>
    <row r="1059" spans="1:1" ht="15.75" customHeight="1" thickBot="1" x14ac:dyDescent="0.3">
      <c r="A1059" s="9"/>
    </row>
    <row r="1060" spans="1:1" ht="15.75" customHeight="1" thickBot="1" x14ac:dyDescent="0.3">
      <c r="A1060" s="9"/>
    </row>
    <row r="1061" spans="1:1" ht="15.75" customHeight="1" thickBot="1" x14ac:dyDescent="0.3">
      <c r="A1061" s="9"/>
    </row>
    <row r="1062" spans="1:1" ht="15.75" customHeight="1" thickBot="1" x14ac:dyDescent="0.3">
      <c r="A1062" s="9"/>
    </row>
    <row r="1063" spans="1:1" ht="15.75" customHeight="1" thickBot="1" x14ac:dyDescent="0.3">
      <c r="A1063" s="9"/>
    </row>
    <row r="1064" spans="1:1" ht="15.75" customHeight="1" thickBot="1" x14ac:dyDescent="0.3">
      <c r="A1064" s="9"/>
    </row>
    <row r="1065" spans="1:1" ht="15.75" customHeight="1" thickBot="1" x14ac:dyDescent="0.3">
      <c r="A1065" s="9"/>
    </row>
    <row r="1066" spans="1:1" ht="15.75" customHeight="1" thickBot="1" x14ac:dyDescent="0.3">
      <c r="A1066" s="9"/>
    </row>
    <row r="1067" spans="1:1" ht="15.75" customHeight="1" thickBot="1" x14ac:dyDescent="0.3">
      <c r="A1067" s="9"/>
    </row>
    <row r="1068" spans="1:1" ht="15.75" customHeight="1" thickBot="1" x14ac:dyDescent="0.3">
      <c r="A1068" s="9"/>
    </row>
    <row r="1069" spans="1:1" ht="15.75" customHeight="1" thickBot="1" x14ac:dyDescent="0.3">
      <c r="A1069" s="9"/>
    </row>
    <row r="1070" spans="1:1" ht="15.75" customHeight="1" thickBot="1" x14ac:dyDescent="0.3">
      <c r="A1070" s="9"/>
    </row>
    <row r="1071" spans="1:1" ht="15.75" customHeight="1" thickBot="1" x14ac:dyDescent="0.3">
      <c r="A1071" s="9"/>
    </row>
    <row r="1072" spans="1:1" ht="15.75" customHeight="1" thickBot="1" x14ac:dyDescent="0.3">
      <c r="A1072" s="9"/>
    </row>
    <row r="1073" spans="1:1" ht="15.75" customHeight="1" thickBot="1" x14ac:dyDescent="0.3">
      <c r="A1073" s="9"/>
    </row>
    <row r="1074" spans="1:1" ht="15.75" customHeight="1" thickBot="1" x14ac:dyDescent="0.3">
      <c r="A1074" s="9"/>
    </row>
    <row r="1075" spans="1:1" ht="15.75" customHeight="1" thickBot="1" x14ac:dyDescent="0.3">
      <c r="A1075" s="9"/>
    </row>
    <row r="1076" spans="1:1" ht="15.75" customHeight="1" thickBot="1" x14ac:dyDescent="0.3">
      <c r="A1076" s="9"/>
    </row>
    <row r="1077" spans="1:1" ht="15.75" customHeight="1" thickBot="1" x14ac:dyDescent="0.3">
      <c r="A1077" s="9"/>
    </row>
    <row r="1078" spans="1:1" ht="15.75" customHeight="1" thickBot="1" x14ac:dyDescent="0.3">
      <c r="A1078" s="9"/>
    </row>
    <row r="1079" spans="1:1" ht="15.75" customHeight="1" thickBot="1" x14ac:dyDescent="0.3">
      <c r="A1079" s="9"/>
    </row>
    <row r="1080" spans="1:1" ht="15.75" customHeight="1" thickBot="1" x14ac:dyDescent="0.3">
      <c r="A1080" s="9"/>
    </row>
    <row r="1081" spans="1:1" ht="15.75" customHeight="1" thickBot="1" x14ac:dyDescent="0.3">
      <c r="A1081" s="9"/>
    </row>
    <row r="1082" spans="1:1" ht="15.75" customHeight="1" thickBot="1" x14ac:dyDescent="0.3">
      <c r="A1082" s="9"/>
    </row>
    <row r="1083" spans="1:1" ht="15.75" customHeight="1" thickBot="1" x14ac:dyDescent="0.3">
      <c r="A1083" s="9"/>
    </row>
    <row r="1084" spans="1:1" ht="15.75" customHeight="1" thickBot="1" x14ac:dyDescent="0.3">
      <c r="A1084" s="9"/>
    </row>
    <row r="1085" spans="1:1" ht="15.75" customHeight="1" thickBot="1" x14ac:dyDescent="0.3">
      <c r="A1085" s="9"/>
    </row>
    <row r="1086" spans="1:1" ht="15.75" customHeight="1" thickBot="1" x14ac:dyDescent="0.3">
      <c r="A1086" s="9"/>
    </row>
    <row r="1087" spans="1:1" ht="15.75" customHeight="1" thickBot="1" x14ac:dyDescent="0.3">
      <c r="A1087" s="9"/>
    </row>
    <row r="1088" spans="1:1" ht="15.75" customHeight="1" thickBot="1" x14ac:dyDescent="0.3">
      <c r="A1088" s="9"/>
    </row>
    <row r="1089" spans="1:1" ht="15.75" customHeight="1" thickBot="1" x14ac:dyDescent="0.3">
      <c r="A1089" s="9"/>
    </row>
    <row r="1090" spans="1:1" ht="15.75" customHeight="1" thickBot="1" x14ac:dyDescent="0.3">
      <c r="A1090" s="9"/>
    </row>
    <row r="1091" spans="1:1" ht="15.75" customHeight="1" thickBot="1" x14ac:dyDescent="0.3">
      <c r="A1091" s="9"/>
    </row>
    <row r="1092" spans="1:1" ht="15.75" customHeight="1" thickBot="1" x14ac:dyDescent="0.3">
      <c r="A1092" s="9"/>
    </row>
    <row r="1093" spans="1:1" ht="15.75" customHeight="1" thickBot="1" x14ac:dyDescent="0.3">
      <c r="A1093" s="9"/>
    </row>
    <row r="1094" spans="1:1" ht="15.75" customHeight="1" thickBot="1" x14ac:dyDescent="0.3">
      <c r="A1094" s="9"/>
    </row>
    <row r="1095" spans="1:1" ht="15.75" customHeight="1" thickBot="1" x14ac:dyDescent="0.3">
      <c r="A1095" s="9"/>
    </row>
    <row r="1096" spans="1:1" ht="15.75" customHeight="1" thickBot="1" x14ac:dyDescent="0.3">
      <c r="A1096" s="9"/>
    </row>
    <row r="1097" spans="1:1" ht="15.75" customHeight="1" thickBot="1" x14ac:dyDescent="0.3">
      <c r="A1097" s="9"/>
    </row>
    <row r="1098" spans="1:1" ht="15.75" customHeight="1" thickBot="1" x14ac:dyDescent="0.3">
      <c r="A1098" s="9"/>
    </row>
    <row r="1099" spans="1:1" ht="15.75" customHeight="1" thickBot="1" x14ac:dyDescent="0.3">
      <c r="A1099" s="9"/>
    </row>
    <row r="1100" spans="1:1" ht="15.75" customHeight="1" thickBot="1" x14ac:dyDescent="0.3">
      <c r="A1100" s="9"/>
    </row>
    <row r="1101" spans="1:1" ht="15.75" customHeight="1" thickBot="1" x14ac:dyDescent="0.3">
      <c r="A1101" s="9"/>
    </row>
    <row r="1102" spans="1:1" ht="15.75" customHeight="1" thickBot="1" x14ac:dyDescent="0.3">
      <c r="A1102" s="9"/>
    </row>
    <row r="1103" spans="1:1" ht="15.75" customHeight="1" thickBot="1" x14ac:dyDescent="0.3">
      <c r="A1103" s="9"/>
    </row>
    <row r="1104" spans="1:1" ht="15.75" customHeight="1" thickBot="1" x14ac:dyDescent="0.3">
      <c r="A1104" s="9"/>
    </row>
    <row r="1105" spans="1:1" ht="15.75" customHeight="1" thickBot="1" x14ac:dyDescent="0.3">
      <c r="A1105" s="9"/>
    </row>
    <row r="1106" spans="1:1" ht="15.75" customHeight="1" thickBot="1" x14ac:dyDescent="0.3">
      <c r="A1106" s="9"/>
    </row>
    <row r="1107" spans="1:1" ht="15.75" customHeight="1" thickBot="1" x14ac:dyDescent="0.3">
      <c r="A1107" s="9"/>
    </row>
    <row r="1108" spans="1:1" ht="15.75" customHeight="1" thickBot="1" x14ac:dyDescent="0.3">
      <c r="A1108" s="9"/>
    </row>
    <row r="1109" spans="1:1" ht="15.75" customHeight="1" thickBot="1" x14ac:dyDescent="0.3">
      <c r="A1109" s="9"/>
    </row>
    <row r="1110" spans="1:1" ht="15.75" customHeight="1" thickBot="1" x14ac:dyDescent="0.3">
      <c r="A1110" s="9"/>
    </row>
    <row r="1111" spans="1:1" ht="15.75" customHeight="1" thickBot="1" x14ac:dyDescent="0.3">
      <c r="A1111" s="9"/>
    </row>
    <row r="1112" spans="1:1" ht="15.75" customHeight="1" thickBot="1" x14ac:dyDescent="0.3">
      <c r="A1112" s="9"/>
    </row>
    <row r="1113" spans="1:1" ht="15.75" customHeight="1" thickBot="1" x14ac:dyDescent="0.3">
      <c r="A1113" s="9"/>
    </row>
    <row r="1114" spans="1:1" ht="15.75" customHeight="1" thickBot="1" x14ac:dyDescent="0.3">
      <c r="A1114" s="9"/>
    </row>
    <row r="1115" spans="1:1" ht="15.75" customHeight="1" thickBot="1" x14ac:dyDescent="0.3">
      <c r="A1115" s="9"/>
    </row>
    <row r="1116" spans="1:1" ht="15.75" customHeight="1" thickBot="1" x14ac:dyDescent="0.3">
      <c r="A1116" s="9"/>
    </row>
    <row r="1117" spans="1:1" ht="15.75" customHeight="1" thickBot="1" x14ac:dyDescent="0.3">
      <c r="A1117" s="9"/>
    </row>
    <row r="1118" spans="1:1" ht="15.75" customHeight="1" thickBot="1" x14ac:dyDescent="0.3">
      <c r="A1118" s="9"/>
    </row>
    <row r="1119" spans="1:1" ht="15.75" customHeight="1" thickBot="1" x14ac:dyDescent="0.3">
      <c r="A1119" s="9"/>
    </row>
    <row r="1120" spans="1:1" ht="15.75" customHeight="1" thickBot="1" x14ac:dyDescent="0.3">
      <c r="A1120" s="9"/>
    </row>
    <row r="1121" spans="1:1" ht="15.75" customHeight="1" thickBot="1" x14ac:dyDescent="0.3">
      <c r="A1121" s="9"/>
    </row>
    <row r="1122" spans="1:1" ht="15.75" customHeight="1" thickBot="1" x14ac:dyDescent="0.3">
      <c r="A1122" s="9"/>
    </row>
    <row r="1123" spans="1:1" ht="15.75" customHeight="1" thickBot="1" x14ac:dyDescent="0.3">
      <c r="A1123" s="9"/>
    </row>
    <row r="1124" spans="1:1" ht="15.75" customHeight="1" thickBot="1" x14ac:dyDescent="0.3">
      <c r="A1124" s="9"/>
    </row>
    <row r="1125" spans="1:1" ht="15.75" customHeight="1" thickBot="1" x14ac:dyDescent="0.3">
      <c r="A1125" s="9"/>
    </row>
    <row r="1126" spans="1:1" ht="15.75" customHeight="1" thickBot="1" x14ac:dyDescent="0.3">
      <c r="A1126" s="9"/>
    </row>
    <row r="1127" spans="1:1" ht="15.75" customHeight="1" thickBot="1" x14ac:dyDescent="0.3">
      <c r="A1127" s="9"/>
    </row>
    <row r="1128" spans="1:1" ht="15.75" customHeight="1" thickBot="1" x14ac:dyDescent="0.3">
      <c r="A1128" s="9"/>
    </row>
    <row r="1129" spans="1:1" ht="15.75" customHeight="1" thickBot="1" x14ac:dyDescent="0.3">
      <c r="A1129" s="9"/>
    </row>
    <row r="1130" spans="1:1" ht="15.75" customHeight="1" thickBot="1" x14ac:dyDescent="0.3">
      <c r="A1130" s="9"/>
    </row>
    <row r="1131" spans="1:1" ht="15.75" customHeight="1" thickBot="1" x14ac:dyDescent="0.3">
      <c r="A1131" s="9"/>
    </row>
    <row r="1132" spans="1:1" ht="15.75" customHeight="1" thickBot="1" x14ac:dyDescent="0.3">
      <c r="A1132" s="9"/>
    </row>
    <row r="1133" spans="1:1" ht="15.75" customHeight="1" thickBot="1" x14ac:dyDescent="0.3">
      <c r="A1133" s="9"/>
    </row>
    <row r="1134" spans="1:1" ht="15.75" customHeight="1" thickBot="1" x14ac:dyDescent="0.3">
      <c r="A1134" s="9"/>
    </row>
    <row r="1135" spans="1:1" ht="15.75" customHeight="1" thickBot="1" x14ac:dyDescent="0.3">
      <c r="A1135" s="9"/>
    </row>
    <row r="1136" spans="1:1" ht="15.75" customHeight="1" thickBot="1" x14ac:dyDescent="0.3">
      <c r="A1136" s="9"/>
    </row>
    <row r="1137" spans="1:1" ht="15.75" customHeight="1" thickBot="1" x14ac:dyDescent="0.3">
      <c r="A1137" s="9"/>
    </row>
    <row r="1138" spans="1:1" ht="15.75" customHeight="1" thickBot="1" x14ac:dyDescent="0.3">
      <c r="A1138" s="9"/>
    </row>
    <row r="1139" spans="1:1" ht="15.75" customHeight="1" thickBot="1" x14ac:dyDescent="0.3">
      <c r="A1139" s="9"/>
    </row>
    <row r="1140" spans="1:1" ht="15.75" customHeight="1" thickBot="1" x14ac:dyDescent="0.3">
      <c r="A1140" s="9"/>
    </row>
    <row r="1141" spans="1:1" ht="15.75" customHeight="1" thickBot="1" x14ac:dyDescent="0.3">
      <c r="A1141" s="9"/>
    </row>
    <row r="1142" spans="1:1" ht="15.75" customHeight="1" thickBot="1" x14ac:dyDescent="0.3">
      <c r="A1142" s="9"/>
    </row>
    <row r="1143" spans="1:1" ht="15.75" customHeight="1" thickBot="1" x14ac:dyDescent="0.3">
      <c r="A1143" s="9"/>
    </row>
    <row r="1144" spans="1:1" ht="15.75" customHeight="1" thickBot="1" x14ac:dyDescent="0.3">
      <c r="A1144" s="9"/>
    </row>
    <row r="1145" spans="1:1" ht="15.75" customHeight="1" thickBot="1" x14ac:dyDescent="0.3">
      <c r="A1145" s="9"/>
    </row>
    <row r="1146" spans="1:1" ht="15.75" customHeight="1" thickBot="1" x14ac:dyDescent="0.3">
      <c r="A1146" s="9"/>
    </row>
    <row r="1147" spans="1:1" ht="15.75" customHeight="1" thickBot="1" x14ac:dyDescent="0.3">
      <c r="A1147" s="9"/>
    </row>
    <row r="1148" spans="1:1" ht="15.75" customHeight="1" thickBot="1" x14ac:dyDescent="0.3">
      <c r="A1148" s="9"/>
    </row>
    <row r="1149" spans="1:1" ht="15.75" customHeight="1" thickBot="1" x14ac:dyDescent="0.3">
      <c r="A1149" s="9"/>
    </row>
    <row r="1150" spans="1:1" ht="15.75" customHeight="1" thickBot="1" x14ac:dyDescent="0.3">
      <c r="A1150" s="9"/>
    </row>
    <row r="1151" spans="1:1" ht="15.75" customHeight="1" thickBot="1" x14ac:dyDescent="0.3">
      <c r="A1151" s="9"/>
    </row>
    <row r="1152" spans="1:1" ht="15.75" customHeight="1" thickBot="1" x14ac:dyDescent="0.3">
      <c r="A1152" s="9"/>
    </row>
    <row r="1153" spans="1:1" ht="15.75" customHeight="1" thickBot="1" x14ac:dyDescent="0.3">
      <c r="A1153" s="9"/>
    </row>
    <row r="1154" spans="1:1" ht="15.75" customHeight="1" thickBot="1" x14ac:dyDescent="0.3">
      <c r="A1154" s="9"/>
    </row>
    <row r="1155" spans="1:1" ht="15.75" customHeight="1" thickBot="1" x14ac:dyDescent="0.3">
      <c r="A1155" s="9"/>
    </row>
    <row r="1156" spans="1:1" ht="15.75" customHeight="1" thickBot="1" x14ac:dyDescent="0.3">
      <c r="A1156" s="9"/>
    </row>
    <row r="1157" spans="1:1" ht="15.75" customHeight="1" thickBot="1" x14ac:dyDescent="0.3">
      <c r="A1157" s="9"/>
    </row>
    <row r="1158" spans="1:1" ht="15.75" customHeight="1" thickBot="1" x14ac:dyDescent="0.3">
      <c r="A1158" s="9"/>
    </row>
    <row r="1159" spans="1:1" ht="15.75" customHeight="1" thickBot="1" x14ac:dyDescent="0.3">
      <c r="A1159" s="9"/>
    </row>
    <row r="1160" spans="1:1" ht="15.75" customHeight="1" thickBot="1" x14ac:dyDescent="0.3">
      <c r="A1160" s="9"/>
    </row>
    <row r="1161" spans="1:1" ht="15.75" customHeight="1" thickBot="1" x14ac:dyDescent="0.3">
      <c r="A1161" s="9"/>
    </row>
    <row r="1162" spans="1:1" ht="15.75" customHeight="1" thickBot="1" x14ac:dyDescent="0.3">
      <c r="A1162" s="9"/>
    </row>
    <row r="1163" spans="1:1" ht="15.75" customHeight="1" thickBot="1" x14ac:dyDescent="0.3">
      <c r="A1163" s="9"/>
    </row>
    <row r="1164" spans="1:1" ht="15.75" customHeight="1" thickBot="1" x14ac:dyDescent="0.3">
      <c r="A1164" s="9"/>
    </row>
    <row r="1165" spans="1:1" ht="15.75" customHeight="1" thickBot="1" x14ac:dyDescent="0.3">
      <c r="A1165" s="9"/>
    </row>
    <row r="1166" spans="1:1" ht="15.75" customHeight="1" thickBot="1" x14ac:dyDescent="0.3">
      <c r="A1166" s="9"/>
    </row>
    <row r="1167" spans="1:1" ht="15.75" customHeight="1" thickBot="1" x14ac:dyDescent="0.3">
      <c r="A1167" s="9"/>
    </row>
    <row r="1168" spans="1:1" ht="15.75" customHeight="1" thickBot="1" x14ac:dyDescent="0.3">
      <c r="A1168" s="9"/>
    </row>
    <row r="1169" spans="1:1" ht="15.75" customHeight="1" thickBot="1" x14ac:dyDescent="0.3">
      <c r="A1169" s="9"/>
    </row>
    <row r="1170" spans="1:1" ht="15.75" customHeight="1" thickBot="1" x14ac:dyDescent="0.3">
      <c r="A1170" s="9"/>
    </row>
    <row r="1171" spans="1:1" ht="15.75" customHeight="1" thickBot="1" x14ac:dyDescent="0.3">
      <c r="A1171" s="9"/>
    </row>
    <row r="1172" spans="1:1" ht="15.75" customHeight="1" thickBot="1" x14ac:dyDescent="0.3">
      <c r="A1172" s="9"/>
    </row>
    <row r="1173" spans="1:1" ht="15.75" customHeight="1" thickBot="1" x14ac:dyDescent="0.3">
      <c r="A1173" s="9"/>
    </row>
    <row r="1174" spans="1:1" ht="15.75" customHeight="1" thickBot="1" x14ac:dyDescent="0.3">
      <c r="A1174" s="9"/>
    </row>
    <row r="1175" spans="1:1" ht="15.75" customHeight="1" thickBot="1" x14ac:dyDescent="0.3">
      <c r="A1175" s="9"/>
    </row>
    <row r="1176" spans="1:1" ht="15.75" customHeight="1" thickBot="1" x14ac:dyDescent="0.3">
      <c r="A1176" s="9"/>
    </row>
    <row r="1177" spans="1:1" ht="15.75" customHeight="1" thickBot="1" x14ac:dyDescent="0.3">
      <c r="A1177" s="9"/>
    </row>
    <row r="1178" spans="1:1" ht="15.75" customHeight="1" thickBot="1" x14ac:dyDescent="0.3">
      <c r="A1178" s="9"/>
    </row>
    <row r="1179" spans="1:1" ht="15.75" customHeight="1" thickBot="1" x14ac:dyDescent="0.3">
      <c r="A1179" s="9"/>
    </row>
    <row r="1180" spans="1:1" ht="15.75" customHeight="1" thickBot="1" x14ac:dyDescent="0.3">
      <c r="A1180" s="9"/>
    </row>
    <row r="1181" spans="1:1" ht="15.75" customHeight="1" thickBot="1" x14ac:dyDescent="0.3">
      <c r="A1181" s="9"/>
    </row>
    <row r="1182" spans="1:1" ht="15.75" customHeight="1" thickBot="1" x14ac:dyDescent="0.3">
      <c r="A1182" s="9"/>
    </row>
    <row r="1183" spans="1:1" ht="15.75" customHeight="1" thickBot="1" x14ac:dyDescent="0.3">
      <c r="A1183" s="9"/>
    </row>
    <row r="1184" spans="1:1" ht="15.75" customHeight="1" thickBot="1" x14ac:dyDescent="0.3">
      <c r="A1184" s="9"/>
    </row>
    <row r="1185" spans="1:1" ht="15.75" customHeight="1" thickBot="1" x14ac:dyDescent="0.3">
      <c r="A1185" s="9"/>
    </row>
    <row r="1186" spans="1:1" ht="15.75" customHeight="1" thickBot="1" x14ac:dyDescent="0.3">
      <c r="A1186" s="9"/>
    </row>
    <row r="1187" spans="1:1" ht="15.75" customHeight="1" thickBot="1" x14ac:dyDescent="0.3">
      <c r="A1187" s="9"/>
    </row>
    <row r="1188" spans="1:1" ht="15.75" customHeight="1" thickBot="1" x14ac:dyDescent="0.3">
      <c r="A1188" s="9"/>
    </row>
    <row r="1189" spans="1:1" ht="15.75" customHeight="1" thickBot="1" x14ac:dyDescent="0.3">
      <c r="A1189" s="9"/>
    </row>
    <row r="1190" spans="1:1" ht="15.75" customHeight="1" thickBot="1" x14ac:dyDescent="0.3">
      <c r="A1190" s="9"/>
    </row>
    <row r="1191" spans="1:1" ht="15.75" customHeight="1" thickBot="1" x14ac:dyDescent="0.3">
      <c r="A1191" s="9"/>
    </row>
    <row r="1192" spans="1:1" ht="15.75" customHeight="1" thickBot="1" x14ac:dyDescent="0.3">
      <c r="A1192" s="9"/>
    </row>
    <row r="1193" spans="1:1" ht="15.75" customHeight="1" thickBot="1" x14ac:dyDescent="0.3">
      <c r="A1193" s="9"/>
    </row>
    <row r="1194" spans="1:1" ht="15.75" customHeight="1" thickBot="1" x14ac:dyDescent="0.3">
      <c r="A1194" s="9"/>
    </row>
    <row r="1195" spans="1:1" ht="15.75" customHeight="1" thickBot="1" x14ac:dyDescent="0.3">
      <c r="A1195" s="9"/>
    </row>
    <row r="1196" spans="1:1" ht="15.75" customHeight="1" thickBot="1" x14ac:dyDescent="0.3">
      <c r="A1196" s="9"/>
    </row>
    <row r="1197" spans="1:1" ht="15.75" customHeight="1" thickBot="1" x14ac:dyDescent="0.3">
      <c r="A1197" s="9"/>
    </row>
    <row r="1198" spans="1:1" ht="15.75" customHeight="1" thickBot="1" x14ac:dyDescent="0.3">
      <c r="A1198" s="9"/>
    </row>
    <row r="1199" spans="1:1" ht="15.75" customHeight="1" thickBot="1" x14ac:dyDescent="0.3">
      <c r="A1199" s="9"/>
    </row>
    <row r="1200" spans="1:1" ht="15.75" customHeight="1" thickBot="1" x14ac:dyDescent="0.3">
      <c r="A1200" s="9"/>
    </row>
    <row r="1201" spans="1:1" ht="15.75" customHeight="1" thickBot="1" x14ac:dyDescent="0.3">
      <c r="A1201" s="9"/>
    </row>
    <row r="1202" spans="1:1" ht="15.75" customHeight="1" thickBot="1" x14ac:dyDescent="0.3">
      <c r="A1202" s="9"/>
    </row>
    <row r="1203" spans="1:1" ht="15.75" customHeight="1" thickBot="1" x14ac:dyDescent="0.3">
      <c r="A1203" s="9"/>
    </row>
    <row r="1204" spans="1:1" ht="15.75" customHeight="1" thickBot="1" x14ac:dyDescent="0.3">
      <c r="A1204" s="9"/>
    </row>
    <row r="1205" spans="1:1" ht="15.75" customHeight="1" thickBot="1" x14ac:dyDescent="0.3">
      <c r="A1205" s="9"/>
    </row>
    <row r="1206" spans="1:1" ht="15.75" customHeight="1" thickBot="1" x14ac:dyDescent="0.3">
      <c r="A1206" s="9"/>
    </row>
    <row r="1207" spans="1:1" ht="15.75" customHeight="1" thickBot="1" x14ac:dyDescent="0.3">
      <c r="A1207" s="9"/>
    </row>
    <row r="1208" spans="1:1" ht="15.75" customHeight="1" thickBot="1" x14ac:dyDescent="0.3">
      <c r="A1208" s="9"/>
    </row>
    <row r="1209" spans="1:1" ht="15.75" customHeight="1" thickBot="1" x14ac:dyDescent="0.3">
      <c r="A1209" s="9"/>
    </row>
    <row r="1210" spans="1:1" ht="15.75" customHeight="1" thickBot="1" x14ac:dyDescent="0.3">
      <c r="A1210" s="9"/>
    </row>
    <row r="1211" spans="1:1" ht="15.75" customHeight="1" thickBot="1" x14ac:dyDescent="0.3">
      <c r="A1211" s="9"/>
    </row>
    <row r="1212" spans="1:1" ht="15.75" customHeight="1" thickBot="1" x14ac:dyDescent="0.3">
      <c r="A1212" s="9"/>
    </row>
    <row r="1213" spans="1:1" ht="15.75" customHeight="1" thickBot="1" x14ac:dyDescent="0.3">
      <c r="A1213" s="9"/>
    </row>
    <row r="1214" spans="1:1" ht="15.75" customHeight="1" thickBot="1" x14ac:dyDescent="0.3">
      <c r="A1214" s="9"/>
    </row>
    <row r="1215" spans="1:1" ht="15.75" customHeight="1" thickBot="1" x14ac:dyDescent="0.3">
      <c r="A1215" s="9"/>
    </row>
    <row r="1216" spans="1:1" ht="15.75" customHeight="1" thickBot="1" x14ac:dyDescent="0.3">
      <c r="A1216" s="9"/>
    </row>
    <row r="1217" spans="1:1" ht="15.75" customHeight="1" thickBot="1" x14ac:dyDescent="0.3">
      <c r="A1217" s="9"/>
    </row>
    <row r="1218" spans="1:1" ht="15.75" customHeight="1" thickBot="1" x14ac:dyDescent="0.3">
      <c r="A1218" s="9"/>
    </row>
    <row r="1219" spans="1:1" ht="15.75" customHeight="1" thickBot="1" x14ac:dyDescent="0.3">
      <c r="A1219" s="9"/>
    </row>
    <row r="1220" spans="1:1" ht="15.75" customHeight="1" thickBot="1" x14ac:dyDescent="0.3">
      <c r="A1220" s="9"/>
    </row>
    <row r="1221" spans="1:1" ht="15.75" customHeight="1" thickBot="1" x14ac:dyDescent="0.3">
      <c r="A1221" s="9"/>
    </row>
    <row r="1222" spans="1:1" ht="15.75" customHeight="1" thickBot="1" x14ac:dyDescent="0.3">
      <c r="A1222" s="9"/>
    </row>
    <row r="1223" spans="1:1" ht="15.75" customHeight="1" thickBot="1" x14ac:dyDescent="0.3">
      <c r="A1223" s="9"/>
    </row>
    <row r="1224" spans="1:1" ht="15.75" customHeight="1" thickBot="1" x14ac:dyDescent="0.3">
      <c r="A1224" s="9"/>
    </row>
    <row r="1225" spans="1:1" ht="15.75" customHeight="1" thickBot="1" x14ac:dyDescent="0.3">
      <c r="A1225" s="9"/>
    </row>
    <row r="1226" spans="1:1" ht="15.75" customHeight="1" thickBot="1" x14ac:dyDescent="0.3">
      <c r="A1226" s="9"/>
    </row>
    <row r="1227" spans="1:1" ht="15.75" customHeight="1" thickBot="1" x14ac:dyDescent="0.3">
      <c r="A1227" s="9"/>
    </row>
    <row r="1228" spans="1:1" ht="15.75" customHeight="1" thickBot="1" x14ac:dyDescent="0.3">
      <c r="A1228" s="9"/>
    </row>
    <row r="1229" spans="1:1" ht="15.75" customHeight="1" thickBot="1" x14ac:dyDescent="0.3">
      <c r="A1229" s="9"/>
    </row>
    <row r="1230" spans="1:1" ht="15.75" customHeight="1" thickBot="1" x14ac:dyDescent="0.3">
      <c r="A1230" s="9"/>
    </row>
    <row r="1231" spans="1:1" ht="15.75" customHeight="1" thickBot="1" x14ac:dyDescent="0.3">
      <c r="A1231" s="9"/>
    </row>
    <row r="1232" spans="1:1" ht="15.75" customHeight="1" thickBot="1" x14ac:dyDescent="0.3">
      <c r="A1232" s="9"/>
    </row>
    <row r="1233" spans="1:1" ht="15.75" customHeight="1" thickBot="1" x14ac:dyDescent="0.3">
      <c r="A1233" s="9"/>
    </row>
    <row r="1234" spans="1:1" ht="15.75" customHeight="1" thickBot="1" x14ac:dyDescent="0.3">
      <c r="A1234" s="9"/>
    </row>
    <row r="1235" spans="1:1" ht="15.75" customHeight="1" thickBot="1" x14ac:dyDescent="0.3">
      <c r="A1235" s="9"/>
    </row>
    <row r="1236" spans="1:1" ht="15.75" customHeight="1" thickBot="1" x14ac:dyDescent="0.3">
      <c r="A1236" s="9"/>
    </row>
    <row r="1237" spans="1:1" ht="15.75" customHeight="1" thickBot="1" x14ac:dyDescent="0.3">
      <c r="A1237" s="9"/>
    </row>
    <row r="1238" spans="1:1" ht="15.75" customHeight="1" thickBot="1" x14ac:dyDescent="0.3">
      <c r="A1238" s="9"/>
    </row>
    <row r="1239" spans="1:1" ht="15.75" customHeight="1" thickBot="1" x14ac:dyDescent="0.3">
      <c r="A1239" s="9"/>
    </row>
    <row r="1240" spans="1:1" ht="15.75" customHeight="1" thickBot="1" x14ac:dyDescent="0.3">
      <c r="A1240" s="9"/>
    </row>
    <row r="1241" spans="1:1" ht="15.75" customHeight="1" thickBot="1" x14ac:dyDescent="0.3">
      <c r="A1241" s="9"/>
    </row>
    <row r="1242" spans="1:1" ht="15.75" customHeight="1" thickBot="1" x14ac:dyDescent="0.3">
      <c r="A1242" s="9"/>
    </row>
    <row r="1243" spans="1:1" ht="15.75" customHeight="1" thickBot="1" x14ac:dyDescent="0.3">
      <c r="A1243" s="9"/>
    </row>
    <row r="1244" spans="1:1" ht="15.75" customHeight="1" thickBot="1" x14ac:dyDescent="0.3">
      <c r="A1244" s="9"/>
    </row>
    <row r="1245" spans="1:1" ht="15.75" customHeight="1" thickBot="1" x14ac:dyDescent="0.3">
      <c r="A1245" s="9"/>
    </row>
    <row r="1246" spans="1:1" ht="15.75" customHeight="1" thickBot="1" x14ac:dyDescent="0.3">
      <c r="A1246" s="9"/>
    </row>
    <row r="1247" spans="1:1" ht="15.75" customHeight="1" thickBot="1" x14ac:dyDescent="0.3">
      <c r="A1247" s="9"/>
    </row>
    <row r="1248" spans="1:1" ht="15.75" customHeight="1" thickBot="1" x14ac:dyDescent="0.3">
      <c r="A1248" s="9"/>
    </row>
    <row r="1249" spans="1:1" ht="15.75" customHeight="1" thickBot="1" x14ac:dyDescent="0.3">
      <c r="A1249" s="9"/>
    </row>
    <row r="1250" spans="1:1" ht="15.75" customHeight="1" thickBot="1" x14ac:dyDescent="0.3">
      <c r="A1250" s="9"/>
    </row>
    <row r="1251" spans="1:1" ht="15.75" customHeight="1" thickBot="1" x14ac:dyDescent="0.3">
      <c r="A1251" s="9"/>
    </row>
    <row r="1252" spans="1:1" ht="15.75" customHeight="1" thickBot="1" x14ac:dyDescent="0.3">
      <c r="A1252" s="9"/>
    </row>
    <row r="1253" spans="1:1" ht="15.75" customHeight="1" thickBot="1" x14ac:dyDescent="0.3">
      <c r="A1253" s="9"/>
    </row>
    <row r="1254" spans="1:1" ht="15.75" customHeight="1" thickBot="1" x14ac:dyDescent="0.3">
      <c r="A1254" s="9"/>
    </row>
    <row r="1255" spans="1:1" ht="15.75" customHeight="1" thickBot="1" x14ac:dyDescent="0.3">
      <c r="A1255" s="9"/>
    </row>
    <row r="1256" spans="1:1" ht="15.75" customHeight="1" thickBot="1" x14ac:dyDescent="0.3">
      <c r="A1256" s="9"/>
    </row>
    <row r="1257" spans="1:1" ht="15.75" customHeight="1" thickBot="1" x14ac:dyDescent="0.3">
      <c r="A1257" s="9"/>
    </row>
    <row r="1258" spans="1:1" ht="15.75" customHeight="1" thickBot="1" x14ac:dyDescent="0.3">
      <c r="A1258" s="9"/>
    </row>
    <row r="1259" spans="1:1" ht="15.75" customHeight="1" thickBot="1" x14ac:dyDescent="0.3">
      <c r="A1259" s="9"/>
    </row>
    <row r="1260" spans="1:1" ht="15.75" customHeight="1" thickBot="1" x14ac:dyDescent="0.3">
      <c r="A1260" s="9"/>
    </row>
    <row r="1261" spans="1:1" ht="15.75" customHeight="1" thickBot="1" x14ac:dyDescent="0.3">
      <c r="A1261" s="9"/>
    </row>
    <row r="1262" spans="1:1" ht="15.75" customHeight="1" thickBot="1" x14ac:dyDescent="0.3">
      <c r="A1262" s="9"/>
    </row>
    <row r="1263" spans="1:1" ht="15.75" customHeight="1" thickBot="1" x14ac:dyDescent="0.3">
      <c r="A1263" s="9"/>
    </row>
    <row r="1264" spans="1:1" ht="15.75" customHeight="1" thickBot="1" x14ac:dyDescent="0.3">
      <c r="A1264" s="9"/>
    </row>
    <row r="1265" spans="1:1" ht="15.75" customHeight="1" thickBot="1" x14ac:dyDescent="0.3">
      <c r="A1265" s="9"/>
    </row>
    <row r="1266" spans="1:1" ht="15.75" customHeight="1" thickBot="1" x14ac:dyDescent="0.3">
      <c r="A1266" s="9"/>
    </row>
    <row r="1267" spans="1:1" ht="15.75" customHeight="1" thickBot="1" x14ac:dyDescent="0.3">
      <c r="A1267" s="9"/>
    </row>
    <row r="1268" spans="1:1" ht="15.75" customHeight="1" thickBot="1" x14ac:dyDescent="0.3">
      <c r="A1268" s="9"/>
    </row>
    <row r="1269" spans="1:1" ht="15.75" customHeight="1" thickBot="1" x14ac:dyDescent="0.3">
      <c r="A1269" s="9"/>
    </row>
    <row r="1270" spans="1:1" ht="15.75" customHeight="1" thickBot="1" x14ac:dyDescent="0.3">
      <c r="A1270" s="9"/>
    </row>
    <row r="1271" spans="1:1" ht="15.75" customHeight="1" thickBot="1" x14ac:dyDescent="0.3">
      <c r="A1271" s="9"/>
    </row>
    <row r="1272" spans="1:1" ht="15.75" customHeight="1" thickBot="1" x14ac:dyDescent="0.3">
      <c r="A1272" s="9"/>
    </row>
    <row r="1273" spans="1:1" ht="15.75" customHeight="1" thickBot="1" x14ac:dyDescent="0.3">
      <c r="A1273" s="9"/>
    </row>
    <row r="1274" spans="1:1" ht="15.75" customHeight="1" thickBot="1" x14ac:dyDescent="0.3">
      <c r="A1274" s="9"/>
    </row>
    <row r="1275" spans="1:1" ht="15.75" customHeight="1" thickBot="1" x14ac:dyDescent="0.3">
      <c r="A1275" s="9"/>
    </row>
    <row r="1276" spans="1:1" ht="15.75" customHeight="1" thickBot="1" x14ac:dyDescent="0.3">
      <c r="A1276" s="9"/>
    </row>
    <row r="1277" spans="1:1" ht="15.75" customHeight="1" thickBot="1" x14ac:dyDescent="0.3">
      <c r="A1277" s="9"/>
    </row>
    <row r="1278" spans="1:1" ht="15.75" customHeight="1" thickBot="1" x14ac:dyDescent="0.3">
      <c r="A1278" s="9"/>
    </row>
    <row r="1279" spans="1:1" ht="15.75" customHeight="1" thickBot="1" x14ac:dyDescent="0.3">
      <c r="A1279" s="9"/>
    </row>
    <row r="1280" spans="1:1" ht="15.75" customHeight="1" thickBot="1" x14ac:dyDescent="0.3">
      <c r="A1280" s="9"/>
    </row>
    <row r="1281" spans="1:1" ht="15.75" customHeight="1" thickBot="1" x14ac:dyDescent="0.3">
      <c r="A1281" s="9"/>
    </row>
    <row r="1282" spans="1:1" ht="15.75" customHeight="1" thickBot="1" x14ac:dyDescent="0.3">
      <c r="A1282" s="9"/>
    </row>
    <row r="1283" spans="1:1" ht="15.75" customHeight="1" thickBot="1" x14ac:dyDescent="0.3">
      <c r="A1283" s="9"/>
    </row>
    <row r="1284" spans="1:1" ht="15.75" customHeight="1" thickBot="1" x14ac:dyDescent="0.3">
      <c r="A1284" s="9"/>
    </row>
    <row r="1285" spans="1:1" ht="15.75" customHeight="1" thickBot="1" x14ac:dyDescent="0.3">
      <c r="A1285" s="9"/>
    </row>
    <row r="1286" spans="1:1" ht="15.75" customHeight="1" thickBot="1" x14ac:dyDescent="0.3">
      <c r="A1286" s="9"/>
    </row>
    <row r="1287" spans="1:1" ht="15.75" customHeight="1" thickBot="1" x14ac:dyDescent="0.3">
      <c r="A1287" s="9"/>
    </row>
    <row r="1288" spans="1:1" ht="15.75" customHeight="1" thickBot="1" x14ac:dyDescent="0.3">
      <c r="A1288" s="9"/>
    </row>
    <row r="1289" spans="1:1" ht="15.75" customHeight="1" thickBot="1" x14ac:dyDescent="0.3">
      <c r="A1289" s="9"/>
    </row>
    <row r="1290" spans="1:1" ht="15.75" customHeight="1" thickBot="1" x14ac:dyDescent="0.3">
      <c r="A1290" s="9"/>
    </row>
    <row r="1291" spans="1:1" ht="15.75" customHeight="1" thickBot="1" x14ac:dyDescent="0.3">
      <c r="A1291" s="9"/>
    </row>
    <row r="1292" spans="1:1" ht="15.75" customHeight="1" thickBot="1" x14ac:dyDescent="0.3">
      <c r="A1292" s="9"/>
    </row>
    <row r="1293" spans="1:1" ht="15.75" customHeight="1" thickBot="1" x14ac:dyDescent="0.3">
      <c r="A1293" s="9"/>
    </row>
    <row r="1294" spans="1:1" ht="15.75" customHeight="1" thickBot="1" x14ac:dyDescent="0.3">
      <c r="A1294" s="9"/>
    </row>
    <row r="1295" spans="1:1" ht="15.75" customHeight="1" thickBot="1" x14ac:dyDescent="0.3">
      <c r="A1295" s="9"/>
    </row>
    <row r="1296" spans="1:1" ht="15.75" customHeight="1" thickBot="1" x14ac:dyDescent="0.3">
      <c r="A1296" s="9"/>
    </row>
    <row r="1297" spans="1:1" ht="15.75" customHeight="1" thickBot="1" x14ac:dyDescent="0.3">
      <c r="A1297" s="9"/>
    </row>
    <row r="1298" spans="1:1" ht="15.75" customHeight="1" thickBot="1" x14ac:dyDescent="0.3">
      <c r="A1298" s="9"/>
    </row>
    <row r="1299" spans="1:1" ht="15.75" customHeight="1" thickBot="1" x14ac:dyDescent="0.3">
      <c r="A1299" s="9"/>
    </row>
    <row r="1300" spans="1:1" ht="15.75" customHeight="1" thickBot="1" x14ac:dyDescent="0.3">
      <c r="A1300" s="9"/>
    </row>
    <row r="1301" spans="1:1" ht="15.75" customHeight="1" thickBot="1" x14ac:dyDescent="0.3">
      <c r="A1301" s="9"/>
    </row>
    <row r="1302" spans="1:1" ht="15.75" customHeight="1" thickBot="1" x14ac:dyDescent="0.3">
      <c r="A1302" s="9"/>
    </row>
    <row r="1303" spans="1:1" ht="15.75" customHeight="1" thickBot="1" x14ac:dyDescent="0.3">
      <c r="A1303" s="9"/>
    </row>
    <row r="1304" spans="1:1" ht="15.75" customHeight="1" thickBot="1" x14ac:dyDescent="0.3">
      <c r="A1304" s="9"/>
    </row>
    <row r="1305" spans="1:1" ht="15.75" customHeight="1" thickBot="1" x14ac:dyDescent="0.3">
      <c r="A1305" s="9"/>
    </row>
    <row r="1306" spans="1:1" ht="15.75" customHeight="1" thickBot="1" x14ac:dyDescent="0.3">
      <c r="A1306" s="9"/>
    </row>
    <row r="1307" spans="1:1" ht="15.75" customHeight="1" thickBot="1" x14ac:dyDescent="0.3">
      <c r="A1307" s="9"/>
    </row>
    <row r="1308" spans="1:1" ht="15.75" customHeight="1" thickBot="1" x14ac:dyDescent="0.3">
      <c r="A1308" s="9"/>
    </row>
    <row r="1309" spans="1:1" ht="15.75" customHeight="1" thickBot="1" x14ac:dyDescent="0.3">
      <c r="A1309" s="9"/>
    </row>
    <row r="1310" spans="1:1" ht="15.75" customHeight="1" thickBot="1" x14ac:dyDescent="0.3">
      <c r="A1310" s="9"/>
    </row>
    <row r="1311" spans="1:1" ht="15.75" customHeight="1" thickBot="1" x14ac:dyDescent="0.3">
      <c r="A1311" s="9"/>
    </row>
    <row r="1312" spans="1:1" ht="15.75" customHeight="1" thickBot="1" x14ac:dyDescent="0.3">
      <c r="A1312" s="9"/>
    </row>
    <row r="1313" spans="1:1" ht="15.75" customHeight="1" thickBot="1" x14ac:dyDescent="0.3">
      <c r="A1313" s="9"/>
    </row>
    <row r="1314" spans="1:1" ht="15.75" customHeight="1" thickBot="1" x14ac:dyDescent="0.3">
      <c r="A1314" s="9"/>
    </row>
    <row r="1315" spans="1:1" ht="15.75" customHeight="1" thickBot="1" x14ac:dyDescent="0.3">
      <c r="A1315" s="9"/>
    </row>
    <row r="1316" spans="1:1" ht="15.75" customHeight="1" thickBot="1" x14ac:dyDescent="0.3">
      <c r="A1316" s="9"/>
    </row>
    <row r="1317" spans="1:1" ht="15.75" customHeight="1" thickBot="1" x14ac:dyDescent="0.3">
      <c r="A1317" s="9"/>
    </row>
    <row r="1318" spans="1:1" ht="15.75" customHeight="1" thickBot="1" x14ac:dyDescent="0.3">
      <c r="A1318" s="9"/>
    </row>
    <row r="1319" spans="1:1" ht="15.75" customHeight="1" thickBot="1" x14ac:dyDescent="0.3">
      <c r="A1319" s="9"/>
    </row>
    <row r="1320" spans="1:1" ht="15.75" customHeight="1" thickBot="1" x14ac:dyDescent="0.3">
      <c r="A1320" s="9"/>
    </row>
    <row r="1321" spans="1:1" ht="15.75" customHeight="1" thickBot="1" x14ac:dyDescent="0.3">
      <c r="A1321" s="9"/>
    </row>
    <row r="1322" spans="1:1" ht="15.75" customHeight="1" thickBot="1" x14ac:dyDescent="0.3">
      <c r="A1322" s="9"/>
    </row>
    <row r="1323" spans="1:1" ht="15.75" customHeight="1" thickBot="1" x14ac:dyDescent="0.3">
      <c r="A1323" s="9"/>
    </row>
    <row r="1324" spans="1:1" ht="15.75" customHeight="1" thickBot="1" x14ac:dyDescent="0.3">
      <c r="A1324" s="9"/>
    </row>
    <row r="1325" spans="1:1" ht="15.75" customHeight="1" thickBot="1" x14ac:dyDescent="0.3">
      <c r="A1325" s="9"/>
    </row>
    <row r="1326" spans="1:1" ht="15.75" customHeight="1" thickBot="1" x14ac:dyDescent="0.3">
      <c r="A1326" s="9"/>
    </row>
    <row r="1327" spans="1:1" ht="15.75" customHeight="1" thickBot="1" x14ac:dyDescent="0.3">
      <c r="A1327" s="9"/>
    </row>
    <row r="1328" spans="1:1" ht="15.75" customHeight="1" thickBot="1" x14ac:dyDescent="0.3">
      <c r="A1328" s="9"/>
    </row>
    <row r="1329" spans="1:1" ht="15.75" customHeight="1" thickBot="1" x14ac:dyDescent="0.3">
      <c r="A1329" s="9"/>
    </row>
    <row r="1330" spans="1:1" ht="15.75" customHeight="1" thickBot="1" x14ac:dyDescent="0.3">
      <c r="A1330" s="9"/>
    </row>
    <row r="1331" spans="1:1" ht="15.75" customHeight="1" thickBot="1" x14ac:dyDescent="0.3">
      <c r="A1331" s="9"/>
    </row>
    <row r="1332" spans="1:1" ht="15.75" customHeight="1" thickBot="1" x14ac:dyDescent="0.3">
      <c r="A1332" s="9"/>
    </row>
    <row r="1333" spans="1:1" ht="15.75" customHeight="1" thickBot="1" x14ac:dyDescent="0.3">
      <c r="A1333" s="9"/>
    </row>
    <row r="1334" spans="1:1" ht="15.75" customHeight="1" thickBot="1" x14ac:dyDescent="0.3">
      <c r="A1334" s="9"/>
    </row>
    <row r="1335" spans="1:1" ht="15.75" customHeight="1" thickBot="1" x14ac:dyDescent="0.3">
      <c r="A1335" s="9"/>
    </row>
    <row r="1336" spans="1:1" ht="15.75" customHeight="1" thickBot="1" x14ac:dyDescent="0.3">
      <c r="A1336" s="9"/>
    </row>
    <row r="1337" spans="1:1" ht="15.75" customHeight="1" thickBot="1" x14ac:dyDescent="0.3">
      <c r="A1337" s="9"/>
    </row>
    <row r="1338" spans="1:1" ht="15.75" customHeight="1" thickBot="1" x14ac:dyDescent="0.3">
      <c r="A1338" s="9"/>
    </row>
    <row r="1339" spans="1:1" ht="15.75" customHeight="1" thickBot="1" x14ac:dyDescent="0.3">
      <c r="A1339" s="9"/>
    </row>
    <row r="1340" spans="1:1" ht="15.75" customHeight="1" thickBot="1" x14ac:dyDescent="0.3">
      <c r="A1340" s="9"/>
    </row>
    <row r="1341" spans="1:1" ht="15.75" customHeight="1" thickBot="1" x14ac:dyDescent="0.3">
      <c r="A1341" s="9"/>
    </row>
    <row r="1342" spans="1:1" ht="15.75" customHeight="1" thickBot="1" x14ac:dyDescent="0.3">
      <c r="A1342" s="9"/>
    </row>
    <row r="1343" spans="1:1" ht="15.75" customHeight="1" thickBot="1" x14ac:dyDescent="0.3">
      <c r="A1343" s="9"/>
    </row>
    <row r="1344" spans="1:1" ht="15.75" customHeight="1" thickBot="1" x14ac:dyDescent="0.3">
      <c r="A1344" s="9"/>
    </row>
    <row r="1345" spans="1:1" ht="15.75" customHeight="1" thickBot="1" x14ac:dyDescent="0.3">
      <c r="A1345" s="9"/>
    </row>
    <row r="1346" spans="1:1" ht="15.75" customHeight="1" thickBot="1" x14ac:dyDescent="0.3">
      <c r="A1346" s="9"/>
    </row>
    <row r="1347" spans="1:1" ht="15.75" customHeight="1" thickBot="1" x14ac:dyDescent="0.3">
      <c r="A1347" s="9"/>
    </row>
    <row r="1348" spans="1:1" ht="15.75" customHeight="1" thickBot="1" x14ac:dyDescent="0.3">
      <c r="A1348" s="9"/>
    </row>
    <row r="1349" spans="1:1" ht="15.75" customHeight="1" thickBot="1" x14ac:dyDescent="0.3">
      <c r="A1349" s="9"/>
    </row>
    <row r="1350" spans="1:1" ht="15.75" customHeight="1" thickBot="1" x14ac:dyDescent="0.3">
      <c r="A1350" s="9"/>
    </row>
    <row r="1351" spans="1:1" ht="15.75" customHeight="1" thickBot="1" x14ac:dyDescent="0.3">
      <c r="A1351" s="9"/>
    </row>
    <row r="1352" spans="1:1" ht="15.75" customHeight="1" thickBot="1" x14ac:dyDescent="0.3">
      <c r="A1352" s="9"/>
    </row>
    <row r="1353" spans="1:1" ht="15.75" customHeight="1" thickBot="1" x14ac:dyDescent="0.3">
      <c r="A1353" s="9"/>
    </row>
    <row r="1354" spans="1:1" ht="15.75" customHeight="1" thickBot="1" x14ac:dyDescent="0.3">
      <c r="A1354" s="9"/>
    </row>
    <row r="1355" spans="1:1" ht="15.75" customHeight="1" thickBot="1" x14ac:dyDescent="0.3">
      <c r="A1355" s="9"/>
    </row>
    <row r="1356" spans="1:1" ht="15.75" customHeight="1" thickBot="1" x14ac:dyDescent="0.3">
      <c r="A1356" s="9"/>
    </row>
    <row r="1357" spans="1:1" ht="15.75" customHeight="1" thickBot="1" x14ac:dyDescent="0.3">
      <c r="A1357" s="9"/>
    </row>
    <row r="1358" spans="1:1" ht="15.75" customHeight="1" thickBot="1" x14ac:dyDescent="0.3">
      <c r="A1358" s="9"/>
    </row>
    <row r="1359" spans="1:1" ht="15.75" customHeight="1" thickBot="1" x14ac:dyDescent="0.3">
      <c r="A1359" s="9"/>
    </row>
    <row r="1360" spans="1:1" ht="15.75" customHeight="1" thickBot="1" x14ac:dyDescent="0.3">
      <c r="A1360" s="9"/>
    </row>
    <row r="1361" spans="1:1" ht="15.75" customHeight="1" thickBot="1" x14ac:dyDescent="0.3">
      <c r="A1361" s="9"/>
    </row>
    <row r="1362" spans="1:1" ht="15.75" customHeight="1" thickBot="1" x14ac:dyDescent="0.3">
      <c r="A1362" s="9"/>
    </row>
    <row r="1363" spans="1:1" ht="15.75" customHeight="1" thickBot="1" x14ac:dyDescent="0.3">
      <c r="A1363" s="9"/>
    </row>
    <row r="1364" spans="1:1" ht="15.75" customHeight="1" thickBot="1" x14ac:dyDescent="0.3">
      <c r="A1364" s="9"/>
    </row>
    <row r="1365" spans="1:1" ht="15.75" customHeight="1" thickBot="1" x14ac:dyDescent="0.3">
      <c r="A1365" s="9"/>
    </row>
    <row r="1366" spans="1:1" ht="15.75" customHeight="1" thickBot="1" x14ac:dyDescent="0.3">
      <c r="A1366" s="9"/>
    </row>
    <row r="1367" spans="1:1" ht="15.75" customHeight="1" thickBot="1" x14ac:dyDescent="0.3">
      <c r="A1367" s="9"/>
    </row>
    <row r="1368" spans="1:1" ht="15.75" customHeight="1" thickBot="1" x14ac:dyDescent="0.3">
      <c r="A1368" s="9"/>
    </row>
    <row r="1369" spans="1:1" ht="15.75" customHeight="1" thickBot="1" x14ac:dyDescent="0.3">
      <c r="A1369" s="9"/>
    </row>
    <row r="1370" spans="1:1" ht="15.75" customHeight="1" thickBot="1" x14ac:dyDescent="0.3">
      <c r="A1370" s="9"/>
    </row>
    <row r="1371" spans="1:1" ht="15.75" customHeight="1" thickBot="1" x14ac:dyDescent="0.3">
      <c r="A1371" s="9"/>
    </row>
    <row r="1372" spans="1:1" ht="15.75" customHeight="1" thickBot="1" x14ac:dyDescent="0.3">
      <c r="A1372" s="9"/>
    </row>
    <row r="1373" spans="1:1" ht="15.75" customHeight="1" thickBot="1" x14ac:dyDescent="0.3">
      <c r="A1373" s="9"/>
    </row>
    <row r="1374" spans="1:1" ht="15.75" customHeight="1" thickBot="1" x14ac:dyDescent="0.3">
      <c r="A1374" s="9"/>
    </row>
    <row r="1375" spans="1:1" ht="15.75" customHeight="1" thickBot="1" x14ac:dyDescent="0.3">
      <c r="A1375" s="9"/>
    </row>
    <row r="1376" spans="1:1" ht="15.75" customHeight="1" thickBot="1" x14ac:dyDescent="0.3">
      <c r="A1376" s="9"/>
    </row>
    <row r="1377" spans="1:1" ht="15.75" customHeight="1" thickBot="1" x14ac:dyDescent="0.3">
      <c r="A1377" s="9"/>
    </row>
    <row r="1378" spans="1:1" ht="15.75" customHeight="1" thickBot="1" x14ac:dyDescent="0.3">
      <c r="A1378" s="9"/>
    </row>
    <row r="1379" spans="1:1" ht="15.75" customHeight="1" thickBot="1" x14ac:dyDescent="0.3">
      <c r="A1379" s="9"/>
    </row>
    <row r="1380" spans="1:1" ht="15.75" customHeight="1" thickBot="1" x14ac:dyDescent="0.3">
      <c r="A1380" s="9"/>
    </row>
    <row r="1381" spans="1:1" ht="15.75" customHeight="1" thickBot="1" x14ac:dyDescent="0.3">
      <c r="A1381" s="9"/>
    </row>
    <row r="1382" spans="1:1" ht="15.75" customHeight="1" thickBot="1" x14ac:dyDescent="0.3">
      <c r="A1382" s="9"/>
    </row>
    <row r="1383" spans="1:1" ht="15.75" customHeight="1" thickBot="1" x14ac:dyDescent="0.3">
      <c r="A1383" s="9"/>
    </row>
    <row r="1384" spans="1:1" ht="15.75" customHeight="1" thickBot="1" x14ac:dyDescent="0.3">
      <c r="A1384" s="9"/>
    </row>
    <row r="1385" spans="1:1" ht="15.75" customHeight="1" thickBot="1" x14ac:dyDescent="0.3">
      <c r="A1385" s="9"/>
    </row>
    <row r="1386" spans="1:1" ht="15.75" customHeight="1" thickBot="1" x14ac:dyDescent="0.3">
      <c r="A1386" s="9"/>
    </row>
    <row r="1387" spans="1:1" ht="15.75" customHeight="1" thickBot="1" x14ac:dyDescent="0.3">
      <c r="A1387" s="9"/>
    </row>
    <row r="1388" spans="1:1" ht="15.75" customHeight="1" thickBot="1" x14ac:dyDescent="0.3">
      <c r="A1388" s="9"/>
    </row>
    <row r="1389" spans="1:1" ht="15.75" customHeight="1" thickBot="1" x14ac:dyDescent="0.3">
      <c r="A1389" s="9"/>
    </row>
    <row r="1390" spans="1:1" ht="15.75" customHeight="1" thickBot="1" x14ac:dyDescent="0.3">
      <c r="A1390" s="9"/>
    </row>
    <row r="1391" spans="1:1" ht="15.75" customHeight="1" thickBot="1" x14ac:dyDescent="0.3">
      <c r="A1391" s="9"/>
    </row>
    <row r="1392" spans="1:1" ht="15.75" customHeight="1" thickBot="1" x14ac:dyDescent="0.3">
      <c r="A1392" s="9"/>
    </row>
    <row r="1393" spans="1:1" ht="15.75" customHeight="1" thickBot="1" x14ac:dyDescent="0.3">
      <c r="A1393" s="9"/>
    </row>
    <row r="1394" spans="1:1" ht="15.75" customHeight="1" thickBot="1" x14ac:dyDescent="0.3">
      <c r="A1394" s="9"/>
    </row>
    <row r="1395" spans="1:1" ht="15.75" customHeight="1" thickBot="1" x14ac:dyDescent="0.3">
      <c r="A1395" s="9"/>
    </row>
    <row r="1396" spans="1:1" ht="15.75" customHeight="1" thickBot="1" x14ac:dyDescent="0.3">
      <c r="A1396" s="9"/>
    </row>
    <row r="1397" spans="1:1" ht="15.75" customHeight="1" thickBot="1" x14ac:dyDescent="0.3">
      <c r="A1397" s="9"/>
    </row>
    <row r="1398" spans="1:1" ht="15.75" customHeight="1" thickBot="1" x14ac:dyDescent="0.3">
      <c r="A1398" s="9"/>
    </row>
    <row r="1399" spans="1:1" ht="15.75" customHeight="1" thickBot="1" x14ac:dyDescent="0.3">
      <c r="A1399" s="9"/>
    </row>
    <row r="1400" spans="1:1" ht="15.75" customHeight="1" thickBot="1" x14ac:dyDescent="0.3">
      <c r="A1400" s="9"/>
    </row>
    <row r="1401" spans="1:1" ht="15.75" customHeight="1" thickBot="1" x14ac:dyDescent="0.3">
      <c r="A1401" s="9"/>
    </row>
    <row r="1402" spans="1:1" ht="15.75" customHeight="1" thickBot="1" x14ac:dyDescent="0.3">
      <c r="A1402" s="9"/>
    </row>
    <row r="1403" spans="1:1" ht="15.75" customHeight="1" thickBot="1" x14ac:dyDescent="0.3">
      <c r="A1403" s="9"/>
    </row>
    <row r="1404" spans="1:1" ht="15.75" customHeight="1" thickBot="1" x14ac:dyDescent="0.3">
      <c r="A1404" s="9"/>
    </row>
    <row r="1405" spans="1:1" ht="15.75" customHeight="1" thickBot="1" x14ac:dyDescent="0.3">
      <c r="A1405" s="9"/>
    </row>
    <row r="1406" spans="1:1" ht="15.75" customHeight="1" thickBot="1" x14ac:dyDescent="0.3">
      <c r="A1406" s="9"/>
    </row>
    <row r="1407" spans="1:1" ht="15.75" customHeight="1" thickBot="1" x14ac:dyDescent="0.3">
      <c r="A1407" s="9"/>
    </row>
    <row r="1408" spans="1:1" ht="15.75" customHeight="1" thickBot="1" x14ac:dyDescent="0.3">
      <c r="A1408" s="9"/>
    </row>
    <row r="1409" spans="1:1" ht="15.75" customHeight="1" thickBot="1" x14ac:dyDescent="0.3">
      <c r="A1409" s="9"/>
    </row>
    <row r="1410" spans="1:1" ht="15.75" customHeight="1" thickBot="1" x14ac:dyDescent="0.3">
      <c r="A1410" s="9"/>
    </row>
    <row r="1411" spans="1:1" ht="15.75" customHeight="1" thickBot="1" x14ac:dyDescent="0.3">
      <c r="A1411" s="9"/>
    </row>
    <row r="1412" spans="1:1" ht="15.75" customHeight="1" thickBot="1" x14ac:dyDescent="0.3">
      <c r="A1412" s="9"/>
    </row>
    <row r="1413" spans="1:1" ht="15.75" customHeight="1" thickBot="1" x14ac:dyDescent="0.3">
      <c r="A1413" s="9"/>
    </row>
    <row r="1414" spans="1:1" ht="15.75" customHeight="1" thickBot="1" x14ac:dyDescent="0.3">
      <c r="A1414" s="9"/>
    </row>
    <row r="1415" spans="1:1" ht="15.75" customHeight="1" thickBot="1" x14ac:dyDescent="0.3">
      <c r="A1415" s="9"/>
    </row>
    <row r="1416" spans="1:1" ht="15.75" customHeight="1" thickBot="1" x14ac:dyDescent="0.3">
      <c r="A1416" s="9"/>
    </row>
    <row r="1417" spans="1:1" ht="15.75" customHeight="1" thickBot="1" x14ac:dyDescent="0.3">
      <c r="A1417" s="9"/>
    </row>
    <row r="1418" spans="1:1" ht="15.75" customHeight="1" thickBot="1" x14ac:dyDescent="0.3">
      <c r="A1418" s="9"/>
    </row>
    <row r="1419" spans="1:1" ht="15.75" customHeight="1" thickBot="1" x14ac:dyDescent="0.3">
      <c r="A1419" s="9"/>
    </row>
    <row r="1420" spans="1:1" ht="15.75" customHeight="1" thickBot="1" x14ac:dyDescent="0.3">
      <c r="A1420" s="9"/>
    </row>
    <row r="1421" spans="1:1" ht="15.75" customHeight="1" thickBot="1" x14ac:dyDescent="0.3">
      <c r="A1421" s="9"/>
    </row>
    <row r="1422" spans="1:1" ht="15.75" customHeight="1" thickBot="1" x14ac:dyDescent="0.3">
      <c r="A1422" s="9"/>
    </row>
    <row r="1423" spans="1:1" ht="15.75" customHeight="1" thickBot="1" x14ac:dyDescent="0.3">
      <c r="A1423" s="9"/>
    </row>
    <row r="1424" spans="1:1" ht="15.75" customHeight="1" thickBot="1" x14ac:dyDescent="0.3">
      <c r="A1424" s="9"/>
    </row>
    <row r="1425" spans="1:1" ht="15.75" customHeight="1" thickBot="1" x14ac:dyDescent="0.3">
      <c r="A1425" s="9"/>
    </row>
    <row r="1426" spans="1:1" ht="15.75" customHeight="1" thickBot="1" x14ac:dyDescent="0.3">
      <c r="A1426" s="9"/>
    </row>
    <row r="1427" spans="1:1" ht="15.75" customHeight="1" thickBot="1" x14ac:dyDescent="0.3">
      <c r="A1427" s="9"/>
    </row>
    <row r="1428" spans="1:1" ht="15.75" customHeight="1" thickBot="1" x14ac:dyDescent="0.3">
      <c r="A1428" s="9"/>
    </row>
    <row r="1429" spans="1:1" ht="15.75" customHeight="1" thickBot="1" x14ac:dyDescent="0.3">
      <c r="A1429" s="9"/>
    </row>
    <row r="1430" spans="1:1" ht="15.75" customHeight="1" thickBot="1" x14ac:dyDescent="0.3">
      <c r="A1430" s="9"/>
    </row>
    <row r="1431" spans="1:1" ht="15.75" customHeight="1" thickBot="1" x14ac:dyDescent="0.3">
      <c r="A1431" s="9"/>
    </row>
    <row r="1432" spans="1:1" ht="15.75" customHeight="1" thickBot="1" x14ac:dyDescent="0.3">
      <c r="A1432" s="9"/>
    </row>
    <row r="1433" spans="1:1" ht="15.75" customHeight="1" thickBot="1" x14ac:dyDescent="0.3">
      <c r="A1433" s="9"/>
    </row>
    <row r="1434" spans="1:1" ht="15.75" customHeight="1" thickBot="1" x14ac:dyDescent="0.3">
      <c r="A1434" s="9"/>
    </row>
    <row r="1435" spans="1:1" ht="15.75" customHeight="1" thickBot="1" x14ac:dyDescent="0.3">
      <c r="A1435" s="9"/>
    </row>
    <row r="1436" spans="1:1" ht="15.75" customHeight="1" thickBot="1" x14ac:dyDescent="0.3">
      <c r="A1436" s="9"/>
    </row>
    <row r="1437" spans="1:1" ht="15.75" customHeight="1" thickBot="1" x14ac:dyDescent="0.3">
      <c r="A1437" s="9"/>
    </row>
    <row r="1438" spans="1:1" ht="15.75" customHeight="1" thickBot="1" x14ac:dyDescent="0.3">
      <c r="A1438" s="9"/>
    </row>
    <row r="1439" spans="1:1" ht="15.75" customHeight="1" thickBot="1" x14ac:dyDescent="0.3">
      <c r="A1439" s="9"/>
    </row>
    <row r="1440" spans="1:1" ht="15.75" customHeight="1" thickBot="1" x14ac:dyDescent="0.3">
      <c r="A1440" s="9"/>
    </row>
    <row r="1441" spans="1:1" ht="15.75" customHeight="1" thickBot="1" x14ac:dyDescent="0.3">
      <c r="A1441" s="9"/>
    </row>
    <row r="1442" spans="1:1" ht="15.75" customHeight="1" thickBot="1" x14ac:dyDescent="0.3">
      <c r="A1442" s="9"/>
    </row>
    <row r="1443" spans="1:1" ht="15.75" customHeight="1" thickBot="1" x14ac:dyDescent="0.3">
      <c r="A1443" s="9"/>
    </row>
    <row r="1444" spans="1:1" ht="15.75" customHeight="1" thickBot="1" x14ac:dyDescent="0.3">
      <c r="A1444" s="9"/>
    </row>
    <row r="1445" spans="1:1" ht="15.75" customHeight="1" thickBot="1" x14ac:dyDescent="0.3">
      <c r="A1445" s="9"/>
    </row>
    <row r="1446" spans="1:1" ht="15.75" customHeight="1" thickBot="1" x14ac:dyDescent="0.3">
      <c r="A1446" s="9"/>
    </row>
    <row r="1447" spans="1:1" ht="15.75" customHeight="1" thickBot="1" x14ac:dyDescent="0.3">
      <c r="A1447" s="9"/>
    </row>
    <row r="1448" spans="1:1" ht="15.75" customHeight="1" thickBot="1" x14ac:dyDescent="0.3">
      <c r="A1448" s="9"/>
    </row>
    <row r="1449" spans="1:1" ht="15.75" customHeight="1" thickBot="1" x14ac:dyDescent="0.3">
      <c r="A1449" s="9"/>
    </row>
    <row r="1450" spans="1:1" ht="15.75" customHeight="1" thickBot="1" x14ac:dyDescent="0.3">
      <c r="A1450" s="9"/>
    </row>
    <row r="1451" spans="1:1" ht="15.75" customHeight="1" thickBot="1" x14ac:dyDescent="0.3">
      <c r="A1451" s="9"/>
    </row>
    <row r="1452" spans="1:1" ht="15.75" customHeight="1" thickBot="1" x14ac:dyDescent="0.3">
      <c r="A1452" s="9"/>
    </row>
    <row r="1453" spans="1:1" ht="15.75" customHeight="1" thickBot="1" x14ac:dyDescent="0.3">
      <c r="A1453" s="9"/>
    </row>
    <row r="1454" spans="1:1" ht="15.75" customHeight="1" thickBot="1" x14ac:dyDescent="0.3">
      <c r="A1454" s="9"/>
    </row>
    <row r="1455" spans="1:1" ht="15.75" customHeight="1" thickBot="1" x14ac:dyDescent="0.3">
      <c r="A1455" s="9"/>
    </row>
    <row r="1456" spans="1:1" ht="15.75" customHeight="1" thickBot="1" x14ac:dyDescent="0.3">
      <c r="A1456" s="9"/>
    </row>
    <row r="1457" spans="1:1" ht="15.75" customHeight="1" thickBot="1" x14ac:dyDescent="0.3">
      <c r="A1457" s="9"/>
    </row>
    <row r="1458" spans="1:1" ht="15.75" customHeight="1" thickBot="1" x14ac:dyDescent="0.3">
      <c r="A1458" s="9"/>
    </row>
    <row r="1459" spans="1:1" ht="15.75" customHeight="1" thickBot="1" x14ac:dyDescent="0.3">
      <c r="A1459" s="9"/>
    </row>
    <row r="1460" spans="1:1" ht="15.75" customHeight="1" thickBot="1" x14ac:dyDescent="0.3">
      <c r="A1460" s="9"/>
    </row>
    <row r="1461" spans="1:1" ht="15.75" customHeight="1" thickBot="1" x14ac:dyDescent="0.3">
      <c r="A1461" s="9"/>
    </row>
    <row r="1462" spans="1:1" ht="15.75" customHeight="1" thickBot="1" x14ac:dyDescent="0.3">
      <c r="A1462" s="9"/>
    </row>
    <row r="1463" spans="1:1" ht="15.75" customHeight="1" thickBot="1" x14ac:dyDescent="0.3">
      <c r="A1463" s="9"/>
    </row>
    <row r="1464" spans="1:1" ht="15.75" customHeight="1" thickBot="1" x14ac:dyDescent="0.3">
      <c r="A1464" s="9"/>
    </row>
    <row r="1465" spans="1:1" ht="15.75" customHeight="1" thickBot="1" x14ac:dyDescent="0.3">
      <c r="A1465" s="9"/>
    </row>
    <row r="1466" spans="1:1" ht="15.75" customHeight="1" thickBot="1" x14ac:dyDescent="0.3">
      <c r="A1466" s="9"/>
    </row>
    <row r="1467" spans="1:1" ht="15.75" customHeight="1" thickBot="1" x14ac:dyDescent="0.3">
      <c r="A1467" s="9"/>
    </row>
    <row r="1468" spans="1:1" ht="15.75" customHeight="1" thickBot="1" x14ac:dyDescent="0.3">
      <c r="A1468" s="9"/>
    </row>
    <row r="1469" spans="1:1" ht="15.75" customHeight="1" thickBot="1" x14ac:dyDescent="0.3">
      <c r="A1469" s="9"/>
    </row>
    <row r="1470" spans="1:1" ht="15.75" customHeight="1" thickBot="1" x14ac:dyDescent="0.3">
      <c r="A1470" s="9"/>
    </row>
    <row r="1471" spans="1:1" ht="15.75" customHeight="1" thickBot="1" x14ac:dyDescent="0.3">
      <c r="A1471" s="9"/>
    </row>
    <row r="1472" spans="1:1" ht="15.75" customHeight="1" thickBot="1" x14ac:dyDescent="0.3">
      <c r="A1472" s="9"/>
    </row>
    <row r="1473" spans="1:1" ht="15.75" customHeight="1" thickBot="1" x14ac:dyDescent="0.3">
      <c r="A1473" s="9"/>
    </row>
    <row r="1474" spans="1:1" ht="15.75" customHeight="1" thickBot="1" x14ac:dyDescent="0.3">
      <c r="A1474" s="9"/>
    </row>
    <row r="1475" spans="1:1" ht="15.75" customHeight="1" thickBot="1" x14ac:dyDescent="0.3">
      <c r="A1475" s="9"/>
    </row>
    <row r="1476" spans="1:1" ht="15.75" customHeight="1" thickBot="1" x14ac:dyDescent="0.3">
      <c r="A1476" s="9"/>
    </row>
    <row r="1477" spans="1:1" ht="15.75" customHeight="1" thickBot="1" x14ac:dyDescent="0.3">
      <c r="A1477" s="9"/>
    </row>
    <row r="1478" spans="1:1" ht="15.75" customHeight="1" thickBot="1" x14ac:dyDescent="0.3">
      <c r="A1478" s="9"/>
    </row>
    <row r="1479" spans="1:1" ht="15.75" customHeight="1" thickBot="1" x14ac:dyDescent="0.3">
      <c r="A1479" s="9"/>
    </row>
    <row r="1480" spans="1:1" ht="15.75" customHeight="1" thickBot="1" x14ac:dyDescent="0.3">
      <c r="A1480" s="9"/>
    </row>
    <row r="1481" spans="1:1" ht="15.75" customHeight="1" thickBot="1" x14ac:dyDescent="0.3">
      <c r="A1481" s="9"/>
    </row>
    <row r="1482" spans="1:1" ht="15.75" customHeight="1" thickBot="1" x14ac:dyDescent="0.3">
      <c r="A1482" s="9"/>
    </row>
    <row r="1483" spans="1:1" ht="15.75" customHeight="1" thickBot="1" x14ac:dyDescent="0.3">
      <c r="A1483" s="9"/>
    </row>
    <row r="1484" spans="1:1" ht="15.75" customHeight="1" thickBot="1" x14ac:dyDescent="0.3">
      <c r="A1484" s="9"/>
    </row>
    <row r="1485" spans="1:1" ht="15.75" customHeight="1" thickBot="1" x14ac:dyDescent="0.3">
      <c r="A1485" s="9"/>
    </row>
    <row r="1486" spans="1:1" ht="15.75" customHeight="1" thickBot="1" x14ac:dyDescent="0.3">
      <c r="A1486" s="9"/>
    </row>
    <row r="1487" spans="1:1" ht="15.75" customHeight="1" thickBot="1" x14ac:dyDescent="0.3">
      <c r="A1487" s="9"/>
    </row>
    <row r="1488" spans="1:1" ht="15.75" customHeight="1" thickBot="1" x14ac:dyDescent="0.3">
      <c r="A1488" s="9"/>
    </row>
    <row r="1489" spans="1:1" ht="15.75" customHeight="1" thickBot="1" x14ac:dyDescent="0.3">
      <c r="A1489" s="9"/>
    </row>
    <row r="1490" spans="1:1" ht="15.75" customHeight="1" thickBot="1" x14ac:dyDescent="0.3">
      <c r="A1490" s="9"/>
    </row>
    <row r="1491" spans="1:1" ht="15.75" customHeight="1" thickBot="1" x14ac:dyDescent="0.3">
      <c r="A1491" s="9"/>
    </row>
    <row r="1492" spans="1:1" ht="15.75" customHeight="1" thickBot="1" x14ac:dyDescent="0.3">
      <c r="A1492" s="9"/>
    </row>
    <row r="1493" spans="1:1" ht="15.75" customHeight="1" thickBot="1" x14ac:dyDescent="0.3">
      <c r="A1493" s="9"/>
    </row>
    <row r="1494" spans="1:1" ht="15.75" customHeight="1" thickBot="1" x14ac:dyDescent="0.3">
      <c r="A1494" s="9"/>
    </row>
    <row r="1495" spans="1:1" ht="15.75" customHeight="1" thickBot="1" x14ac:dyDescent="0.3">
      <c r="A1495" s="9"/>
    </row>
    <row r="1496" spans="1:1" ht="15.75" customHeight="1" thickBot="1" x14ac:dyDescent="0.3">
      <c r="A1496" s="9"/>
    </row>
    <row r="1497" spans="1:1" ht="15.75" customHeight="1" thickBot="1" x14ac:dyDescent="0.3">
      <c r="A1497" s="9"/>
    </row>
    <row r="1498" spans="1:1" ht="15.75" customHeight="1" thickBot="1" x14ac:dyDescent="0.3">
      <c r="A1498" s="9"/>
    </row>
    <row r="1499" spans="1:1" ht="15.75" customHeight="1" thickBot="1" x14ac:dyDescent="0.3">
      <c r="A1499" s="9"/>
    </row>
    <row r="1500" spans="1:1" ht="15.75" customHeight="1" thickBot="1" x14ac:dyDescent="0.3">
      <c r="A1500" s="9"/>
    </row>
    <row r="1501" spans="1:1" ht="15.75" customHeight="1" thickBot="1" x14ac:dyDescent="0.3">
      <c r="A1501" s="9"/>
    </row>
    <row r="1502" spans="1:1" ht="15.75" customHeight="1" thickBot="1" x14ac:dyDescent="0.3">
      <c r="A1502" s="9"/>
    </row>
    <row r="1503" spans="1:1" ht="15.75" customHeight="1" thickBot="1" x14ac:dyDescent="0.3">
      <c r="A1503" s="9"/>
    </row>
    <row r="1504" spans="1:1" ht="15.75" customHeight="1" thickBot="1" x14ac:dyDescent="0.3">
      <c r="A1504" s="9"/>
    </row>
    <row r="1505" spans="1:1" ht="15.75" customHeight="1" thickBot="1" x14ac:dyDescent="0.3">
      <c r="A1505" s="9"/>
    </row>
    <row r="1506" spans="1:1" ht="15.75" customHeight="1" thickBot="1" x14ac:dyDescent="0.3">
      <c r="A1506" s="9"/>
    </row>
    <row r="1507" spans="1:1" ht="15.75" customHeight="1" thickBot="1" x14ac:dyDescent="0.3">
      <c r="A1507" s="9"/>
    </row>
    <row r="1508" spans="1:1" ht="15.75" customHeight="1" thickBot="1" x14ac:dyDescent="0.3">
      <c r="A1508" s="9"/>
    </row>
    <row r="1509" spans="1:1" ht="15.75" customHeight="1" thickBot="1" x14ac:dyDescent="0.3">
      <c r="A1509" s="9"/>
    </row>
    <row r="1510" spans="1:1" ht="15.75" customHeight="1" thickBot="1" x14ac:dyDescent="0.3">
      <c r="A1510" s="9"/>
    </row>
    <row r="1511" spans="1:1" ht="15.75" customHeight="1" thickBot="1" x14ac:dyDescent="0.3">
      <c r="A1511" s="9"/>
    </row>
    <row r="1512" spans="1:1" ht="15.75" customHeight="1" thickBot="1" x14ac:dyDescent="0.3">
      <c r="A1512" s="9"/>
    </row>
    <row r="1513" spans="1:1" ht="15.75" customHeight="1" thickBot="1" x14ac:dyDescent="0.3">
      <c r="A1513" s="9"/>
    </row>
    <row r="1514" spans="1:1" ht="15.75" customHeight="1" thickBot="1" x14ac:dyDescent="0.3">
      <c r="A1514" s="9"/>
    </row>
    <row r="1515" spans="1:1" ht="15.75" customHeight="1" thickBot="1" x14ac:dyDescent="0.3">
      <c r="A1515" s="9"/>
    </row>
    <row r="1516" spans="1:1" ht="15.75" customHeight="1" thickBot="1" x14ac:dyDescent="0.3">
      <c r="A1516" s="9"/>
    </row>
    <row r="1517" spans="1:1" ht="15.75" customHeight="1" thickBot="1" x14ac:dyDescent="0.3">
      <c r="A1517" s="9"/>
    </row>
    <row r="1518" spans="1:1" ht="15.75" customHeight="1" thickBot="1" x14ac:dyDescent="0.3">
      <c r="A1518" s="9"/>
    </row>
    <row r="1519" spans="1:1" ht="15.75" customHeight="1" thickBot="1" x14ac:dyDescent="0.3">
      <c r="A1519" s="9"/>
    </row>
    <row r="1520" spans="1:1" ht="15.75" customHeight="1" thickBot="1" x14ac:dyDescent="0.3">
      <c r="A1520" s="9"/>
    </row>
    <row r="1521" spans="1:1" ht="15.75" customHeight="1" thickBot="1" x14ac:dyDescent="0.3">
      <c r="A1521" s="9"/>
    </row>
    <row r="1522" spans="1:1" ht="15.75" customHeight="1" thickBot="1" x14ac:dyDescent="0.3">
      <c r="A1522" s="9"/>
    </row>
    <row r="1523" spans="1:1" ht="15.75" customHeight="1" thickBot="1" x14ac:dyDescent="0.3">
      <c r="A1523" s="9"/>
    </row>
    <row r="1524" spans="1:1" ht="15.75" customHeight="1" thickBot="1" x14ac:dyDescent="0.3">
      <c r="A1524" s="9"/>
    </row>
    <row r="1525" spans="1:1" ht="15.75" customHeight="1" thickBot="1" x14ac:dyDescent="0.3">
      <c r="A1525" s="9"/>
    </row>
    <row r="1526" spans="1:1" ht="15.75" customHeight="1" thickBot="1" x14ac:dyDescent="0.3">
      <c r="A1526" s="9"/>
    </row>
    <row r="1527" spans="1:1" ht="15.75" customHeight="1" thickBot="1" x14ac:dyDescent="0.3">
      <c r="A1527" s="9"/>
    </row>
    <row r="1528" spans="1:1" ht="15.75" customHeight="1" thickBot="1" x14ac:dyDescent="0.3">
      <c r="A1528" s="9"/>
    </row>
    <row r="1529" spans="1:1" ht="15.75" customHeight="1" thickBot="1" x14ac:dyDescent="0.3">
      <c r="A1529" s="9"/>
    </row>
    <row r="1530" spans="1:1" ht="15.75" customHeight="1" thickBot="1" x14ac:dyDescent="0.3">
      <c r="A1530" s="9"/>
    </row>
    <row r="1531" spans="1:1" ht="15.75" customHeight="1" thickBot="1" x14ac:dyDescent="0.3">
      <c r="A1531" s="9"/>
    </row>
    <row r="1532" spans="1:1" ht="15.75" customHeight="1" thickBot="1" x14ac:dyDescent="0.3">
      <c r="A1532" s="9"/>
    </row>
    <row r="1533" spans="1:1" ht="15.75" customHeight="1" thickBot="1" x14ac:dyDescent="0.3">
      <c r="A1533" s="9"/>
    </row>
    <row r="1534" spans="1:1" ht="15.75" customHeight="1" thickBot="1" x14ac:dyDescent="0.3">
      <c r="A1534" s="9"/>
    </row>
    <row r="1535" spans="1:1" ht="15.75" customHeight="1" thickBot="1" x14ac:dyDescent="0.3">
      <c r="A1535" s="9"/>
    </row>
    <row r="1536" spans="1:1" ht="15.75" customHeight="1" thickBot="1" x14ac:dyDescent="0.3">
      <c r="A1536" s="9"/>
    </row>
    <row r="1537" spans="1:1" ht="15.75" customHeight="1" thickBot="1" x14ac:dyDescent="0.3">
      <c r="A1537" s="9"/>
    </row>
    <row r="1538" spans="1:1" ht="15.75" customHeight="1" thickBot="1" x14ac:dyDescent="0.3">
      <c r="A1538" s="9"/>
    </row>
    <row r="1539" spans="1:1" ht="15.75" customHeight="1" thickBot="1" x14ac:dyDescent="0.3">
      <c r="A1539" s="9"/>
    </row>
    <row r="1540" spans="1:1" ht="15.75" customHeight="1" thickBot="1" x14ac:dyDescent="0.3">
      <c r="A1540" s="9"/>
    </row>
    <row r="1541" spans="1:1" ht="15.75" customHeight="1" thickBot="1" x14ac:dyDescent="0.3">
      <c r="A1541" s="9"/>
    </row>
    <row r="1542" spans="1:1" ht="15.75" customHeight="1" thickBot="1" x14ac:dyDescent="0.3">
      <c r="A1542" s="9"/>
    </row>
    <row r="1543" spans="1:1" ht="15.75" customHeight="1" thickBot="1" x14ac:dyDescent="0.3">
      <c r="A1543" s="9"/>
    </row>
    <row r="1544" spans="1:1" ht="15.75" customHeight="1" thickBot="1" x14ac:dyDescent="0.3">
      <c r="A1544" s="9"/>
    </row>
    <row r="1545" spans="1:1" ht="15.75" customHeight="1" thickBot="1" x14ac:dyDescent="0.3">
      <c r="A1545" s="9"/>
    </row>
    <row r="1546" spans="1:1" ht="15.75" customHeight="1" thickBot="1" x14ac:dyDescent="0.3">
      <c r="A1546" s="9"/>
    </row>
    <row r="1547" spans="1:1" ht="15.75" customHeight="1" thickBot="1" x14ac:dyDescent="0.3">
      <c r="A1547" s="9"/>
    </row>
    <row r="1548" spans="1:1" ht="15.75" customHeight="1" thickBot="1" x14ac:dyDescent="0.3">
      <c r="A1548" s="9"/>
    </row>
    <row r="1549" spans="1:1" ht="15.75" customHeight="1" thickBot="1" x14ac:dyDescent="0.3">
      <c r="A1549" s="9"/>
    </row>
    <row r="1550" spans="1:1" ht="15.75" customHeight="1" thickBot="1" x14ac:dyDescent="0.3">
      <c r="A1550" s="9"/>
    </row>
    <row r="1551" spans="1:1" ht="15.75" customHeight="1" thickBot="1" x14ac:dyDescent="0.3">
      <c r="A1551" s="9"/>
    </row>
    <row r="1552" spans="1:1" ht="15.75" customHeight="1" thickBot="1" x14ac:dyDescent="0.3">
      <c r="A1552" s="9"/>
    </row>
    <row r="1553" spans="1:1" ht="15.75" customHeight="1" thickBot="1" x14ac:dyDescent="0.3">
      <c r="A1553" s="9"/>
    </row>
    <row r="1554" spans="1:1" ht="15.75" customHeight="1" thickBot="1" x14ac:dyDescent="0.3">
      <c r="A1554" s="9"/>
    </row>
    <row r="1555" spans="1:1" ht="15.75" customHeight="1" thickBot="1" x14ac:dyDescent="0.3">
      <c r="A1555" s="9"/>
    </row>
    <row r="1556" spans="1:1" ht="15.75" customHeight="1" thickBot="1" x14ac:dyDescent="0.3">
      <c r="A1556" s="9"/>
    </row>
    <row r="1557" spans="1:1" ht="15.75" customHeight="1" thickBot="1" x14ac:dyDescent="0.3">
      <c r="A1557" s="9"/>
    </row>
    <row r="1558" spans="1:1" ht="15.75" customHeight="1" thickBot="1" x14ac:dyDescent="0.3">
      <c r="A1558" s="9"/>
    </row>
    <row r="1559" spans="1:1" ht="15.75" customHeight="1" thickBot="1" x14ac:dyDescent="0.3">
      <c r="A1559" s="9"/>
    </row>
    <row r="1560" spans="1:1" ht="15.75" customHeight="1" thickBot="1" x14ac:dyDescent="0.3">
      <c r="A1560" s="9"/>
    </row>
    <row r="1561" spans="1:1" ht="15.75" customHeight="1" thickBot="1" x14ac:dyDescent="0.3">
      <c r="A1561" s="9"/>
    </row>
    <row r="1562" spans="1:1" ht="15.75" customHeight="1" thickBot="1" x14ac:dyDescent="0.3">
      <c r="A1562" s="9"/>
    </row>
    <row r="1563" spans="1:1" ht="15.75" customHeight="1" thickBot="1" x14ac:dyDescent="0.3">
      <c r="A1563" s="9"/>
    </row>
    <row r="1564" spans="1:1" ht="15.75" customHeight="1" thickBot="1" x14ac:dyDescent="0.3">
      <c r="A1564" s="9"/>
    </row>
    <row r="1565" spans="1:1" ht="15.75" customHeight="1" thickBot="1" x14ac:dyDescent="0.3">
      <c r="A1565" s="9"/>
    </row>
    <row r="1566" spans="1:1" ht="15.75" customHeight="1" thickBot="1" x14ac:dyDescent="0.3">
      <c r="A1566" s="9"/>
    </row>
    <row r="1567" spans="1:1" ht="15.75" customHeight="1" thickBot="1" x14ac:dyDescent="0.3">
      <c r="A1567" s="9"/>
    </row>
    <row r="1568" spans="1:1" ht="15.75" customHeight="1" thickBot="1" x14ac:dyDescent="0.3">
      <c r="A1568" s="9"/>
    </row>
    <row r="1569" spans="1:1" ht="15.75" customHeight="1" thickBot="1" x14ac:dyDescent="0.3">
      <c r="A1569" s="9"/>
    </row>
    <row r="1570" spans="1:1" ht="15.75" customHeight="1" thickBot="1" x14ac:dyDescent="0.3">
      <c r="A1570" s="9"/>
    </row>
    <row r="1571" spans="1:1" ht="15.75" customHeight="1" thickBot="1" x14ac:dyDescent="0.3">
      <c r="A1571" s="9"/>
    </row>
    <row r="1572" spans="1:1" ht="15.75" customHeight="1" thickBot="1" x14ac:dyDescent="0.3">
      <c r="A1572" s="9"/>
    </row>
    <row r="1573" spans="1:1" ht="15.75" customHeight="1" thickBot="1" x14ac:dyDescent="0.3">
      <c r="A1573" s="9"/>
    </row>
    <row r="1574" spans="1:1" ht="15.75" customHeight="1" thickBot="1" x14ac:dyDescent="0.3">
      <c r="A1574" s="9"/>
    </row>
    <row r="1575" spans="1:1" ht="15.75" customHeight="1" thickBot="1" x14ac:dyDescent="0.3">
      <c r="A1575" s="9"/>
    </row>
    <row r="1576" spans="1:1" ht="15.75" customHeight="1" thickBot="1" x14ac:dyDescent="0.3">
      <c r="A1576" s="9"/>
    </row>
    <row r="1577" spans="1:1" ht="15.75" customHeight="1" thickBot="1" x14ac:dyDescent="0.3">
      <c r="A1577" s="9"/>
    </row>
    <row r="1578" spans="1:1" ht="15.75" customHeight="1" thickBot="1" x14ac:dyDescent="0.3">
      <c r="A1578" s="9"/>
    </row>
    <row r="1579" spans="1:1" ht="15.75" customHeight="1" thickBot="1" x14ac:dyDescent="0.3">
      <c r="A1579" s="9"/>
    </row>
    <row r="1580" spans="1:1" ht="15.75" customHeight="1" thickBot="1" x14ac:dyDescent="0.3">
      <c r="A1580" s="9"/>
    </row>
    <row r="1581" spans="1:1" ht="15.75" customHeight="1" thickBot="1" x14ac:dyDescent="0.3">
      <c r="A1581" s="9"/>
    </row>
    <row r="1582" spans="1:1" ht="15.75" customHeight="1" thickBot="1" x14ac:dyDescent="0.3">
      <c r="A1582" s="9"/>
    </row>
    <row r="1583" spans="1:1" ht="15.75" customHeight="1" thickBot="1" x14ac:dyDescent="0.3">
      <c r="A1583" s="9"/>
    </row>
    <row r="1584" spans="1:1" ht="15.75" customHeight="1" thickBot="1" x14ac:dyDescent="0.3">
      <c r="A1584" s="9"/>
    </row>
    <row r="1585" spans="1:1" ht="15.75" customHeight="1" thickBot="1" x14ac:dyDescent="0.3">
      <c r="A1585" s="9"/>
    </row>
    <row r="1586" spans="1:1" ht="15.75" customHeight="1" thickBot="1" x14ac:dyDescent="0.3">
      <c r="A1586" s="9"/>
    </row>
    <row r="1587" spans="1:1" ht="15.75" customHeight="1" thickBot="1" x14ac:dyDescent="0.3">
      <c r="A1587" s="9"/>
    </row>
    <row r="1588" spans="1:1" ht="15.75" customHeight="1" thickBot="1" x14ac:dyDescent="0.3">
      <c r="A1588" s="9"/>
    </row>
    <row r="1589" spans="1:1" ht="15.75" customHeight="1" thickBot="1" x14ac:dyDescent="0.3">
      <c r="A1589" s="9"/>
    </row>
    <row r="1590" spans="1:1" ht="15.75" customHeight="1" thickBot="1" x14ac:dyDescent="0.3">
      <c r="A1590" s="9"/>
    </row>
    <row r="1591" spans="1:1" ht="15.75" customHeight="1" thickBot="1" x14ac:dyDescent="0.3">
      <c r="A1591" s="9"/>
    </row>
    <row r="1592" spans="1:1" ht="15.75" customHeight="1" thickBot="1" x14ac:dyDescent="0.3">
      <c r="A1592" s="9"/>
    </row>
    <row r="1593" spans="1:1" ht="15.75" customHeight="1" thickBot="1" x14ac:dyDescent="0.3">
      <c r="A1593" s="9"/>
    </row>
    <row r="1594" spans="1:1" ht="15.75" customHeight="1" thickBot="1" x14ac:dyDescent="0.3">
      <c r="A1594" s="9"/>
    </row>
    <row r="1595" spans="1:1" ht="15.75" customHeight="1" thickBot="1" x14ac:dyDescent="0.3">
      <c r="A1595" s="9"/>
    </row>
    <row r="1596" spans="1:1" ht="15.75" customHeight="1" thickBot="1" x14ac:dyDescent="0.3">
      <c r="A1596" s="9"/>
    </row>
    <row r="1597" spans="1:1" ht="15.75" customHeight="1" thickBot="1" x14ac:dyDescent="0.3">
      <c r="A1597" s="9"/>
    </row>
    <row r="1598" spans="1:1" ht="15.75" customHeight="1" thickBot="1" x14ac:dyDescent="0.3">
      <c r="A1598" s="9"/>
    </row>
    <row r="1599" spans="1:1" ht="15.75" customHeight="1" thickBot="1" x14ac:dyDescent="0.3">
      <c r="A1599" s="9"/>
    </row>
    <row r="1600" spans="1:1" ht="15.75" customHeight="1" thickBot="1" x14ac:dyDescent="0.3">
      <c r="A1600" s="9"/>
    </row>
    <row r="1601" spans="1:1" ht="15.75" customHeight="1" thickBot="1" x14ac:dyDescent="0.3">
      <c r="A1601" s="9"/>
    </row>
    <row r="1602" spans="1:1" ht="15.75" customHeight="1" thickBot="1" x14ac:dyDescent="0.3">
      <c r="A1602" s="9"/>
    </row>
    <row r="1603" spans="1:1" ht="15.75" customHeight="1" thickBot="1" x14ac:dyDescent="0.3">
      <c r="A1603" s="9"/>
    </row>
    <row r="1604" spans="1:1" ht="15.75" customHeight="1" thickBot="1" x14ac:dyDescent="0.3">
      <c r="A1604" s="9"/>
    </row>
    <row r="1605" spans="1:1" ht="15.75" customHeight="1" thickBot="1" x14ac:dyDescent="0.3">
      <c r="A1605" s="9"/>
    </row>
    <row r="1606" spans="1:1" ht="15.75" customHeight="1" thickBot="1" x14ac:dyDescent="0.3">
      <c r="A1606" s="9"/>
    </row>
    <row r="1607" spans="1:1" ht="15.75" customHeight="1" thickBot="1" x14ac:dyDescent="0.3">
      <c r="A1607" s="9"/>
    </row>
    <row r="1608" spans="1:1" ht="15.75" customHeight="1" thickBot="1" x14ac:dyDescent="0.3">
      <c r="A1608" s="9"/>
    </row>
    <row r="1609" spans="1:1" ht="15.75" customHeight="1" thickBot="1" x14ac:dyDescent="0.3">
      <c r="A1609" s="9"/>
    </row>
    <row r="1610" spans="1:1" ht="15.75" customHeight="1" thickBot="1" x14ac:dyDescent="0.3">
      <c r="A1610" s="9"/>
    </row>
    <row r="1611" spans="1:1" ht="15.75" customHeight="1" thickBot="1" x14ac:dyDescent="0.3">
      <c r="A1611" s="9"/>
    </row>
    <row r="1612" spans="1:1" ht="15.75" customHeight="1" thickBot="1" x14ac:dyDescent="0.3">
      <c r="A1612" s="9"/>
    </row>
    <row r="1613" spans="1:1" ht="15.75" customHeight="1" thickBot="1" x14ac:dyDescent="0.3">
      <c r="A1613" s="9"/>
    </row>
    <row r="1614" spans="1:1" ht="15.75" customHeight="1" thickBot="1" x14ac:dyDescent="0.3">
      <c r="A1614" s="9"/>
    </row>
    <row r="1615" spans="1:1" ht="15.75" customHeight="1" thickBot="1" x14ac:dyDescent="0.3">
      <c r="A1615" s="9"/>
    </row>
    <row r="1616" spans="1:1" ht="15.75" customHeight="1" thickBot="1" x14ac:dyDescent="0.3">
      <c r="A1616" s="9"/>
    </row>
    <row r="1617" spans="1:1" ht="15.75" customHeight="1" thickBot="1" x14ac:dyDescent="0.3">
      <c r="A1617" s="9"/>
    </row>
    <row r="1618" spans="1:1" ht="15.75" customHeight="1" thickBot="1" x14ac:dyDescent="0.3">
      <c r="A1618" s="9"/>
    </row>
    <row r="1619" spans="1:1" ht="15.75" customHeight="1" thickBot="1" x14ac:dyDescent="0.3">
      <c r="A1619" s="9"/>
    </row>
    <row r="1620" spans="1:1" ht="15.75" customHeight="1" thickBot="1" x14ac:dyDescent="0.3">
      <c r="A1620" s="9"/>
    </row>
    <row r="1621" spans="1:1" ht="15.75" customHeight="1" thickBot="1" x14ac:dyDescent="0.3">
      <c r="A1621" s="9"/>
    </row>
    <row r="1622" spans="1:1" ht="15.75" customHeight="1" thickBot="1" x14ac:dyDescent="0.3">
      <c r="A1622" s="9"/>
    </row>
    <row r="1623" spans="1:1" ht="15.75" customHeight="1" thickBot="1" x14ac:dyDescent="0.3">
      <c r="A1623" s="9"/>
    </row>
    <row r="1624" spans="1:1" ht="15.75" customHeight="1" thickBot="1" x14ac:dyDescent="0.3">
      <c r="A1624" s="9"/>
    </row>
    <row r="1625" spans="1:1" ht="15.75" customHeight="1" thickBot="1" x14ac:dyDescent="0.3">
      <c r="A1625" s="9"/>
    </row>
    <row r="1626" spans="1:1" ht="15.75" customHeight="1" thickBot="1" x14ac:dyDescent="0.3">
      <c r="A1626" s="9"/>
    </row>
    <row r="1627" spans="1:1" ht="15.75" customHeight="1" thickBot="1" x14ac:dyDescent="0.3">
      <c r="A1627" s="9"/>
    </row>
    <row r="1628" spans="1:1" ht="15.75" customHeight="1" thickBot="1" x14ac:dyDescent="0.3">
      <c r="A1628" s="9"/>
    </row>
    <row r="1629" spans="1:1" ht="15.75" customHeight="1" thickBot="1" x14ac:dyDescent="0.3">
      <c r="A1629" s="9"/>
    </row>
    <row r="1630" spans="1:1" ht="15.75" customHeight="1" thickBot="1" x14ac:dyDescent="0.3">
      <c r="A1630" s="9"/>
    </row>
    <row r="1631" spans="1:1" ht="15.75" customHeight="1" thickBot="1" x14ac:dyDescent="0.3">
      <c r="A1631" s="9"/>
    </row>
    <row r="1632" spans="1:1" ht="15.75" customHeight="1" thickBot="1" x14ac:dyDescent="0.3">
      <c r="A1632" s="9"/>
    </row>
    <row r="1633" spans="1:1" ht="15.75" customHeight="1" thickBot="1" x14ac:dyDescent="0.3">
      <c r="A1633" s="9"/>
    </row>
    <row r="1634" spans="1:1" ht="15.75" customHeight="1" thickBot="1" x14ac:dyDescent="0.3">
      <c r="A1634" s="9"/>
    </row>
    <row r="1635" spans="1:1" ht="15.75" customHeight="1" thickBot="1" x14ac:dyDescent="0.3">
      <c r="A1635" s="9"/>
    </row>
    <row r="1636" spans="1:1" ht="15.75" customHeight="1" thickBot="1" x14ac:dyDescent="0.3">
      <c r="A1636" s="9"/>
    </row>
    <row r="1637" spans="1:1" ht="15.75" customHeight="1" thickBot="1" x14ac:dyDescent="0.3">
      <c r="A1637" s="9"/>
    </row>
    <row r="1638" spans="1:1" ht="15.75" customHeight="1" thickBot="1" x14ac:dyDescent="0.3">
      <c r="A1638" s="9"/>
    </row>
    <row r="1639" spans="1:1" ht="15.75" customHeight="1" thickBot="1" x14ac:dyDescent="0.3">
      <c r="A1639" s="9"/>
    </row>
    <row r="1640" spans="1:1" ht="15.75" customHeight="1" thickBot="1" x14ac:dyDescent="0.3">
      <c r="A1640" s="9"/>
    </row>
    <row r="1641" spans="1:1" ht="15.75" customHeight="1" thickBot="1" x14ac:dyDescent="0.3">
      <c r="A1641" s="9"/>
    </row>
    <row r="1642" spans="1:1" ht="15.75" customHeight="1" thickBot="1" x14ac:dyDescent="0.3">
      <c r="A1642" s="9"/>
    </row>
    <row r="1643" spans="1:1" ht="15.75" customHeight="1" thickBot="1" x14ac:dyDescent="0.3">
      <c r="A1643" s="9"/>
    </row>
    <row r="1644" spans="1:1" ht="15.75" customHeight="1" thickBot="1" x14ac:dyDescent="0.3">
      <c r="A1644" s="9"/>
    </row>
    <row r="1645" spans="1:1" ht="15.75" customHeight="1" thickBot="1" x14ac:dyDescent="0.3">
      <c r="A1645" s="9"/>
    </row>
    <row r="1646" spans="1:1" ht="15.75" customHeight="1" thickBot="1" x14ac:dyDescent="0.3">
      <c r="A1646" s="9"/>
    </row>
    <row r="1647" spans="1:1" ht="15.75" customHeight="1" thickBot="1" x14ac:dyDescent="0.3">
      <c r="A1647" s="9"/>
    </row>
    <row r="1648" spans="1:1" ht="15.75" customHeight="1" thickBot="1" x14ac:dyDescent="0.3">
      <c r="A1648" s="9"/>
    </row>
    <row r="1649" spans="1:1" ht="15.75" customHeight="1" thickBot="1" x14ac:dyDescent="0.3">
      <c r="A1649" s="9"/>
    </row>
    <row r="1650" spans="1:1" ht="15.75" customHeight="1" thickBot="1" x14ac:dyDescent="0.3">
      <c r="A1650" s="9"/>
    </row>
    <row r="1651" spans="1:1" ht="15.75" customHeight="1" thickBot="1" x14ac:dyDescent="0.3">
      <c r="A1651" s="9"/>
    </row>
    <row r="1652" spans="1:1" ht="15.75" customHeight="1" thickBot="1" x14ac:dyDescent="0.3">
      <c r="A1652" s="9"/>
    </row>
    <row r="1653" spans="1:1" ht="15.75" customHeight="1" thickBot="1" x14ac:dyDescent="0.3">
      <c r="A1653" s="9"/>
    </row>
    <row r="1654" spans="1:1" ht="15.75" customHeight="1" thickBot="1" x14ac:dyDescent="0.3">
      <c r="A1654" s="9"/>
    </row>
    <row r="1655" spans="1:1" ht="15.75" customHeight="1" thickBot="1" x14ac:dyDescent="0.3">
      <c r="A1655" s="9"/>
    </row>
    <row r="1656" spans="1:1" ht="15.75" customHeight="1" thickBot="1" x14ac:dyDescent="0.3">
      <c r="A1656" s="9"/>
    </row>
    <row r="1657" spans="1:1" ht="15.75" customHeight="1" thickBot="1" x14ac:dyDescent="0.3">
      <c r="A1657" s="9"/>
    </row>
    <row r="1658" spans="1:1" ht="15.75" customHeight="1" thickBot="1" x14ac:dyDescent="0.3">
      <c r="A1658" s="9"/>
    </row>
    <row r="1659" spans="1:1" ht="15.75" customHeight="1" thickBot="1" x14ac:dyDescent="0.3">
      <c r="A1659" s="9"/>
    </row>
    <row r="1660" spans="1:1" ht="15.75" customHeight="1" thickBot="1" x14ac:dyDescent="0.3">
      <c r="A1660" s="9"/>
    </row>
    <row r="1661" spans="1:1" ht="15.75" customHeight="1" thickBot="1" x14ac:dyDescent="0.3">
      <c r="A1661" s="9"/>
    </row>
    <row r="1662" spans="1:1" ht="15.75" customHeight="1" thickBot="1" x14ac:dyDescent="0.3">
      <c r="A1662" s="9"/>
    </row>
    <row r="1663" spans="1:1" ht="15.75" customHeight="1" thickBot="1" x14ac:dyDescent="0.3">
      <c r="A1663" s="9"/>
    </row>
    <row r="1664" spans="1:1" ht="15.75" customHeight="1" thickBot="1" x14ac:dyDescent="0.3">
      <c r="A1664" s="9"/>
    </row>
    <row r="1665" spans="1:1" ht="15.75" customHeight="1" thickBot="1" x14ac:dyDescent="0.3">
      <c r="A1665" s="9"/>
    </row>
    <row r="1666" spans="1:1" ht="15.75" customHeight="1" thickBot="1" x14ac:dyDescent="0.3">
      <c r="A1666" s="9"/>
    </row>
    <row r="1667" spans="1:1" ht="15.75" customHeight="1" thickBot="1" x14ac:dyDescent="0.3">
      <c r="A1667" s="9"/>
    </row>
    <row r="1668" spans="1:1" ht="15.75" customHeight="1" thickBot="1" x14ac:dyDescent="0.3">
      <c r="A1668" s="9"/>
    </row>
    <row r="1669" spans="1:1" ht="15.75" customHeight="1" thickBot="1" x14ac:dyDescent="0.3">
      <c r="A1669" s="9"/>
    </row>
    <row r="1670" spans="1:1" ht="15.75" customHeight="1" thickBot="1" x14ac:dyDescent="0.3">
      <c r="A1670" s="9"/>
    </row>
    <row r="1671" spans="1:1" ht="15.75" customHeight="1" thickBot="1" x14ac:dyDescent="0.3">
      <c r="A1671" s="9"/>
    </row>
    <row r="1672" spans="1:1" ht="15.75" customHeight="1" thickBot="1" x14ac:dyDescent="0.3">
      <c r="A1672" s="9"/>
    </row>
    <row r="1673" spans="1:1" ht="15.75" customHeight="1" thickBot="1" x14ac:dyDescent="0.3">
      <c r="A1673" s="9"/>
    </row>
    <row r="1674" spans="1:1" ht="15.75" customHeight="1" thickBot="1" x14ac:dyDescent="0.3">
      <c r="A1674" s="9"/>
    </row>
    <row r="1675" spans="1:1" ht="15.75" customHeight="1" thickBot="1" x14ac:dyDescent="0.3">
      <c r="A1675" s="9"/>
    </row>
    <row r="1676" spans="1:1" ht="15.75" customHeight="1" thickBot="1" x14ac:dyDescent="0.3">
      <c r="A1676" s="9"/>
    </row>
    <row r="1677" spans="1:1" ht="15.75" customHeight="1" thickBot="1" x14ac:dyDescent="0.3">
      <c r="A1677" s="9"/>
    </row>
    <row r="1678" spans="1:1" ht="15.75" customHeight="1" thickBot="1" x14ac:dyDescent="0.3">
      <c r="A1678" s="9"/>
    </row>
    <row r="1679" spans="1:1" ht="15.75" customHeight="1" thickBot="1" x14ac:dyDescent="0.3">
      <c r="A1679" s="9"/>
    </row>
    <row r="1680" spans="1:1" ht="15.75" customHeight="1" thickBot="1" x14ac:dyDescent="0.3">
      <c r="A1680" s="9"/>
    </row>
    <row r="1681" spans="1:1" ht="15.75" customHeight="1" thickBot="1" x14ac:dyDescent="0.3">
      <c r="A1681" s="9"/>
    </row>
    <row r="1682" spans="1:1" ht="15.75" customHeight="1" thickBot="1" x14ac:dyDescent="0.3">
      <c r="A1682" s="9"/>
    </row>
    <row r="1683" spans="1:1" ht="15.75" customHeight="1" thickBot="1" x14ac:dyDescent="0.3">
      <c r="A1683" s="9"/>
    </row>
    <row r="1684" spans="1:1" ht="15.75" customHeight="1" thickBot="1" x14ac:dyDescent="0.3">
      <c r="A1684" s="9"/>
    </row>
    <row r="1685" spans="1:1" ht="15.75" customHeight="1" thickBot="1" x14ac:dyDescent="0.3">
      <c r="A1685" s="9"/>
    </row>
    <row r="1686" spans="1:1" ht="15.75" customHeight="1" thickBot="1" x14ac:dyDescent="0.3">
      <c r="A1686" s="9"/>
    </row>
    <row r="1687" spans="1:1" ht="15.75" customHeight="1" thickBot="1" x14ac:dyDescent="0.3">
      <c r="A1687" s="9"/>
    </row>
    <row r="1688" spans="1:1" ht="15.75" customHeight="1" thickBot="1" x14ac:dyDescent="0.3">
      <c r="A1688" s="9"/>
    </row>
    <row r="1689" spans="1:1" ht="15.75" customHeight="1" thickBot="1" x14ac:dyDescent="0.3">
      <c r="A1689" s="9"/>
    </row>
    <row r="1690" spans="1:1" ht="15.75" customHeight="1" thickBot="1" x14ac:dyDescent="0.3">
      <c r="A1690" s="9"/>
    </row>
    <row r="1691" spans="1:1" ht="15.75" customHeight="1" thickBot="1" x14ac:dyDescent="0.3">
      <c r="A1691" s="9"/>
    </row>
    <row r="1692" spans="1:1" ht="15.75" customHeight="1" thickBot="1" x14ac:dyDescent="0.3">
      <c r="A1692" s="9"/>
    </row>
    <row r="1693" spans="1:1" ht="15.75" customHeight="1" thickBot="1" x14ac:dyDescent="0.3">
      <c r="A1693" s="9"/>
    </row>
    <row r="1694" spans="1:1" ht="15.75" customHeight="1" thickBot="1" x14ac:dyDescent="0.3">
      <c r="A1694" s="9"/>
    </row>
    <row r="1695" spans="1:1" ht="15.75" customHeight="1" thickBot="1" x14ac:dyDescent="0.3">
      <c r="A1695" s="9"/>
    </row>
    <row r="1696" spans="1:1" ht="15.75" customHeight="1" thickBot="1" x14ac:dyDescent="0.3">
      <c r="A1696" s="9"/>
    </row>
    <row r="1697" spans="1:1" ht="15.75" customHeight="1" thickBot="1" x14ac:dyDescent="0.3">
      <c r="A1697" s="9"/>
    </row>
    <row r="1698" spans="1:1" ht="15.75" customHeight="1" thickBot="1" x14ac:dyDescent="0.3">
      <c r="A1698" s="9"/>
    </row>
    <row r="1699" spans="1:1" ht="15.75" customHeight="1" thickBot="1" x14ac:dyDescent="0.3">
      <c r="A1699" s="9"/>
    </row>
    <row r="1700" spans="1:1" ht="15.75" customHeight="1" thickBot="1" x14ac:dyDescent="0.3">
      <c r="A1700" s="9"/>
    </row>
    <row r="1701" spans="1:1" ht="15.75" customHeight="1" thickBot="1" x14ac:dyDescent="0.3">
      <c r="A1701" s="9"/>
    </row>
    <row r="1702" spans="1:1" ht="15.75" customHeight="1" thickBot="1" x14ac:dyDescent="0.3">
      <c r="A1702" s="9"/>
    </row>
    <row r="1703" spans="1:1" ht="15.75" customHeight="1" thickBot="1" x14ac:dyDescent="0.3">
      <c r="A1703" s="9"/>
    </row>
    <row r="1704" spans="1:1" ht="15.75" customHeight="1" thickBot="1" x14ac:dyDescent="0.3">
      <c r="A1704" s="9"/>
    </row>
    <row r="1705" spans="1:1" ht="15.75" customHeight="1" thickBot="1" x14ac:dyDescent="0.3">
      <c r="A1705" s="9"/>
    </row>
    <row r="1706" spans="1:1" ht="15.75" customHeight="1" thickBot="1" x14ac:dyDescent="0.3">
      <c r="A1706" s="9"/>
    </row>
    <row r="1707" spans="1:1" ht="15.75" customHeight="1" thickBot="1" x14ac:dyDescent="0.3">
      <c r="A1707" s="9"/>
    </row>
    <row r="1708" spans="1:1" ht="15.75" customHeight="1" thickBot="1" x14ac:dyDescent="0.3">
      <c r="A1708" s="9"/>
    </row>
    <row r="1709" spans="1:1" ht="15.75" customHeight="1" thickBot="1" x14ac:dyDescent="0.3">
      <c r="A1709" s="9"/>
    </row>
    <row r="1710" spans="1:1" ht="15.75" customHeight="1" thickBot="1" x14ac:dyDescent="0.3">
      <c r="A1710" s="9"/>
    </row>
    <row r="1711" spans="1:1" ht="15.75" customHeight="1" thickBot="1" x14ac:dyDescent="0.3">
      <c r="A1711" s="9"/>
    </row>
    <row r="1712" spans="1:1" ht="15.75" customHeight="1" thickBot="1" x14ac:dyDescent="0.3">
      <c r="A1712" s="9"/>
    </row>
    <row r="1713" spans="1:1" ht="15.75" customHeight="1" thickBot="1" x14ac:dyDescent="0.3">
      <c r="A1713" s="9"/>
    </row>
    <row r="1714" spans="1:1" ht="15.75" customHeight="1" thickBot="1" x14ac:dyDescent="0.3">
      <c r="A1714" s="9"/>
    </row>
    <row r="1715" spans="1:1" ht="15.75" customHeight="1" thickBot="1" x14ac:dyDescent="0.3">
      <c r="A1715" s="9"/>
    </row>
    <row r="1716" spans="1:1" ht="15.75" customHeight="1" thickBot="1" x14ac:dyDescent="0.3">
      <c r="A1716" s="9"/>
    </row>
    <row r="1717" spans="1:1" ht="15.75" customHeight="1" thickBot="1" x14ac:dyDescent="0.3">
      <c r="A1717" s="9"/>
    </row>
    <row r="1718" spans="1:1" ht="15.75" customHeight="1" thickBot="1" x14ac:dyDescent="0.3">
      <c r="A1718" s="9"/>
    </row>
    <row r="1719" spans="1:1" ht="15.75" customHeight="1" thickBot="1" x14ac:dyDescent="0.3">
      <c r="A1719" s="9"/>
    </row>
    <row r="1720" spans="1:1" ht="15.75" customHeight="1" thickBot="1" x14ac:dyDescent="0.3">
      <c r="A1720" s="9"/>
    </row>
    <row r="1721" spans="1:1" ht="15.75" customHeight="1" thickBot="1" x14ac:dyDescent="0.3">
      <c r="A1721" s="9"/>
    </row>
    <row r="1722" spans="1:1" ht="15.75" customHeight="1" thickBot="1" x14ac:dyDescent="0.3">
      <c r="A1722" s="9"/>
    </row>
    <row r="1723" spans="1:1" ht="15.75" customHeight="1" thickBot="1" x14ac:dyDescent="0.3">
      <c r="A1723" s="9"/>
    </row>
    <row r="1724" spans="1:1" ht="15.75" customHeight="1" thickBot="1" x14ac:dyDescent="0.3">
      <c r="A1724" s="9"/>
    </row>
    <row r="1725" spans="1:1" ht="15.75" customHeight="1" thickBot="1" x14ac:dyDescent="0.3">
      <c r="A1725" s="9"/>
    </row>
    <row r="1726" spans="1:1" ht="15.75" customHeight="1" thickBot="1" x14ac:dyDescent="0.3">
      <c r="A1726" s="9"/>
    </row>
    <row r="1727" spans="1:1" ht="15.75" customHeight="1" thickBot="1" x14ac:dyDescent="0.3">
      <c r="A1727" s="9"/>
    </row>
    <row r="1728" spans="1:1" ht="15.75" customHeight="1" thickBot="1" x14ac:dyDescent="0.3">
      <c r="A1728" s="9"/>
    </row>
    <row r="1729" spans="1:1" ht="15.75" customHeight="1" thickBot="1" x14ac:dyDescent="0.3">
      <c r="A1729" s="9"/>
    </row>
    <row r="1730" spans="1:1" ht="15.75" customHeight="1" thickBot="1" x14ac:dyDescent="0.3">
      <c r="A1730" s="9"/>
    </row>
    <row r="1731" spans="1:1" ht="15.75" customHeight="1" thickBot="1" x14ac:dyDescent="0.3">
      <c r="A1731" s="9"/>
    </row>
    <row r="1732" spans="1:1" ht="15.75" customHeight="1" thickBot="1" x14ac:dyDescent="0.3">
      <c r="A1732" s="9"/>
    </row>
    <row r="1733" spans="1:1" ht="15.75" customHeight="1" thickBot="1" x14ac:dyDescent="0.3">
      <c r="A1733" s="9"/>
    </row>
    <row r="1734" spans="1:1" ht="15.75" customHeight="1" thickBot="1" x14ac:dyDescent="0.3">
      <c r="A1734" s="9"/>
    </row>
    <row r="1735" spans="1:1" ht="15.75" customHeight="1" thickBot="1" x14ac:dyDescent="0.3">
      <c r="A1735" s="9"/>
    </row>
    <row r="1736" spans="1:1" ht="15.75" customHeight="1" thickBot="1" x14ac:dyDescent="0.3">
      <c r="A1736" s="9"/>
    </row>
    <row r="1737" spans="1:1" ht="15.75" customHeight="1" thickBot="1" x14ac:dyDescent="0.3">
      <c r="A1737" s="9"/>
    </row>
    <row r="1738" spans="1:1" ht="15.75" customHeight="1" thickBot="1" x14ac:dyDescent="0.3">
      <c r="A1738" s="9"/>
    </row>
    <row r="1739" spans="1:1" ht="15.75" customHeight="1" thickBot="1" x14ac:dyDescent="0.3">
      <c r="A1739" s="9"/>
    </row>
    <row r="1740" spans="1:1" ht="15.75" customHeight="1" thickBot="1" x14ac:dyDescent="0.3">
      <c r="A1740" s="9"/>
    </row>
    <row r="1741" spans="1:1" ht="15.75" customHeight="1" thickBot="1" x14ac:dyDescent="0.3">
      <c r="A1741" s="9"/>
    </row>
    <row r="1742" spans="1:1" ht="15.75" customHeight="1" thickBot="1" x14ac:dyDescent="0.3">
      <c r="A1742" s="9"/>
    </row>
    <row r="1743" spans="1:1" ht="15.75" customHeight="1" thickBot="1" x14ac:dyDescent="0.3">
      <c r="A1743" s="9"/>
    </row>
    <row r="1744" spans="1:1" ht="15.75" customHeight="1" thickBot="1" x14ac:dyDescent="0.3">
      <c r="A1744" s="9"/>
    </row>
    <row r="1745" spans="1:1" ht="15.75" customHeight="1" thickBot="1" x14ac:dyDescent="0.3">
      <c r="A1745" s="9"/>
    </row>
    <row r="1746" spans="1:1" ht="15.75" customHeight="1" thickBot="1" x14ac:dyDescent="0.3">
      <c r="A1746" s="9"/>
    </row>
    <row r="1747" spans="1:1" ht="15.75" customHeight="1" thickBot="1" x14ac:dyDescent="0.3">
      <c r="A1747" s="9"/>
    </row>
    <row r="1748" spans="1:1" ht="15.75" customHeight="1" thickBot="1" x14ac:dyDescent="0.3">
      <c r="A1748" s="9"/>
    </row>
    <row r="1749" spans="1:1" ht="15.75" customHeight="1" thickBot="1" x14ac:dyDescent="0.3">
      <c r="A1749" s="9"/>
    </row>
    <row r="1750" spans="1:1" ht="15.75" customHeight="1" thickBot="1" x14ac:dyDescent="0.3">
      <c r="A1750" s="9"/>
    </row>
    <row r="1751" spans="1:1" ht="15.75" customHeight="1" thickBot="1" x14ac:dyDescent="0.3">
      <c r="A1751" s="9"/>
    </row>
    <row r="1752" spans="1:1" ht="15.75" customHeight="1" thickBot="1" x14ac:dyDescent="0.3">
      <c r="A1752" s="9"/>
    </row>
    <row r="1753" spans="1:1" ht="15.75" customHeight="1" thickBot="1" x14ac:dyDescent="0.3">
      <c r="A1753" s="9"/>
    </row>
    <row r="1754" spans="1:1" ht="15.75" customHeight="1" thickBot="1" x14ac:dyDescent="0.3">
      <c r="A1754" s="9"/>
    </row>
    <row r="1755" spans="1:1" ht="15.75" customHeight="1" thickBot="1" x14ac:dyDescent="0.3">
      <c r="A1755" s="9"/>
    </row>
    <row r="1756" spans="1:1" ht="15.75" customHeight="1" thickBot="1" x14ac:dyDescent="0.3">
      <c r="A1756" s="9"/>
    </row>
    <row r="1757" spans="1:1" ht="15.75" customHeight="1" thickBot="1" x14ac:dyDescent="0.3">
      <c r="A1757" s="9"/>
    </row>
    <row r="1758" spans="1:1" ht="15.75" customHeight="1" thickBot="1" x14ac:dyDescent="0.3">
      <c r="A1758" s="9"/>
    </row>
    <row r="1759" spans="1:1" ht="15.75" customHeight="1" thickBot="1" x14ac:dyDescent="0.3">
      <c r="A1759" s="9"/>
    </row>
    <row r="1760" spans="1:1" ht="15.75" customHeight="1" thickBot="1" x14ac:dyDescent="0.3">
      <c r="A1760" s="9"/>
    </row>
    <row r="1761" spans="1:1" ht="15.75" customHeight="1" thickBot="1" x14ac:dyDescent="0.3">
      <c r="A1761" s="9"/>
    </row>
    <row r="1762" spans="1:1" ht="15.75" customHeight="1" thickBot="1" x14ac:dyDescent="0.3">
      <c r="A1762" s="9"/>
    </row>
    <row r="1763" spans="1:1" ht="15.75" customHeight="1" thickBot="1" x14ac:dyDescent="0.3">
      <c r="A1763" s="9"/>
    </row>
    <row r="1764" spans="1:1" ht="15.75" customHeight="1" thickBot="1" x14ac:dyDescent="0.3">
      <c r="A1764" s="9"/>
    </row>
    <row r="1765" spans="1:1" ht="15.75" customHeight="1" thickBot="1" x14ac:dyDescent="0.3">
      <c r="A1765" s="9"/>
    </row>
    <row r="1766" spans="1:1" ht="15.75" customHeight="1" thickBot="1" x14ac:dyDescent="0.3">
      <c r="A1766" s="9"/>
    </row>
    <row r="1767" spans="1:1" ht="15.75" customHeight="1" thickBot="1" x14ac:dyDescent="0.3">
      <c r="A1767" s="9"/>
    </row>
    <row r="1768" spans="1:1" ht="15.75" customHeight="1" thickBot="1" x14ac:dyDescent="0.3">
      <c r="A1768" s="9"/>
    </row>
    <row r="1769" spans="1:1" ht="15.75" customHeight="1" thickBot="1" x14ac:dyDescent="0.3">
      <c r="A1769" s="9"/>
    </row>
    <row r="1770" spans="1:1" ht="15.75" customHeight="1" thickBot="1" x14ac:dyDescent="0.3">
      <c r="A1770" s="9"/>
    </row>
    <row r="1771" spans="1:1" ht="15.75" customHeight="1" thickBot="1" x14ac:dyDescent="0.3">
      <c r="A1771" s="9"/>
    </row>
    <row r="1772" spans="1:1" ht="15.75" customHeight="1" thickBot="1" x14ac:dyDescent="0.3">
      <c r="A1772" s="9"/>
    </row>
    <row r="1773" spans="1:1" ht="15.75" customHeight="1" thickBot="1" x14ac:dyDescent="0.3">
      <c r="A1773" s="9"/>
    </row>
    <row r="1774" spans="1:1" ht="15.75" customHeight="1" thickBot="1" x14ac:dyDescent="0.3">
      <c r="A1774" s="9"/>
    </row>
    <row r="1775" spans="1:1" ht="15.75" customHeight="1" thickBot="1" x14ac:dyDescent="0.3">
      <c r="A1775" s="9"/>
    </row>
    <row r="1776" spans="1:1" ht="15.75" customHeight="1" thickBot="1" x14ac:dyDescent="0.3">
      <c r="A1776" s="9"/>
    </row>
    <row r="1777" spans="1:1" ht="15.75" customHeight="1" thickBot="1" x14ac:dyDescent="0.3">
      <c r="A1777" s="9"/>
    </row>
    <row r="1778" spans="1:1" ht="15.75" customHeight="1" thickBot="1" x14ac:dyDescent="0.3">
      <c r="A1778" s="9"/>
    </row>
    <row r="1779" spans="1:1" ht="15.75" customHeight="1" thickBot="1" x14ac:dyDescent="0.3">
      <c r="A1779" s="9"/>
    </row>
    <row r="1780" spans="1:1" ht="15.75" customHeight="1" thickBot="1" x14ac:dyDescent="0.3">
      <c r="A1780" s="9"/>
    </row>
    <row r="1781" spans="1:1" ht="15.75" customHeight="1" thickBot="1" x14ac:dyDescent="0.3">
      <c r="A1781" s="9"/>
    </row>
    <row r="1782" spans="1:1" ht="15.75" customHeight="1" thickBot="1" x14ac:dyDescent="0.3">
      <c r="A1782" s="9"/>
    </row>
    <row r="1783" spans="1:1" ht="15.75" customHeight="1" thickBot="1" x14ac:dyDescent="0.3">
      <c r="A1783" s="9"/>
    </row>
    <row r="1784" spans="1:1" ht="15.75" customHeight="1" thickBot="1" x14ac:dyDescent="0.3">
      <c r="A1784" s="9"/>
    </row>
    <row r="1785" spans="1:1" ht="15.75" customHeight="1" thickBot="1" x14ac:dyDescent="0.3">
      <c r="A1785" s="9"/>
    </row>
    <row r="1786" spans="1:1" ht="15.75" customHeight="1" thickBot="1" x14ac:dyDescent="0.3">
      <c r="A1786" s="9"/>
    </row>
    <row r="1787" spans="1:1" ht="15.75" customHeight="1" thickBot="1" x14ac:dyDescent="0.3">
      <c r="A1787" s="9"/>
    </row>
    <row r="1788" spans="1:1" ht="15.75" customHeight="1" thickBot="1" x14ac:dyDescent="0.3">
      <c r="A1788" s="9"/>
    </row>
    <row r="1789" spans="1:1" ht="15.75" customHeight="1" thickBot="1" x14ac:dyDescent="0.3">
      <c r="A1789" s="9"/>
    </row>
    <row r="1790" spans="1:1" ht="15.75" customHeight="1" thickBot="1" x14ac:dyDescent="0.3">
      <c r="A1790" s="9"/>
    </row>
    <row r="1791" spans="1:1" ht="15.75" customHeight="1" thickBot="1" x14ac:dyDescent="0.3">
      <c r="A1791" s="9"/>
    </row>
    <row r="1792" spans="1:1" ht="15.75" customHeight="1" thickBot="1" x14ac:dyDescent="0.3">
      <c r="A1792" s="9"/>
    </row>
    <row r="1793" spans="1:1" ht="15.75" customHeight="1" thickBot="1" x14ac:dyDescent="0.3">
      <c r="A1793" s="9"/>
    </row>
    <row r="1794" spans="1:1" ht="15.75" customHeight="1" thickBot="1" x14ac:dyDescent="0.3">
      <c r="A1794" s="9"/>
    </row>
    <row r="1795" spans="1:1" ht="15.75" customHeight="1" thickBot="1" x14ac:dyDescent="0.3">
      <c r="A1795" s="9"/>
    </row>
    <row r="1796" spans="1:1" ht="15.75" customHeight="1" thickBot="1" x14ac:dyDescent="0.3">
      <c r="A1796" s="9"/>
    </row>
    <row r="1797" spans="1:1" ht="15.75" customHeight="1" thickBot="1" x14ac:dyDescent="0.3">
      <c r="A1797" s="9"/>
    </row>
    <row r="1798" spans="1:1" ht="15.75" customHeight="1" thickBot="1" x14ac:dyDescent="0.3">
      <c r="A1798" s="9"/>
    </row>
    <row r="1799" spans="1:1" ht="15.75" customHeight="1" thickBot="1" x14ac:dyDescent="0.3">
      <c r="A1799" s="9"/>
    </row>
    <row r="1800" spans="1:1" ht="15.75" customHeight="1" thickBot="1" x14ac:dyDescent="0.3">
      <c r="A1800" s="9"/>
    </row>
    <row r="1801" spans="1:1" ht="15.75" customHeight="1" thickBot="1" x14ac:dyDescent="0.3">
      <c r="A1801" s="9"/>
    </row>
    <row r="1802" spans="1:1" ht="15.75" customHeight="1" thickBot="1" x14ac:dyDescent="0.3">
      <c r="A1802" s="9"/>
    </row>
    <row r="1803" spans="1:1" ht="15.75" customHeight="1" thickBot="1" x14ac:dyDescent="0.3">
      <c r="A1803" s="9"/>
    </row>
    <row r="1804" spans="1:1" ht="15.75" customHeight="1" thickBot="1" x14ac:dyDescent="0.3">
      <c r="A1804" s="9"/>
    </row>
    <row r="1805" spans="1:1" ht="15.75" customHeight="1" thickBot="1" x14ac:dyDescent="0.3">
      <c r="A1805" s="9"/>
    </row>
    <row r="1806" spans="1:1" ht="15.75" customHeight="1" thickBot="1" x14ac:dyDescent="0.3">
      <c r="A1806" s="9"/>
    </row>
    <row r="1807" spans="1:1" ht="15.75" customHeight="1" thickBot="1" x14ac:dyDescent="0.3">
      <c r="A1807" s="9"/>
    </row>
    <row r="1808" spans="1:1" ht="15.75" customHeight="1" thickBot="1" x14ac:dyDescent="0.3">
      <c r="A1808" s="9"/>
    </row>
    <row r="1809" spans="1:1" ht="15.75" customHeight="1" thickBot="1" x14ac:dyDescent="0.3">
      <c r="A1809" s="9"/>
    </row>
    <row r="1810" spans="1:1" ht="15.75" customHeight="1" thickBot="1" x14ac:dyDescent="0.3">
      <c r="A1810" s="9"/>
    </row>
    <row r="1811" spans="1:1" ht="15.75" customHeight="1" thickBot="1" x14ac:dyDescent="0.3">
      <c r="A1811" s="9"/>
    </row>
    <row r="1812" spans="1:1" ht="15.75" customHeight="1" thickBot="1" x14ac:dyDescent="0.3">
      <c r="A1812" s="9"/>
    </row>
    <row r="1813" spans="1:1" ht="15.75" customHeight="1" thickBot="1" x14ac:dyDescent="0.3">
      <c r="A1813" s="9"/>
    </row>
    <row r="1814" spans="1:1" ht="15.75" customHeight="1" thickBot="1" x14ac:dyDescent="0.3">
      <c r="A1814" s="9"/>
    </row>
    <row r="1815" spans="1:1" ht="15.75" customHeight="1" thickBot="1" x14ac:dyDescent="0.3">
      <c r="A1815" s="9"/>
    </row>
    <row r="1816" spans="1:1" ht="15.75" customHeight="1" thickBot="1" x14ac:dyDescent="0.3">
      <c r="A1816" s="9"/>
    </row>
    <row r="1817" spans="1:1" ht="15.75" customHeight="1" thickBot="1" x14ac:dyDescent="0.3">
      <c r="A1817" s="9"/>
    </row>
    <row r="1818" spans="1:1" ht="15.75" customHeight="1" thickBot="1" x14ac:dyDescent="0.3">
      <c r="A1818" s="9"/>
    </row>
    <row r="1819" spans="1:1" ht="15.75" customHeight="1" thickBot="1" x14ac:dyDescent="0.3">
      <c r="A1819" s="9"/>
    </row>
    <row r="1820" spans="1:1" ht="15.75" customHeight="1" thickBot="1" x14ac:dyDescent="0.3">
      <c r="A1820" s="9"/>
    </row>
    <row r="1821" spans="1:1" ht="15.75" customHeight="1" thickBot="1" x14ac:dyDescent="0.3">
      <c r="A1821" s="9"/>
    </row>
    <row r="1822" spans="1:1" ht="15.75" customHeight="1" thickBot="1" x14ac:dyDescent="0.3">
      <c r="A1822" s="9"/>
    </row>
    <row r="1823" spans="1:1" ht="15.75" customHeight="1" thickBot="1" x14ac:dyDescent="0.3">
      <c r="A1823" s="9"/>
    </row>
    <row r="1824" spans="1:1" ht="15.75" customHeight="1" thickBot="1" x14ac:dyDescent="0.3">
      <c r="A1824" s="9"/>
    </row>
    <row r="1825" spans="1:1" ht="15.75" customHeight="1" thickBot="1" x14ac:dyDescent="0.3">
      <c r="A1825" s="9"/>
    </row>
    <row r="1826" spans="1:1" ht="15.75" customHeight="1" thickBot="1" x14ac:dyDescent="0.3">
      <c r="A1826" s="9"/>
    </row>
    <row r="1827" spans="1:1" ht="15.75" customHeight="1" thickBot="1" x14ac:dyDescent="0.3">
      <c r="A1827" s="9"/>
    </row>
    <row r="1828" spans="1:1" ht="15.75" customHeight="1" thickBot="1" x14ac:dyDescent="0.3">
      <c r="A1828" s="9"/>
    </row>
    <row r="1829" spans="1:1" ht="15.75" customHeight="1" thickBot="1" x14ac:dyDescent="0.3">
      <c r="A1829" s="9"/>
    </row>
    <row r="1830" spans="1:1" ht="15.75" customHeight="1" thickBot="1" x14ac:dyDescent="0.3">
      <c r="A1830" s="9"/>
    </row>
    <row r="1831" spans="1:1" ht="15.75" customHeight="1" thickBot="1" x14ac:dyDescent="0.3">
      <c r="A1831" s="9"/>
    </row>
    <row r="1832" spans="1:1" ht="15.75" customHeight="1" thickBot="1" x14ac:dyDescent="0.3">
      <c r="A1832" s="9"/>
    </row>
    <row r="1833" spans="1:1" ht="15.75" customHeight="1" thickBot="1" x14ac:dyDescent="0.3">
      <c r="A1833" s="9"/>
    </row>
    <row r="1834" spans="1:1" ht="15.75" customHeight="1" thickBot="1" x14ac:dyDescent="0.3">
      <c r="A1834" s="9"/>
    </row>
    <row r="1835" spans="1:1" ht="15.75" customHeight="1" thickBot="1" x14ac:dyDescent="0.3">
      <c r="A1835" s="9"/>
    </row>
    <row r="1836" spans="1:1" ht="15.75" customHeight="1" thickBot="1" x14ac:dyDescent="0.3">
      <c r="A1836" s="9"/>
    </row>
    <row r="1837" spans="1:1" ht="15.75" customHeight="1" thickBot="1" x14ac:dyDescent="0.3">
      <c r="A1837" s="9"/>
    </row>
    <row r="1838" spans="1:1" ht="15.75" customHeight="1" thickBot="1" x14ac:dyDescent="0.3">
      <c r="A1838" s="9"/>
    </row>
    <row r="1839" spans="1:1" ht="15.75" customHeight="1" thickBot="1" x14ac:dyDescent="0.3">
      <c r="A1839" s="9"/>
    </row>
    <row r="1840" spans="1:1" ht="15.75" customHeight="1" thickBot="1" x14ac:dyDescent="0.3">
      <c r="A1840" s="9"/>
    </row>
    <row r="1841" spans="1:1" ht="15.75" customHeight="1" thickBot="1" x14ac:dyDescent="0.3">
      <c r="A1841" s="9"/>
    </row>
    <row r="1842" spans="1:1" ht="15.75" customHeight="1" thickBot="1" x14ac:dyDescent="0.3">
      <c r="A1842" s="9"/>
    </row>
    <row r="1843" spans="1:1" ht="15.75" customHeight="1" thickBot="1" x14ac:dyDescent="0.3">
      <c r="A1843" s="9"/>
    </row>
    <row r="1844" spans="1:1" ht="15.75" customHeight="1" thickBot="1" x14ac:dyDescent="0.3">
      <c r="A1844" s="9"/>
    </row>
    <row r="1845" spans="1:1" ht="15.75" customHeight="1" thickBot="1" x14ac:dyDescent="0.3">
      <c r="A1845" s="9"/>
    </row>
    <row r="1846" spans="1:1" ht="15.75" customHeight="1" thickBot="1" x14ac:dyDescent="0.3">
      <c r="A1846" s="9"/>
    </row>
    <row r="1847" spans="1:1" ht="15.75" customHeight="1" thickBot="1" x14ac:dyDescent="0.3">
      <c r="A1847" s="9"/>
    </row>
    <row r="1848" spans="1:1" ht="15.75" customHeight="1" thickBot="1" x14ac:dyDescent="0.3">
      <c r="A1848" s="9"/>
    </row>
    <row r="1849" spans="1:1" ht="15.75" customHeight="1" thickBot="1" x14ac:dyDescent="0.3">
      <c r="A1849" s="9"/>
    </row>
    <row r="1850" spans="1:1" ht="15.75" customHeight="1" thickBot="1" x14ac:dyDescent="0.3">
      <c r="A1850" s="9"/>
    </row>
    <row r="1851" spans="1:1" ht="15.75" customHeight="1" thickBot="1" x14ac:dyDescent="0.3">
      <c r="A1851" s="9"/>
    </row>
    <row r="1852" spans="1:1" ht="15.75" customHeight="1" thickBot="1" x14ac:dyDescent="0.3">
      <c r="A1852" s="9"/>
    </row>
    <row r="1853" spans="1:1" ht="15.75" customHeight="1" thickBot="1" x14ac:dyDescent="0.3">
      <c r="A1853" s="9"/>
    </row>
    <row r="1854" spans="1:1" ht="15.75" customHeight="1" thickBot="1" x14ac:dyDescent="0.3">
      <c r="A1854" s="9"/>
    </row>
    <row r="1855" spans="1:1" ht="15.75" customHeight="1" thickBot="1" x14ac:dyDescent="0.3">
      <c r="A1855" s="9"/>
    </row>
    <row r="1856" spans="1:1" ht="15.75" customHeight="1" thickBot="1" x14ac:dyDescent="0.3">
      <c r="A1856" s="9"/>
    </row>
    <row r="1857" spans="1:1" ht="15.75" customHeight="1" thickBot="1" x14ac:dyDescent="0.3">
      <c r="A1857" s="9"/>
    </row>
    <row r="1858" spans="1:1" ht="15.75" customHeight="1" thickBot="1" x14ac:dyDescent="0.3">
      <c r="A1858" s="9"/>
    </row>
    <row r="1859" spans="1:1" ht="15.75" customHeight="1" thickBot="1" x14ac:dyDescent="0.3">
      <c r="A1859" s="9"/>
    </row>
    <row r="1860" spans="1:1" ht="15.75" customHeight="1" thickBot="1" x14ac:dyDescent="0.3">
      <c r="A1860" s="9"/>
    </row>
    <row r="1861" spans="1:1" ht="15.75" customHeight="1" thickBot="1" x14ac:dyDescent="0.3">
      <c r="A1861" s="9"/>
    </row>
    <row r="1862" spans="1:1" ht="15.75" customHeight="1" thickBot="1" x14ac:dyDescent="0.3">
      <c r="A1862" s="9"/>
    </row>
    <row r="1863" spans="1:1" ht="15.75" customHeight="1" thickBot="1" x14ac:dyDescent="0.3">
      <c r="A1863" s="9"/>
    </row>
    <row r="1864" spans="1:1" ht="15.75" customHeight="1" thickBot="1" x14ac:dyDescent="0.3">
      <c r="A1864" s="9"/>
    </row>
    <row r="1865" spans="1:1" ht="15.75" customHeight="1" thickBot="1" x14ac:dyDescent="0.3">
      <c r="A1865" s="9"/>
    </row>
    <row r="1866" spans="1:1" ht="15.75" customHeight="1" thickBot="1" x14ac:dyDescent="0.3">
      <c r="A1866" s="9"/>
    </row>
    <row r="1867" spans="1:1" ht="15.75" customHeight="1" thickBot="1" x14ac:dyDescent="0.3">
      <c r="A1867" s="9"/>
    </row>
    <row r="1868" spans="1:1" ht="15.75" customHeight="1" thickBot="1" x14ac:dyDescent="0.3">
      <c r="A1868" s="9"/>
    </row>
    <row r="1869" spans="1:1" ht="15.75" customHeight="1" thickBot="1" x14ac:dyDescent="0.3">
      <c r="A1869" s="9"/>
    </row>
    <row r="1870" spans="1:1" ht="15.75" customHeight="1" thickBot="1" x14ac:dyDescent="0.3">
      <c r="A1870" s="9"/>
    </row>
    <row r="1871" spans="1:1" ht="15.75" customHeight="1" thickBot="1" x14ac:dyDescent="0.3">
      <c r="A1871" s="9"/>
    </row>
    <row r="1872" spans="1:1" ht="15.75" customHeight="1" thickBot="1" x14ac:dyDescent="0.3">
      <c r="A1872" s="9"/>
    </row>
    <row r="1873" spans="1:1" ht="15.75" customHeight="1" thickBot="1" x14ac:dyDescent="0.3">
      <c r="A1873" s="9"/>
    </row>
    <row r="1874" spans="1:1" ht="15.75" customHeight="1" thickBot="1" x14ac:dyDescent="0.3">
      <c r="A1874" s="9"/>
    </row>
    <row r="1875" spans="1:1" ht="15.75" customHeight="1" thickBot="1" x14ac:dyDescent="0.3">
      <c r="A1875" s="9"/>
    </row>
    <row r="1876" spans="1:1" ht="15.75" customHeight="1" thickBot="1" x14ac:dyDescent="0.3">
      <c r="A1876" s="9"/>
    </row>
    <row r="1877" spans="1:1" ht="15.75" customHeight="1" thickBot="1" x14ac:dyDescent="0.3">
      <c r="A1877" s="9"/>
    </row>
    <row r="1878" spans="1:1" ht="15.75" customHeight="1" thickBot="1" x14ac:dyDescent="0.3">
      <c r="A1878" s="9"/>
    </row>
    <row r="1879" spans="1:1" ht="15.75" customHeight="1" thickBot="1" x14ac:dyDescent="0.3">
      <c r="A1879" s="9"/>
    </row>
    <row r="1880" spans="1:1" ht="15.75" customHeight="1" thickBot="1" x14ac:dyDescent="0.3">
      <c r="A1880" s="9"/>
    </row>
    <row r="1881" spans="1:1" ht="15.75" customHeight="1" thickBot="1" x14ac:dyDescent="0.3">
      <c r="A1881" s="9"/>
    </row>
    <row r="1882" spans="1:1" ht="15.75" customHeight="1" thickBot="1" x14ac:dyDescent="0.3">
      <c r="A1882" s="9"/>
    </row>
    <row r="1883" spans="1:1" ht="15.75" customHeight="1" thickBot="1" x14ac:dyDescent="0.3">
      <c r="A1883" s="9"/>
    </row>
    <row r="1884" spans="1:1" ht="15.75" customHeight="1" thickBot="1" x14ac:dyDescent="0.3">
      <c r="A1884" s="9"/>
    </row>
    <row r="1885" spans="1:1" ht="15.75" customHeight="1" thickBot="1" x14ac:dyDescent="0.3">
      <c r="A1885" s="9"/>
    </row>
    <row r="1886" spans="1:1" ht="15.75" customHeight="1" thickBot="1" x14ac:dyDescent="0.3">
      <c r="A1886" s="9"/>
    </row>
    <row r="1887" spans="1:1" ht="15.75" customHeight="1" thickBot="1" x14ac:dyDescent="0.3">
      <c r="A1887" s="9"/>
    </row>
    <row r="1888" spans="1:1" ht="15.75" customHeight="1" thickBot="1" x14ac:dyDescent="0.3">
      <c r="A1888" s="9"/>
    </row>
    <row r="1889" spans="1:1" ht="15.75" customHeight="1" thickBot="1" x14ac:dyDescent="0.3">
      <c r="A1889" s="9"/>
    </row>
    <row r="1890" spans="1:1" ht="15.75" customHeight="1" thickBot="1" x14ac:dyDescent="0.3">
      <c r="A1890" s="9"/>
    </row>
    <row r="1891" spans="1:1" ht="15.75" customHeight="1" thickBot="1" x14ac:dyDescent="0.3">
      <c r="A1891" s="9"/>
    </row>
    <row r="1892" spans="1:1" ht="15.75" customHeight="1" thickBot="1" x14ac:dyDescent="0.3">
      <c r="A1892" s="9"/>
    </row>
    <row r="1893" spans="1:1" ht="15.75" customHeight="1" thickBot="1" x14ac:dyDescent="0.3">
      <c r="A1893" s="9"/>
    </row>
    <row r="1894" spans="1:1" ht="15.75" customHeight="1" thickBot="1" x14ac:dyDescent="0.3">
      <c r="A1894" s="9"/>
    </row>
    <row r="1895" spans="1:1" ht="15.75" customHeight="1" thickBot="1" x14ac:dyDescent="0.3">
      <c r="A1895" s="9"/>
    </row>
    <row r="1896" spans="1:1" ht="15.75" customHeight="1" thickBot="1" x14ac:dyDescent="0.3">
      <c r="A1896" s="9"/>
    </row>
    <row r="1897" spans="1:1" ht="15.75" customHeight="1" thickBot="1" x14ac:dyDescent="0.3">
      <c r="A1897" s="9"/>
    </row>
    <row r="1898" spans="1:1" ht="15.75" customHeight="1" thickBot="1" x14ac:dyDescent="0.3">
      <c r="A1898" s="9"/>
    </row>
    <row r="1899" spans="1:1" ht="15.75" customHeight="1" thickBot="1" x14ac:dyDescent="0.3">
      <c r="A1899" s="9"/>
    </row>
    <row r="1900" spans="1:1" ht="15.75" customHeight="1" thickBot="1" x14ac:dyDescent="0.3">
      <c r="A1900" s="9"/>
    </row>
    <row r="1901" spans="1:1" ht="15.75" customHeight="1" thickBot="1" x14ac:dyDescent="0.3">
      <c r="A1901" s="9"/>
    </row>
    <row r="1902" spans="1:1" ht="15.75" customHeight="1" thickBot="1" x14ac:dyDescent="0.3">
      <c r="A1902" s="9"/>
    </row>
    <row r="1903" spans="1:1" ht="15.75" customHeight="1" thickBot="1" x14ac:dyDescent="0.3">
      <c r="A1903" s="9"/>
    </row>
    <row r="1904" spans="1:1" ht="15.75" customHeight="1" thickBot="1" x14ac:dyDescent="0.3">
      <c r="A1904" s="9"/>
    </row>
    <row r="1905" spans="1:1" ht="15.75" customHeight="1" thickBot="1" x14ac:dyDescent="0.3">
      <c r="A1905" s="9"/>
    </row>
    <row r="1906" spans="1:1" ht="15.75" customHeight="1" thickBot="1" x14ac:dyDescent="0.3">
      <c r="A1906" s="9"/>
    </row>
    <row r="1907" spans="1:1" ht="15.75" customHeight="1" thickBot="1" x14ac:dyDescent="0.3">
      <c r="A1907" s="9"/>
    </row>
    <row r="1908" spans="1:1" ht="15.75" customHeight="1" thickBot="1" x14ac:dyDescent="0.3">
      <c r="A1908" s="9"/>
    </row>
    <row r="1909" spans="1:1" ht="15.75" customHeight="1" thickBot="1" x14ac:dyDescent="0.3">
      <c r="A1909" s="9"/>
    </row>
    <row r="1910" spans="1:1" ht="15.75" customHeight="1" thickBot="1" x14ac:dyDescent="0.3">
      <c r="A1910" s="9"/>
    </row>
    <row r="1911" spans="1:1" ht="15.75" customHeight="1" thickBot="1" x14ac:dyDescent="0.3">
      <c r="A1911" s="9"/>
    </row>
    <row r="1912" spans="1:1" ht="15.75" customHeight="1" thickBot="1" x14ac:dyDescent="0.3">
      <c r="A1912" s="9"/>
    </row>
    <row r="1913" spans="1:1" ht="15.75" customHeight="1" thickBot="1" x14ac:dyDescent="0.3">
      <c r="A1913" s="9"/>
    </row>
    <row r="1914" spans="1:1" ht="15.75" customHeight="1" thickBot="1" x14ac:dyDescent="0.3">
      <c r="A1914" s="9"/>
    </row>
    <row r="1915" spans="1:1" ht="15.75" customHeight="1" thickBot="1" x14ac:dyDescent="0.3">
      <c r="A1915" s="9"/>
    </row>
    <row r="1916" spans="1:1" ht="15.75" customHeight="1" thickBot="1" x14ac:dyDescent="0.3">
      <c r="A1916" s="9"/>
    </row>
    <row r="1917" spans="1:1" ht="15.75" customHeight="1" thickBot="1" x14ac:dyDescent="0.3">
      <c r="A1917" s="9"/>
    </row>
    <row r="1918" spans="1:1" ht="15.75" customHeight="1" thickBot="1" x14ac:dyDescent="0.3">
      <c r="A1918" s="9"/>
    </row>
    <row r="1919" spans="1:1" ht="15.75" customHeight="1" thickBot="1" x14ac:dyDescent="0.3">
      <c r="A1919" s="9"/>
    </row>
    <row r="1920" spans="1:1" ht="15.75" customHeight="1" thickBot="1" x14ac:dyDescent="0.3">
      <c r="A1920" s="9"/>
    </row>
    <row r="1921" spans="1:1" ht="15.75" customHeight="1" thickBot="1" x14ac:dyDescent="0.3">
      <c r="A1921" s="9"/>
    </row>
    <row r="1922" spans="1:1" ht="15.75" customHeight="1" thickBot="1" x14ac:dyDescent="0.3">
      <c r="A1922" s="9"/>
    </row>
    <row r="1923" spans="1:1" ht="15.75" customHeight="1" thickBot="1" x14ac:dyDescent="0.3">
      <c r="A1923" s="9"/>
    </row>
    <row r="1924" spans="1:1" ht="15.75" customHeight="1" thickBot="1" x14ac:dyDescent="0.3">
      <c r="A1924" s="9"/>
    </row>
    <row r="1925" spans="1:1" ht="15.75" customHeight="1" thickBot="1" x14ac:dyDescent="0.3">
      <c r="A1925" s="9"/>
    </row>
    <row r="1926" spans="1:1" ht="15.75" customHeight="1" thickBot="1" x14ac:dyDescent="0.3">
      <c r="A1926" s="9"/>
    </row>
    <row r="1927" spans="1:1" ht="15.75" customHeight="1" thickBot="1" x14ac:dyDescent="0.3">
      <c r="A1927" s="9"/>
    </row>
    <row r="1928" spans="1:1" ht="15.75" customHeight="1" thickBot="1" x14ac:dyDescent="0.3">
      <c r="A1928" s="9"/>
    </row>
    <row r="1929" spans="1:1" ht="15.75" customHeight="1" thickBot="1" x14ac:dyDescent="0.3">
      <c r="A1929" s="9"/>
    </row>
    <row r="1930" spans="1:1" ht="15.75" customHeight="1" thickBot="1" x14ac:dyDescent="0.3">
      <c r="A1930" s="9"/>
    </row>
    <row r="1931" spans="1:1" ht="15.75" customHeight="1" thickBot="1" x14ac:dyDescent="0.3">
      <c r="A1931" s="9"/>
    </row>
    <row r="1932" spans="1:1" ht="15.75" customHeight="1" thickBot="1" x14ac:dyDescent="0.3">
      <c r="A1932" s="9"/>
    </row>
    <row r="1933" spans="1:1" ht="15.75" customHeight="1" thickBot="1" x14ac:dyDescent="0.3">
      <c r="A1933" s="9"/>
    </row>
    <row r="1934" spans="1:1" ht="15.75" customHeight="1" thickBot="1" x14ac:dyDescent="0.3">
      <c r="A1934" s="9"/>
    </row>
    <row r="1935" spans="1:1" ht="15.75" customHeight="1" thickBot="1" x14ac:dyDescent="0.3">
      <c r="A1935" s="9"/>
    </row>
    <row r="1936" spans="1:1" ht="15.75" customHeight="1" thickBot="1" x14ac:dyDescent="0.3">
      <c r="A1936" s="9"/>
    </row>
    <row r="1937" spans="1:1" ht="15.75" customHeight="1" thickBot="1" x14ac:dyDescent="0.3">
      <c r="A1937" s="9"/>
    </row>
    <row r="1938" spans="1:1" ht="15.75" customHeight="1" thickBot="1" x14ac:dyDescent="0.3">
      <c r="A1938" s="9"/>
    </row>
    <row r="1939" spans="1:1" ht="15.75" customHeight="1" thickBot="1" x14ac:dyDescent="0.3">
      <c r="A1939" s="9"/>
    </row>
    <row r="1940" spans="1:1" ht="15.75" customHeight="1" thickBot="1" x14ac:dyDescent="0.3">
      <c r="A1940" s="9"/>
    </row>
    <row r="1941" spans="1:1" ht="15.75" customHeight="1" thickBot="1" x14ac:dyDescent="0.3">
      <c r="A1941" s="9"/>
    </row>
    <row r="1942" spans="1:1" ht="15.75" customHeight="1" thickBot="1" x14ac:dyDescent="0.3">
      <c r="A1942" s="9"/>
    </row>
    <row r="1943" spans="1:1" ht="15.75" customHeight="1" thickBot="1" x14ac:dyDescent="0.3">
      <c r="A1943" s="9"/>
    </row>
    <row r="1944" spans="1:1" ht="15.75" customHeight="1" thickBot="1" x14ac:dyDescent="0.3">
      <c r="A1944" s="9"/>
    </row>
    <row r="1945" spans="1:1" ht="15.75" customHeight="1" thickBot="1" x14ac:dyDescent="0.3">
      <c r="A1945" s="9"/>
    </row>
    <row r="1946" spans="1:1" ht="15.75" customHeight="1" thickBot="1" x14ac:dyDescent="0.3">
      <c r="A1946" s="9"/>
    </row>
    <row r="1947" spans="1:1" ht="15.75" customHeight="1" thickBot="1" x14ac:dyDescent="0.3">
      <c r="A1947" s="9"/>
    </row>
    <row r="1948" spans="1:1" ht="15.75" customHeight="1" thickBot="1" x14ac:dyDescent="0.3">
      <c r="A1948" s="9"/>
    </row>
    <row r="1949" spans="1:1" ht="15.75" customHeight="1" thickBot="1" x14ac:dyDescent="0.3">
      <c r="A1949" s="9"/>
    </row>
    <row r="1950" spans="1:1" ht="15.75" customHeight="1" thickBot="1" x14ac:dyDescent="0.3">
      <c r="A1950" s="9"/>
    </row>
    <row r="1951" spans="1:1" ht="15.75" customHeight="1" thickBot="1" x14ac:dyDescent="0.3">
      <c r="A1951" s="9"/>
    </row>
    <row r="1952" spans="1:1" ht="15.75" customHeight="1" thickBot="1" x14ac:dyDescent="0.3">
      <c r="A1952" s="9"/>
    </row>
    <row r="1953" spans="1:1" ht="15.75" customHeight="1" thickBot="1" x14ac:dyDescent="0.3">
      <c r="A1953" s="9"/>
    </row>
    <row r="1954" spans="1:1" ht="15.75" customHeight="1" thickBot="1" x14ac:dyDescent="0.3">
      <c r="A1954" s="9"/>
    </row>
    <row r="1955" spans="1:1" ht="15.75" customHeight="1" thickBot="1" x14ac:dyDescent="0.3">
      <c r="A1955" s="9"/>
    </row>
    <row r="1956" spans="1:1" ht="15.75" customHeight="1" thickBot="1" x14ac:dyDescent="0.3">
      <c r="A1956" s="9"/>
    </row>
    <row r="1957" spans="1:1" ht="15.75" customHeight="1" thickBot="1" x14ac:dyDescent="0.3">
      <c r="A1957" s="9"/>
    </row>
    <row r="1958" spans="1:1" ht="15.75" customHeight="1" thickBot="1" x14ac:dyDescent="0.3">
      <c r="A1958" s="9"/>
    </row>
    <row r="1959" spans="1:1" ht="15.75" customHeight="1" thickBot="1" x14ac:dyDescent="0.3">
      <c r="A1959" s="9"/>
    </row>
    <row r="1960" spans="1:1" ht="15.75" customHeight="1" thickBot="1" x14ac:dyDescent="0.3">
      <c r="A1960" s="9"/>
    </row>
    <row r="1961" spans="1:1" ht="15.75" customHeight="1" thickBot="1" x14ac:dyDescent="0.3">
      <c r="A1961" s="9"/>
    </row>
    <row r="1962" spans="1:1" ht="15.75" customHeight="1" thickBot="1" x14ac:dyDescent="0.3">
      <c r="A1962" s="9"/>
    </row>
    <row r="1963" spans="1:1" ht="15.75" customHeight="1" thickBot="1" x14ac:dyDescent="0.3">
      <c r="A1963" s="9"/>
    </row>
    <row r="1964" spans="1:1" ht="15.75" customHeight="1" thickBot="1" x14ac:dyDescent="0.3">
      <c r="A1964" s="9"/>
    </row>
    <row r="1965" spans="1:1" ht="15.75" customHeight="1" thickBot="1" x14ac:dyDescent="0.3">
      <c r="A1965" s="9"/>
    </row>
    <row r="1966" spans="1:1" ht="15.75" customHeight="1" thickBot="1" x14ac:dyDescent="0.3">
      <c r="A1966" s="9"/>
    </row>
    <row r="1967" spans="1:1" ht="15.75" customHeight="1" thickBot="1" x14ac:dyDescent="0.3">
      <c r="A1967" s="9"/>
    </row>
    <row r="1968" spans="1:1" ht="15.75" customHeight="1" thickBot="1" x14ac:dyDescent="0.3">
      <c r="A1968" s="9"/>
    </row>
    <row r="1969" spans="1:1" ht="15.75" customHeight="1" thickBot="1" x14ac:dyDescent="0.3">
      <c r="A1969" s="9"/>
    </row>
    <row r="1970" spans="1:1" ht="15.75" customHeight="1" thickBot="1" x14ac:dyDescent="0.3">
      <c r="A1970" s="9"/>
    </row>
    <row r="1971" spans="1:1" ht="15.75" customHeight="1" thickBot="1" x14ac:dyDescent="0.3">
      <c r="A1971" s="9"/>
    </row>
    <row r="1972" spans="1:1" ht="15.75" customHeight="1" thickBot="1" x14ac:dyDescent="0.3">
      <c r="A1972" s="9"/>
    </row>
    <row r="1973" spans="1:1" ht="15.75" customHeight="1" thickBot="1" x14ac:dyDescent="0.3">
      <c r="A1973" s="9"/>
    </row>
    <row r="1974" spans="1:1" ht="15.75" customHeight="1" thickBot="1" x14ac:dyDescent="0.3">
      <c r="A1974" s="9"/>
    </row>
    <row r="1975" spans="1:1" ht="15.75" customHeight="1" thickBot="1" x14ac:dyDescent="0.3">
      <c r="A1975" s="9"/>
    </row>
    <row r="1976" spans="1:1" ht="15.75" customHeight="1" thickBot="1" x14ac:dyDescent="0.3">
      <c r="A1976" s="9"/>
    </row>
    <row r="1977" spans="1:1" ht="15.75" customHeight="1" thickBot="1" x14ac:dyDescent="0.3">
      <c r="A1977" s="9"/>
    </row>
    <row r="1978" spans="1:1" ht="15.75" customHeight="1" thickBot="1" x14ac:dyDescent="0.3">
      <c r="A1978" s="9"/>
    </row>
    <row r="1979" spans="1:1" ht="15.75" customHeight="1" thickBot="1" x14ac:dyDescent="0.3">
      <c r="A1979" s="9"/>
    </row>
    <row r="1980" spans="1:1" ht="15.75" customHeight="1" thickBot="1" x14ac:dyDescent="0.3">
      <c r="A1980" s="9"/>
    </row>
    <row r="1981" spans="1:1" ht="15.75" customHeight="1" thickBot="1" x14ac:dyDescent="0.3">
      <c r="A1981" s="9"/>
    </row>
    <row r="1982" spans="1:1" ht="15.75" customHeight="1" thickBot="1" x14ac:dyDescent="0.3">
      <c r="A1982" s="9"/>
    </row>
    <row r="1983" spans="1:1" ht="15.75" customHeight="1" thickBot="1" x14ac:dyDescent="0.3">
      <c r="A1983" s="9"/>
    </row>
    <row r="1984" spans="1:1" ht="15.75" customHeight="1" thickBot="1" x14ac:dyDescent="0.3">
      <c r="A1984" s="9"/>
    </row>
    <row r="1985" spans="1:1" ht="15.75" customHeight="1" thickBot="1" x14ac:dyDescent="0.3">
      <c r="A1985" s="9"/>
    </row>
    <row r="1986" spans="1:1" ht="15.75" customHeight="1" thickBot="1" x14ac:dyDescent="0.3">
      <c r="A1986" s="9"/>
    </row>
    <row r="1987" spans="1:1" ht="15.75" customHeight="1" thickBot="1" x14ac:dyDescent="0.3">
      <c r="A1987" s="9"/>
    </row>
    <row r="1988" spans="1:1" ht="15.75" customHeight="1" thickBot="1" x14ac:dyDescent="0.3">
      <c r="A1988" s="9"/>
    </row>
    <row r="1989" spans="1:1" ht="15.75" customHeight="1" thickBot="1" x14ac:dyDescent="0.3">
      <c r="A1989" s="9"/>
    </row>
    <row r="1990" spans="1:1" ht="15.75" customHeight="1" thickBot="1" x14ac:dyDescent="0.3">
      <c r="A1990" s="9"/>
    </row>
    <row r="1991" spans="1:1" ht="15.75" customHeight="1" thickBot="1" x14ac:dyDescent="0.3">
      <c r="A1991" s="9"/>
    </row>
    <row r="1992" spans="1:1" ht="15.75" customHeight="1" thickBot="1" x14ac:dyDescent="0.3">
      <c r="A1992" s="9"/>
    </row>
    <row r="1993" spans="1:1" ht="15.75" customHeight="1" thickBot="1" x14ac:dyDescent="0.3">
      <c r="A1993" s="9"/>
    </row>
    <row r="1994" spans="1:1" ht="15.75" customHeight="1" thickBot="1" x14ac:dyDescent="0.3">
      <c r="A1994" s="9"/>
    </row>
    <row r="1995" spans="1:1" ht="15.75" customHeight="1" thickBot="1" x14ac:dyDescent="0.3">
      <c r="A1995" s="9"/>
    </row>
    <row r="1996" spans="1:1" ht="15.75" customHeight="1" thickBot="1" x14ac:dyDescent="0.3">
      <c r="A1996" s="9"/>
    </row>
    <row r="1997" spans="1:1" ht="15.75" customHeight="1" thickBot="1" x14ac:dyDescent="0.3">
      <c r="A1997" s="9"/>
    </row>
    <row r="1998" spans="1:1" ht="15.75" customHeight="1" thickBot="1" x14ac:dyDescent="0.3">
      <c r="A1998" s="9"/>
    </row>
    <row r="1999" spans="1:1" ht="15.75" customHeight="1" thickBot="1" x14ac:dyDescent="0.3">
      <c r="A1999" s="9"/>
    </row>
    <row r="2000" spans="1:1" ht="15.75" customHeight="1" thickBot="1" x14ac:dyDescent="0.3">
      <c r="A2000" s="9"/>
    </row>
    <row r="2001" spans="1:1" ht="15.75" customHeight="1" thickBot="1" x14ac:dyDescent="0.3">
      <c r="A2001" s="9"/>
    </row>
    <row r="2002" spans="1:1" ht="15.75" customHeight="1" thickBot="1" x14ac:dyDescent="0.3">
      <c r="A2002" s="9"/>
    </row>
    <row r="2003" spans="1:1" ht="15.75" customHeight="1" thickBot="1" x14ac:dyDescent="0.3">
      <c r="A2003" s="9"/>
    </row>
    <row r="2004" spans="1:1" ht="15.75" customHeight="1" thickBot="1" x14ac:dyDescent="0.3">
      <c r="A2004" s="9"/>
    </row>
    <row r="2005" spans="1:1" ht="15.75" customHeight="1" thickBot="1" x14ac:dyDescent="0.3">
      <c r="A2005" s="9"/>
    </row>
    <row r="2006" spans="1:1" ht="15.75" customHeight="1" thickBot="1" x14ac:dyDescent="0.3">
      <c r="A2006" s="9"/>
    </row>
    <row r="2007" spans="1:1" ht="15.75" customHeight="1" thickBot="1" x14ac:dyDescent="0.3">
      <c r="A2007" s="9"/>
    </row>
    <row r="2008" spans="1:1" ht="15.75" customHeight="1" thickBot="1" x14ac:dyDescent="0.3">
      <c r="A2008" s="9"/>
    </row>
    <row r="2009" spans="1:1" ht="15.75" customHeight="1" thickBot="1" x14ac:dyDescent="0.3">
      <c r="A2009" s="9"/>
    </row>
    <row r="2010" spans="1:1" ht="15.75" customHeight="1" thickBot="1" x14ac:dyDescent="0.3">
      <c r="A2010" s="9"/>
    </row>
    <row r="2011" spans="1:1" ht="15.75" customHeight="1" thickBot="1" x14ac:dyDescent="0.3">
      <c r="A2011" s="9"/>
    </row>
    <row r="2012" spans="1:1" ht="15.75" customHeight="1" thickBot="1" x14ac:dyDescent="0.3">
      <c r="A2012" s="9"/>
    </row>
    <row r="2013" spans="1:1" ht="15.75" customHeight="1" thickBot="1" x14ac:dyDescent="0.3">
      <c r="A2013" s="9"/>
    </row>
    <row r="2014" spans="1:1" ht="15.75" customHeight="1" thickBot="1" x14ac:dyDescent="0.3">
      <c r="A2014" s="9"/>
    </row>
    <row r="2015" spans="1:1" ht="15.75" customHeight="1" thickBot="1" x14ac:dyDescent="0.3">
      <c r="A2015" s="9"/>
    </row>
    <row r="2016" spans="1:1" ht="15.75" customHeight="1" thickBot="1" x14ac:dyDescent="0.3">
      <c r="A2016" s="9"/>
    </row>
    <row r="2017" spans="1:1" ht="15.75" customHeight="1" thickBot="1" x14ac:dyDescent="0.3">
      <c r="A2017" s="9"/>
    </row>
    <row r="2018" spans="1:1" ht="15.75" customHeight="1" thickBot="1" x14ac:dyDescent="0.3">
      <c r="A2018" s="9"/>
    </row>
    <row r="2019" spans="1:1" ht="15.75" customHeight="1" thickBot="1" x14ac:dyDescent="0.3">
      <c r="A2019" s="9"/>
    </row>
    <row r="2020" spans="1:1" ht="15.75" customHeight="1" thickBot="1" x14ac:dyDescent="0.3">
      <c r="A2020" s="9"/>
    </row>
    <row r="2021" spans="1:1" ht="15.75" customHeight="1" thickBot="1" x14ac:dyDescent="0.3">
      <c r="A2021" s="9"/>
    </row>
    <row r="2022" spans="1:1" ht="15.75" customHeight="1" thickBot="1" x14ac:dyDescent="0.3">
      <c r="A2022" s="9"/>
    </row>
    <row r="2023" spans="1:1" ht="15.75" customHeight="1" thickBot="1" x14ac:dyDescent="0.3">
      <c r="A2023" s="9"/>
    </row>
    <row r="2024" spans="1:1" ht="15.75" customHeight="1" thickBot="1" x14ac:dyDescent="0.3">
      <c r="A2024" s="9"/>
    </row>
    <row r="2025" spans="1:1" ht="15.75" customHeight="1" thickBot="1" x14ac:dyDescent="0.3">
      <c r="A2025" s="9"/>
    </row>
    <row r="2026" spans="1:1" ht="15.75" customHeight="1" thickBot="1" x14ac:dyDescent="0.3">
      <c r="A2026" s="9"/>
    </row>
    <row r="2027" spans="1:1" ht="15.75" customHeight="1" thickBot="1" x14ac:dyDescent="0.3">
      <c r="A2027" s="9"/>
    </row>
    <row r="2028" spans="1:1" ht="15.75" customHeight="1" thickBot="1" x14ac:dyDescent="0.3">
      <c r="A2028" s="9"/>
    </row>
    <row r="2029" spans="1:1" ht="15.75" customHeight="1" thickBot="1" x14ac:dyDescent="0.3">
      <c r="A2029" s="9"/>
    </row>
    <row r="2030" spans="1:1" ht="15.75" customHeight="1" thickBot="1" x14ac:dyDescent="0.3">
      <c r="A2030" s="9"/>
    </row>
    <row r="2031" spans="1:1" ht="15.75" customHeight="1" thickBot="1" x14ac:dyDescent="0.3">
      <c r="A2031" s="9"/>
    </row>
    <row r="2032" spans="1:1" ht="15.75" customHeight="1" thickBot="1" x14ac:dyDescent="0.3">
      <c r="A2032" s="9"/>
    </row>
    <row r="2033" spans="1:1" ht="15.75" customHeight="1" thickBot="1" x14ac:dyDescent="0.3">
      <c r="A2033" s="9"/>
    </row>
    <row r="2034" spans="1:1" ht="15.75" customHeight="1" thickBot="1" x14ac:dyDescent="0.3">
      <c r="A2034" s="9"/>
    </row>
    <row r="2035" spans="1:1" ht="15.75" customHeight="1" thickBot="1" x14ac:dyDescent="0.3">
      <c r="A2035" s="9"/>
    </row>
    <row r="2036" spans="1:1" ht="15.75" customHeight="1" thickBot="1" x14ac:dyDescent="0.3">
      <c r="A2036" s="9"/>
    </row>
    <row r="2037" spans="1:1" ht="15.75" customHeight="1" thickBot="1" x14ac:dyDescent="0.3">
      <c r="A2037" s="9"/>
    </row>
    <row r="2038" spans="1:1" ht="15.75" customHeight="1" thickBot="1" x14ac:dyDescent="0.3">
      <c r="A2038" s="9"/>
    </row>
    <row r="2039" spans="1:1" ht="15.75" customHeight="1" thickBot="1" x14ac:dyDescent="0.3">
      <c r="A2039" s="9"/>
    </row>
    <row r="2040" spans="1:1" ht="15.75" customHeight="1" thickBot="1" x14ac:dyDescent="0.3">
      <c r="A2040" s="9"/>
    </row>
    <row r="2041" spans="1:1" ht="15.75" customHeight="1" thickBot="1" x14ac:dyDescent="0.3">
      <c r="A2041" s="9"/>
    </row>
    <row r="2042" spans="1:1" ht="15.75" customHeight="1" thickBot="1" x14ac:dyDescent="0.3">
      <c r="A2042" s="9"/>
    </row>
    <row r="2043" spans="1:1" ht="15.75" customHeight="1" thickBot="1" x14ac:dyDescent="0.3">
      <c r="A2043" s="9"/>
    </row>
    <row r="2044" spans="1:1" ht="15.75" customHeight="1" thickBot="1" x14ac:dyDescent="0.3">
      <c r="A2044" s="9"/>
    </row>
    <row r="2045" spans="1:1" ht="15.75" customHeight="1" thickBot="1" x14ac:dyDescent="0.3">
      <c r="A2045" s="9"/>
    </row>
    <row r="2046" spans="1:1" ht="15.75" customHeight="1" thickBot="1" x14ac:dyDescent="0.3">
      <c r="A2046" s="9"/>
    </row>
    <row r="2047" spans="1:1" ht="15.75" customHeight="1" thickBot="1" x14ac:dyDescent="0.3">
      <c r="A2047" s="9"/>
    </row>
    <row r="2048" spans="1:1" ht="15.75" customHeight="1" thickBot="1" x14ac:dyDescent="0.3">
      <c r="A2048" s="9"/>
    </row>
    <row r="2049" spans="1:1" ht="15.75" customHeight="1" thickBot="1" x14ac:dyDescent="0.3">
      <c r="A2049" s="9"/>
    </row>
    <row r="2050" spans="1:1" ht="15.75" customHeight="1" thickBot="1" x14ac:dyDescent="0.3">
      <c r="A2050" s="9"/>
    </row>
    <row r="2051" spans="1:1" ht="15.75" customHeight="1" thickBot="1" x14ac:dyDescent="0.3">
      <c r="A2051" s="9"/>
    </row>
    <row r="2052" spans="1:1" ht="15.75" customHeight="1" thickBot="1" x14ac:dyDescent="0.3">
      <c r="A2052" s="9"/>
    </row>
    <row r="2053" spans="1:1" ht="15.75" customHeight="1" thickBot="1" x14ac:dyDescent="0.3">
      <c r="A2053" s="9"/>
    </row>
    <row r="2054" spans="1:1" ht="15.75" customHeight="1" thickBot="1" x14ac:dyDescent="0.3">
      <c r="A2054" s="9"/>
    </row>
    <row r="2055" spans="1:1" ht="15.75" customHeight="1" thickBot="1" x14ac:dyDescent="0.3">
      <c r="A2055" s="9"/>
    </row>
    <row r="2056" spans="1:1" ht="15.75" customHeight="1" thickBot="1" x14ac:dyDescent="0.3">
      <c r="A2056" s="9"/>
    </row>
    <row r="2057" spans="1:1" ht="15.75" customHeight="1" thickBot="1" x14ac:dyDescent="0.3">
      <c r="A2057" s="9"/>
    </row>
    <row r="2058" spans="1:1" ht="15.75" customHeight="1" thickBot="1" x14ac:dyDescent="0.3">
      <c r="A2058" s="9"/>
    </row>
    <row r="2059" spans="1:1" ht="15.75" customHeight="1" thickBot="1" x14ac:dyDescent="0.3">
      <c r="A2059" s="9"/>
    </row>
    <row r="2060" spans="1:1" ht="15.75" customHeight="1" thickBot="1" x14ac:dyDescent="0.3">
      <c r="A2060" s="9"/>
    </row>
    <row r="2061" spans="1:1" ht="15.75" customHeight="1" thickBot="1" x14ac:dyDescent="0.3">
      <c r="A2061" s="9"/>
    </row>
    <row r="2062" spans="1:1" ht="15.75" customHeight="1" thickBot="1" x14ac:dyDescent="0.3">
      <c r="A2062" s="9"/>
    </row>
    <row r="2063" spans="1:1" ht="15.75" customHeight="1" thickBot="1" x14ac:dyDescent="0.3">
      <c r="A2063" s="9"/>
    </row>
    <row r="2064" spans="1:1" ht="15.75" customHeight="1" thickBot="1" x14ac:dyDescent="0.3">
      <c r="A2064" s="9"/>
    </row>
    <row r="2065" spans="1:1" ht="15.75" customHeight="1" thickBot="1" x14ac:dyDescent="0.3">
      <c r="A2065" s="9"/>
    </row>
    <row r="2066" spans="1:1" ht="15.75" customHeight="1" thickBot="1" x14ac:dyDescent="0.3">
      <c r="A2066" s="9"/>
    </row>
    <row r="2067" spans="1:1" ht="15.75" customHeight="1" thickBot="1" x14ac:dyDescent="0.3">
      <c r="A2067" s="9"/>
    </row>
    <row r="2068" spans="1:1" ht="15.75" customHeight="1" thickBot="1" x14ac:dyDescent="0.3">
      <c r="A2068" s="9"/>
    </row>
    <row r="2069" spans="1:1" ht="15.75" customHeight="1" thickBot="1" x14ac:dyDescent="0.3">
      <c r="A2069" s="9"/>
    </row>
    <row r="2070" spans="1:1" ht="15.75" customHeight="1" thickBot="1" x14ac:dyDescent="0.3">
      <c r="A2070" s="9"/>
    </row>
    <row r="2071" spans="1:1" ht="15.75" customHeight="1" thickBot="1" x14ac:dyDescent="0.3">
      <c r="A2071" s="9"/>
    </row>
    <row r="2072" spans="1:1" ht="15.75" customHeight="1" thickBot="1" x14ac:dyDescent="0.3">
      <c r="A2072" s="9"/>
    </row>
    <row r="2073" spans="1:1" ht="15.75" customHeight="1" thickBot="1" x14ac:dyDescent="0.3">
      <c r="A2073" s="9"/>
    </row>
    <row r="2074" spans="1:1" ht="15.75" customHeight="1" thickBot="1" x14ac:dyDescent="0.3">
      <c r="A2074" s="9"/>
    </row>
    <row r="2075" spans="1:1" ht="15.75" customHeight="1" thickBot="1" x14ac:dyDescent="0.3">
      <c r="A2075" s="9"/>
    </row>
    <row r="2076" spans="1:1" ht="15.75" customHeight="1" thickBot="1" x14ac:dyDescent="0.3">
      <c r="A2076" s="9"/>
    </row>
    <row r="2077" spans="1:1" ht="15.75" customHeight="1" thickBot="1" x14ac:dyDescent="0.3">
      <c r="A2077" s="9"/>
    </row>
    <row r="2078" spans="1:1" ht="15.75" customHeight="1" thickBot="1" x14ac:dyDescent="0.3">
      <c r="A2078" s="9"/>
    </row>
    <row r="2079" spans="1:1" ht="15.75" customHeight="1" thickBot="1" x14ac:dyDescent="0.3">
      <c r="A2079" s="9"/>
    </row>
    <row r="2080" spans="1:1" ht="15.75" customHeight="1" thickBot="1" x14ac:dyDescent="0.3">
      <c r="A2080" s="9"/>
    </row>
    <row r="2081" spans="1:1" ht="15.75" customHeight="1" thickBot="1" x14ac:dyDescent="0.3">
      <c r="A2081" s="9"/>
    </row>
    <row r="2082" spans="1:1" ht="15.75" customHeight="1" thickBot="1" x14ac:dyDescent="0.3">
      <c r="A2082" s="9"/>
    </row>
    <row r="2083" spans="1:1" ht="15.75" customHeight="1" thickBot="1" x14ac:dyDescent="0.3">
      <c r="A2083" s="9"/>
    </row>
    <row r="2084" spans="1:1" ht="15.75" customHeight="1" thickBot="1" x14ac:dyDescent="0.3">
      <c r="A2084" s="9"/>
    </row>
    <row r="2085" spans="1:1" ht="15.75" customHeight="1" thickBot="1" x14ac:dyDescent="0.3">
      <c r="A2085" s="9"/>
    </row>
    <row r="2086" spans="1:1" ht="15.75" customHeight="1" thickBot="1" x14ac:dyDescent="0.3">
      <c r="A2086" s="9"/>
    </row>
    <row r="2087" spans="1:1" ht="15.75" customHeight="1" thickBot="1" x14ac:dyDescent="0.3">
      <c r="A2087" s="9"/>
    </row>
    <row r="2088" spans="1:1" ht="15.75" customHeight="1" thickBot="1" x14ac:dyDescent="0.3">
      <c r="A2088" s="9"/>
    </row>
    <row r="2089" spans="1:1" ht="15.75" customHeight="1" thickBot="1" x14ac:dyDescent="0.3">
      <c r="A2089" s="9"/>
    </row>
    <row r="2090" spans="1:1" ht="15.75" customHeight="1" thickBot="1" x14ac:dyDescent="0.3">
      <c r="A2090" s="9"/>
    </row>
    <row r="2091" spans="1:1" ht="15.75" customHeight="1" thickBot="1" x14ac:dyDescent="0.3">
      <c r="A2091" s="9"/>
    </row>
    <row r="2092" spans="1:1" ht="15.75" customHeight="1" thickBot="1" x14ac:dyDescent="0.3">
      <c r="A2092" s="9"/>
    </row>
    <row r="2093" spans="1:1" ht="15.75" customHeight="1" thickBot="1" x14ac:dyDescent="0.3">
      <c r="A2093" s="9"/>
    </row>
    <row r="2094" spans="1:1" ht="15.75" customHeight="1" thickBot="1" x14ac:dyDescent="0.3">
      <c r="A2094" s="9"/>
    </row>
    <row r="2095" spans="1:1" ht="15.75" customHeight="1" thickBot="1" x14ac:dyDescent="0.3">
      <c r="A2095" s="9"/>
    </row>
    <row r="2096" spans="1:1" ht="15.75" customHeight="1" thickBot="1" x14ac:dyDescent="0.3">
      <c r="A2096" s="9"/>
    </row>
    <row r="2097" spans="1:1" ht="15.75" customHeight="1" thickBot="1" x14ac:dyDescent="0.3">
      <c r="A2097" s="9"/>
    </row>
    <row r="2098" spans="1:1" ht="15.75" customHeight="1" thickBot="1" x14ac:dyDescent="0.3">
      <c r="A2098" s="9"/>
    </row>
    <row r="2099" spans="1:1" ht="15.75" customHeight="1" thickBot="1" x14ac:dyDescent="0.3">
      <c r="A2099" s="9"/>
    </row>
    <row r="2100" spans="1:1" ht="15.75" customHeight="1" thickBot="1" x14ac:dyDescent="0.3">
      <c r="A2100" s="9"/>
    </row>
    <row r="2101" spans="1:1" ht="15.75" customHeight="1" thickBot="1" x14ac:dyDescent="0.3">
      <c r="A2101" s="9"/>
    </row>
    <row r="2102" spans="1:1" ht="15.75" customHeight="1" thickBot="1" x14ac:dyDescent="0.3">
      <c r="A2102" s="9"/>
    </row>
    <row r="2103" spans="1:1" ht="15.75" customHeight="1" thickBot="1" x14ac:dyDescent="0.3">
      <c r="A2103" s="9"/>
    </row>
    <row r="2104" spans="1:1" ht="15.75" customHeight="1" thickBot="1" x14ac:dyDescent="0.3">
      <c r="A2104" s="9"/>
    </row>
    <row r="2105" spans="1:1" ht="15.75" customHeight="1" thickBot="1" x14ac:dyDescent="0.3">
      <c r="A2105" s="9"/>
    </row>
    <row r="2106" spans="1:1" ht="15.75" customHeight="1" thickBot="1" x14ac:dyDescent="0.3">
      <c r="A2106" s="9"/>
    </row>
    <row r="2107" spans="1:1" ht="15.75" customHeight="1" thickBot="1" x14ac:dyDescent="0.3">
      <c r="A2107" s="9"/>
    </row>
    <row r="2108" spans="1:1" ht="15.75" customHeight="1" thickBot="1" x14ac:dyDescent="0.3">
      <c r="A2108" s="9"/>
    </row>
    <row r="2109" spans="1:1" ht="15.75" customHeight="1" thickBot="1" x14ac:dyDescent="0.3">
      <c r="A2109" s="9"/>
    </row>
    <row r="2110" spans="1:1" ht="15.75" customHeight="1" thickBot="1" x14ac:dyDescent="0.3">
      <c r="A2110" s="9"/>
    </row>
    <row r="2111" spans="1:1" ht="15.75" customHeight="1" thickBot="1" x14ac:dyDescent="0.3">
      <c r="A2111" s="9"/>
    </row>
    <row r="2112" spans="1:1" ht="15.75" customHeight="1" thickBot="1" x14ac:dyDescent="0.3">
      <c r="A2112" s="9"/>
    </row>
    <row r="2113" spans="1:1" ht="15.75" customHeight="1" thickBot="1" x14ac:dyDescent="0.3">
      <c r="A2113" s="9"/>
    </row>
    <row r="2114" spans="1:1" ht="15.75" customHeight="1" thickBot="1" x14ac:dyDescent="0.3">
      <c r="A2114" s="9"/>
    </row>
    <row r="2115" spans="1:1" ht="15.75" customHeight="1" thickBot="1" x14ac:dyDescent="0.3">
      <c r="A2115" s="9"/>
    </row>
    <row r="2116" spans="1:1" ht="15.75" customHeight="1" thickBot="1" x14ac:dyDescent="0.3">
      <c r="A2116" s="9"/>
    </row>
    <row r="2117" spans="1:1" ht="15.75" customHeight="1" thickBot="1" x14ac:dyDescent="0.3">
      <c r="A2117" s="9"/>
    </row>
    <row r="2118" spans="1:1" ht="15.75" customHeight="1" thickBot="1" x14ac:dyDescent="0.3">
      <c r="A2118" s="9"/>
    </row>
    <row r="2119" spans="1:1" ht="15.75" customHeight="1" thickBot="1" x14ac:dyDescent="0.3">
      <c r="A2119" s="9"/>
    </row>
    <row r="2120" spans="1:1" ht="15.75" customHeight="1" thickBot="1" x14ac:dyDescent="0.3">
      <c r="A2120" s="9"/>
    </row>
    <row r="2121" spans="1:1" ht="15.75" customHeight="1" thickBot="1" x14ac:dyDescent="0.3">
      <c r="A2121" s="9"/>
    </row>
    <row r="2122" spans="1:1" ht="15.75" customHeight="1" thickBot="1" x14ac:dyDescent="0.3">
      <c r="A2122" s="9"/>
    </row>
    <row r="2123" spans="1:1" ht="15.75" customHeight="1" thickBot="1" x14ac:dyDescent="0.3">
      <c r="A2123" s="9"/>
    </row>
    <row r="2124" spans="1:1" ht="15.75" customHeight="1" thickBot="1" x14ac:dyDescent="0.3">
      <c r="A2124" s="9"/>
    </row>
    <row r="2125" spans="1:1" ht="15.75" customHeight="1" thickBot="1" x14ac:dyDescent="0.3">
      <c r="A2125" s="9"/>
    </row>
    <row r="2126" spans="1:1" ht="15.75" customHeight="1" thickBot="1" x14ac:dyDescent="0.3">
      <c r="A2126" s="9"/>
    </row>
    <row r="2127" spans="1:1" ht="15.75" customHeight="1" thickBot="1" x14ac:dyDescent="0.3">
      <c r="A2127" s="9"/>
    </row>
    <row r="2128" spans="1:1" ht="15.75" customHeight="1" thickBot="1" x14ac:dyDescent="0.3">
      <c r="A2128" s="9"/>
    </row>
    <row r="2129" spans="1:1" ht="15.75" customHeight="1" thickBot="1" x14ac:dyDescent="0.3">
      <c r="A2129" s="9"/>
    </row>
    <row r="2130" spans="1:1" ht="15.75" customHeight="1" thickBot="1" x14ac:dyDescent="0.3">
      <c r="A2130" s="9"/>
    </row>
    <row r="2131" spans="1:1" ht="15.75" customHeight="1" thickBot="1" x14ac:dyDescent="0.3">
      <c r="A2131" s="9"/>
    </row>
    <row r="2132" spans="1:1" ht="15.75" customHeight="1" thickBot="1" x14ac:dyDescent="0.3">
      <c r="A2132" s="9"/>
    </row>
    <row r="2133" spans="1:1" ht="15.75" customHeight="1" thickBot="1" x14ac:dyDescent="0.3">
      <c r="A2133" s="9"/>
    </row>
    <row r="2134" spans="1:1" ht="15.75" customHeight="1" thickBot="1" x14ac:dyDescent="0.3">
      <c r="A2134" s="9"/>
    </row>
    <row r="2135" spans="1:1" ht="15.75" customHeight="1" thickBot="1" x14ac:dyDescent="0.3">
      <c r="A2135" s="9"/>
    </row>
    <row r="2136" spans="1:1" ht="15.75" customHeight="1" thickBot="1" x14ac:dyDescent="0.3">
      <c r="A2136" s="9"/>
    </row>
    <row r="2137" spans="1:1" ht="15.75" customHeight="1" thickBot="1" x14ac:dyDescent="0.3">
      <c r="A2137" s="9"/>
    </row>
    <row r="2138" spans="1:1" ht="15.75" customHeight="1" thickBot="1" x14ac:dyDescent="0.3">
      <c r="A2138" s="9"/>
    </row>
    <row r="2139" spans="1:1" ht="15.75" customHeight="1" thickBot="1" x14ac:dyDescent="0.3">
      <c r="A2139" s="9"/>
    </row>
    <row r="2140" spans="1:1" ht="15.75" customHeight="1" thickBot="1" x14ac:dyDescent="0.3">
      <c r="A2140" s="9"/>
    </row>
    <row r="2141" spans="1:1" ht="15.75" customHeight="1" thickBot="1" x14ac:dyDescent="0.3">
      <c r="A2141" s="9"/>
    </row>
    <row r="2142" spans="1:1" ht="15.75" customHeight="1" thickBot="1" x14ac:dyDescent="0.3">
      <c r="A2142" s="9"/>
    </row>
    <row r="2143" spans="1:1" ht="15.75" customHeight="1" thickBot="1" x14ac:dyDescent="0.3">
      <c r="A2143" s="9"/>
    </row>
    <row r="2144" spans="1:1" ht="15.75" customHeight="1" thickBot="1" x14ac:dyDescent="0.3">
      <c r="A2144" s="9"/>
    </row>
    <row r="2145" spans="1:1" ht="15.75" customHeight="1" thickBot="1" x14ac:dyDescent="0.3">
      <c r="A2145" s="9"/>
    </row>
    <row r="2146" spans="1:1" ht="15.75" customHeight="1" thickBot="1" x14ac:dyDescent="0.3">
      <c r="A2146" s="9"/>
    </row>
    <row r="2147" spans="1:1" ht="15.75" customHeight="1" thickBot="1" x14ac:dyDescent="0.3">
      <c r="A2147" s="9"/>
    </row>
    <row r="2148" spans="1:1" ht="15.75" customHeight="1" thickBot="1" x14ac:dyDescent="0.3">
      <c r="A2148" s="9"/>
    </row>
    <row r="2149" spans="1:1" ht="15.75" customHeight="1" thickBot="1" x14ac:dyDescent="0.3">
      <c r="A2149" s="9"/>
    </row>
    <row r="2150" spans="1:1" ht="15.75" customHeight="1" thickBot="1" x14ac:dyDescent="0.3">
      <c r="A2150" s="9"/>
    </row>
    <row r="2151" spans="1:1" ht="15.75" customHeight="1" thickBot="1" x14ac:dyDescent="0.3">
      <c r="A2151" s="9"/>
    </row>
    <row r="2152" spans="1:1" ht="15.75" customHeight="1" thickBot="1" x14ac:dyDescent="0.3">
      <c r="A2152" s="9"/>
    </row>
    <row r="2153" spans="1:1" ht="15.75" customHeight="1" thickBot="1" x14ac:dyDescent="0.3">
      <c r="A2153" s="9"/>
    </row>
    <row r="2154" spans="1:1" ht="15.75" customHeight="1" thickBot="1" x14ac:dyDescent="0.3">
      <c r="A2154" s="9"/>
    </row>
    <row r="2155" spans="1:1" ht="15.75" customHeight="1" thickBot="1" x14ac:dyDescent="0.3">
      <c r="A2155" s="9"/>
    </row>
    <row r="2156" spans="1:1" ht="15.75" customHeight="1" thickBot="1" x14ac:dyDescent="0.3">
      <c r="A2156" s="9"/>
    </row>
    <row r="2157" spans="1:1" ht="15.75" customHeight="1" thickBot="1" x14ac:dyDescent="0.3">
      <c r="A2157" s="9"/>
    </row>
    <row r="2158" spans="1:1" ht="15.75" customHeight="1" thickBot="1" x14ac:dyDescent="0.3">
      <c r="A2158" s="9"/>
    </row>
    <row r="2159" spans="1:1" ht="15.75" customHeight="1" thickBot="1" x14ac:dyDescent="0.3">
      <c r="A2159" s="9"/>
    </row>
    <row r="2160" spans="1:1" ht="15.75" customHeight="1" thickBot="1" x14ac:dyDescent="0.3">
      <c r="A2160" s="9"/>
    </row>
    <row r="2161" spans="1:1" ht="15.75" customHeight="1" thickBot="1" x14ac:dyDescent="0.3">
      <c r="A2161" s="9"/>
    </row>
    <row r="2162" spans="1:1" ht="15.75" customHeight="1" thickBot="1" x14ac:dyDescent="0.3">
      <c r="A2162" s="9"/>
    </row>
    <row r="2163" spans="1:1" ht="15.75" customHeight="1" thickBot="1" x14ac:dyDescent="0.3">
      <c r="A2163" s="9"/>
    </row>
    <row r="2164" spans="1:1" ht="15.75" customHeight="1" thickBot="1" x14ac:dyDescent="0.3">
      <c r="A2164" s="9"/>
    </row>
    <row r="2165" spans="1:1" ht="15.75" customHeight="1" thickBot="1" x14ac:dyDescent="0.3">
      <c r="A2165" s="9"/>
    </row>
    <row r="2166" spans="1:1" ht="15.75" customHeight="1" thickBot="1" x14ac:dyDescent="0.3">
      <c r="A2166" s="9"/>
    </row>
    <row r="2167" spans="1:1" ht="15.75" customHeight="1" thickBot="1" x14ac:dyDescent="0.3">
      <c r="A2167" s="9"/>
    </row>
    <row r="2168" spans="1:1" ht="15.75" customHeight="1" thickBot="1" x14ac:dyDescent="0.3">
      <c r="A2168" s="9"/>
    </row>
    <row r="2169" spans="1:1" ht="15.75" customHeight="1" thickBot="1" x14ac:dyDescent="0.3">
      <c r="A2169" s="9"/>
    </row>
    <row r="2170" spans="1:1" ht="15.75" customHeight="1" thickBot="1" x14ac:dyDescent="0.3">
      <c r="A2170" s="9"/>
    </row>
    <row r="2171" spans="1:1" ht="15.75" customHeight="1" thickBot="1" x14ac:dyDescent="0.3">
      <c r="A2171" s="9"/>
    </row>
    <row r="2172" spans="1:1" ht="15.75" customHeight="1" thickBot="1" x14ac:dyDescent="0.3">
      <c r="A2172" s="9"/>
    </row>
    <row r="2173" spans="1:1" ht="15.75" customHeight="1" thickBot="1" x14ac:dyDescent="0.3">
      <c r="A2173" s="9"/>
    </row>
    <row r="2174" spans="1:1" ht="15.75" customHeight="1" thickBot="1" x14ac:dyDescent="0.3">
      <c r="A2174" s="9"/>
    </row>
    <row r="2175" spans="1:1" ht="15.75" customHeight="1" thickBot="1" x14ac:dyDescent="0.3">
      <c r="A2175" s="9"/>
    </row>
    <row r="2176" spans="1:1" ht="15.75" customHeight="1" thickBot="1" x14ac:dyDescent="0.3">
      <c r="A2176" s="9"/>
    </row>
    <row r="2177" spans="1:1" ht="15.75" customHeight="1" thickBot="1" x14ac:dyDescent="0.3">
      <c r="A2177" s="9"/>
    </row>
    <row r="2178" spans="1:1" ht="15.75" customHeight="1" thickBot="1" x14ac:dyDescent="0.3">
      <c r="A2178" s="9"/>
    </row>
    <row r="2179" spans="1:1" ht="15.75" customHeight="1" thickBot="1" x14ac:dyDescent="0.3">
      <c r="A2179" s="9"/>
    </row>
    <row r="2180" spans="1:1" ht="15.75" customHeight="1" thickBot="1" x14ac:dyDescent="0.3">
      <c r="A2180" s="9"/>
    </row>
    <row r="2181" spans="1:1" ht="15.75" customHeight="1" thickBot="1" x14ac:dyDescent="0.3">
      <c r="A2181" s="9"/>
    </row>
    <row r="2182" spans="1:1" ht="15.75" customHeight="1" thickBot="1" x14ac:dyDescent="0.3">
      <c r="A2182" s="9"/>
    </row>
    <row r="2183" spans="1:1" ht="15.75" customHeight="1" thickBot="1" x14ac:dyDescent="0.3">
      <c r="A2183" s="9"/>
    </row>
    <row r="2184" spans="1:1" ht="15.75" customHeight="1" thickBot="1" x14ac:dyDescent="0.3">
      <c r="A2184" s="9"/>
    </row>
    <row r="2185" spans="1:1" ht="15.75" customHeight="1" thickBot="1" x14ac:dyDescent="0.3">
      <c r="A2185" s="9"/>
    </row>
    <row r="2186" spans="1:1" ht="15.75" customHeight="1" thickBot="1" x14ac:dyDescent="0.3">
      <c r="A2186" s="9"/>
    </row>
    <row r="2187" spans="1:1" ht="15.75" customHeight="1" thickBot="1" x14ac:dyDescent="0.3">
      <c r="A2187" s="9"/>
    </row>
    <row r="2188" spans="1:1" ht="15.75" customHeight="1" thickBot="1" x14ac:dyDescent="0.3">
      <c r="A2188" s="9"/>
    </row>
    <row r="2189" spans="1:1" ht="15.75" customHeight="1" thickBot="1" x14ac:dyDescent="0.3">
      <c r="A2189" s="9"/>
    </row>
    <row r="2190" spans="1:1" ht="15.75" customHeight="1" thickBot="1" x14ac:dyDescent="0.3">
      <c r="A2190" s="9"/>
    </row>
    <row r="2191" spans="1:1" ht="15.75" customHeight="1" thickBot="1" x14ac:dyDescent="0.3">
      <c r="A2191" s="9"/>
    </row>
    <row r="2192" spans="1:1" ht="15.75" customHeight="1" thickBot="1" x14ac:dyDescent="0.3">
      <c r="A2192" s="9"/>
    </row>
    <row r="2193" spans="1:1" ht="15.75" customHeight="1" thickBot="1" x14ac:dyDescent="0.3">
      <c r="A2193" s="9"/>
    </row>
    <row r="2194" spans="1:1" ht="15.75" customHeight="1" thickBot="1" x14ac:dyDescent="0.3">
      <c r="A2194" s="9"/>
    </row>
    <row r="2195" spans="1:1" ht="15.75" customHeight="1" thickBot="1" x14ac:dyDescent="0.3">
      <c r="A2195" s="9"/>
    </row>
    <row r="2196" spans="1:1" ht="15.75" customHeight="1" thickBot="1" x14ac:dyDescent="0.3">
      <c r="A2196" s="9"/>
    </row>
    <row r="2197" spans="1:1" ht="15.75" customHeight="1" thickBot="1" x14ac:dyDescent="0.3">
      <c r="A2197" s="9"/>
    </row>
    <row r="2198" spans="1:1" ht="15.75" customHeight="1" thickBot="1" x14ac:dyDescent="0.3">
      <c r="A2198" s="9"/>
    </row>
    <row r="2199" spans="1:1" ht="15.75" customHeight="1" thickBot="1" x14ac:dyDescent="0.3">
      <c r="A2199" s="9"/>
    </row>
    <row r="2200" spans="1:1" ht="15.75" customHeight="1" thickBot="1" x14ac:dyDescent="0.3">
      <c r="A2200" s="9"/>
    </row>
    <row r="2201" spans="1:1" ht="15.75" customHeight="1" thickBot="1" x14ac:dyDescent="0.3">
      <c r="A2201" s="9"/>
    </row>
    <row r="2202" spans="1:1" ht="15.75" customHeight="1" thickBot="1" x14ac:dyDescent="0.3">
      <c r="A2202" s="9"/>
    </row>
    <row r="2203" spans="1:1" ht="15.75" customHeight="1" thickBot="1" x14ac:dyDescent="0.3">
      <c r="A2203" s="9"/>
    </row>
    <row r="2204" spans="1:1" ht="15.75" customHeight="1" thickBot="1" x14ac:dyDescent="0.3">
      <c r="A2204" s="9"/>
    </row>
    <row r="2205" spans="1:1" ht="15.75" customHeight="1" thickBot="1" x14ac:dyDescent="0.3">
      <c r="A2205" s="9"/>
    </row>
    <row r="2206" spans="1:1" ht="15.75" customHeight="1" thickBot="1" x14ac:dyDescent="0.3">
      <c r="A2206" s="9"/>
    </row>
    <row r="2207" spans="1:1" ht="15.75" customHeight="1" thickBot="1" x14ac:dyDescent="0.3">
      <c r="A2207" s="9"/>
    </row>
    <row r="2208" spans="1:1" ht="15.75" customHeight="1" thickBot="1" x14ac:dyDescent="0.3">
      <c r="A2208" s="9"/>
    </row>
    <row r="2209" spans="1:1" ht="15.75" customHeight="1" thickBot="1" x14ac:dyDescent="0.3">
      <c r="A2209" s="9"/>
    </row>
    <row r="2210" spans="1:1" ht="15.75" customHeight="1" thickBot="1" x14ac:dyDescent="0.3">
      <c r="A2210" s="9"/>
    </row>
    <row r="2211" spans="1:1" ht="15.75" customHeight="1" thickBot="1" x14ac:dyDescent="0.3">
      <c r="A2211" s="9"/>
    </row>
    <row r="2212" spans="1:1" ht="15.75" customHeight="1" thickBot="1" x14ac:dyDescent="0.3">
      <c r="A2212" s="9"/>
    </row>
    <row r="2213" spans="1:1" ht="15.75" customHeight="1" thickBot="1" x14ac:dyDescent="0.3">
      <c r="A2213" s="9"/>
    </row>
    <row r="2214" spans="1:1" ht="15.75" customHeight="1" thickBot="1" x14ac:dyDescent="0.3">
      <c r="A2214" s="9"/>
    </row>
    <row r="2215" spans="1:1" ht="15.75" customHeight="1" thickBot="1" x14ac:dyDescent="0.3">
      <c r="A2215" s="9"/>
    </row>
    <row r="2216" spans="1:1" ht="15.75" customHeight="1" thickBot="1" x14ac:dyDescent="0.3">
      <c r="A2216" s="9"/>
    </row>
    <row r="2217" spans="1:1" ht="15.75" customHeight="1" thickBot="1" x14ac:dyDescent="0.3">
      <c r="A2217" s="9"/>
    </row>
    <row r="2218" spans="1:1" ht="15.75" customHeight="1" thickBot="1" x14ac:dyDescent="0.3">
      <c r="A2218" s="9"/>
    </row>
    <row r="2219" spans="1:1" ht="15.75" customHeight="1" thickBot="1" x14ac:dyDescent="0.3">
      <c r="A2219" s="9"/>
    </row>
    <row r="2220" spans="1:1" ht="15.75" customHeight="1" thickBot="1" x14ac:dyDescent="0.3">
      <c r="A2220" s="9"/>
    </row>
    <row r="2221" spans="1:1" ht="15.75" customHeight="1" thickBot="1" x14ac:dyDescent="0.3">
      <c r="A2221" s="9"/>
    </row>
    <row r="2222" spans="1:1" ht="15.75" customHeight="1" thickBot="1" x14ac:dyDescent="0.3">
      <c r="A2222" s="9"/>
    </row>
    <row r="2223" spans="1:1" ht="15.75" customHeight="1" thickBot="1" x14ac:dyDescent="0.3">
      <c r="A2223" s="9"/>
    </row>
    <row r="2224" spans="1:1" ht="15.75" customHeight="1" thickBot="1" x14ac:dyDescent="0.3">
      <c r="A2224" s="9"/>
    </row>
    <row r="2225" spans="1:1" ht="15.75" customHeight="1" thickBot="1" x14ac:dyDescent="0.3">
      <c r="A2225" s="9"/>
    </row>
    <row r="2226" spans="1:1" ht="15.75" customHeight="1" thickBot="1" x14ac:dyDescent="0.3">
      <c r="A2226" s="9"/>
    </row>
    <row r="2227" spans="1:1" ht="15.75" customHeight="1" thickBot="1" x14ac:dyDescent="0.3">
      <c r="A2227" s="9"/>
    </row>
    <row r="2228" spans="1:1" ht="15.75" customHeight="1" thickBot="1" x14ac:dyDescent="0.3">
      <c r="A2228" s="9"/>
    </row>
    <row r="2229" spans="1:1" ht="15.75" customHeight="1" thickBot="1" x14ac:dyDescent="0.3">
      <c r="A2229" s="9"/>
    </row>
    <row r="2230" spans="1:1" ht="15.75" customHeight="1" thickBot="1" x14ac:dyDescent="0.3">
      <c r="A2230" s="9"/>
    </row>
    <row r="2231" spans="1:1" ht="15.75" customHeight="1" thickBot="1" x14ac:dyDescent="0.3">
      <c r="A2231" s="9"/>
    </row>
    <row r="2232" spans="1:1" ht="15.75" customHeight="1" thickBot="1" x14ac:dyDescent="0.3">
      <c r="A2232" s="9"/>
    </row>
    <row r="2233" spans="1:1" ht="15.75" customHeight="1" thickBot="1" x14ac:dyDescent="0.3">
      <c r="A2233" s="9"/>
    </row>
    <row r="2234" spans="1:1" ht="15.75" customHeight="1" thickBot="1" x14ac:dyDescent="0.3">
      <c r="A2234" s="9"/>
    </row>
    <row r="2235" spans="1:1" ht="15.75" customHeight="1" thickBot="1" x14ac:dyDescent="0.3">
      <c r="A2235" s="9"/>
    </row>
    <row r="2236" spans="1:1" ht="15.75" customHeight="1" thickBot="1" x14ac:dyDescent="0.3">
      <c r="A2236" s="9"/>
    </row>
    <row r="2237" spans="1:1" ht="15.75" customHeight="1" thickBot="1" x14ac:dyDescent="0.3">
      <c r="A2237" s="9"/>
    </row>
    <row r="2238" spans="1:1" ht="15.75" customHeight="1" thickBot="1" x14ac:dyDescent="0.3">
      <c r="A2238" s="9"/>
    </row>
    <row r="2239" spans="1:1" ht="15.75" customHeight="1" thickBot="1" x14ac:dyDescent="0.3">
      <c r="A2239" s="9"/>
    </row>
    <row r="2240" spans="1:1" ht="15.75" customHeight="1" thickBot="1" x14ac:dyDescent="0.3">
      <c r="A2240" s="9"/>
    </row>
    <row r="2241" spans="1:1" ht="15.75" customHeight="1" thickBot="1" x14ac:dyDescent="0.3">
      <c r="A2241" s="9"/>
    </row>
    <row r="2242" spans="1:1" ht="15.75" customHeight="1" thickBot="1" x14ac:dyDescent="0.3">
      <c r="A2242" s="9"/>
    </row>
    <row r="2243" spans="1:1" ht="15.75" customHeight="1" thickBot="1" x14ac:dyDescent="0.3">
      <c r="A2243" s="9"/>
    </row>
    <row r="2244" spans="1:1" ht="15.75" customHeight="1" thickBot="1" x14ac:dyDescent="0.3">
      <c r="A2244" s="9"/>
    </row>
    <row r="2245" spans="1:1" ht="15.75" customHeight="1" thickBot="1" x14ac:dyDescent="0.3">
      <c r="A2245" s="9"/>
    </row>
    <row r="2246" spans="1:1" ht="15.75" customHeight="1" thickBot="1" x14ac:dyDescent="0.3">
      <c r="A2246" s="9"/>
    </row>
    <row r="2247" spans="1:1" ht="15.75" customHeight="1" thickBot="1" x14ac:dyDescent="0.3">
      <c r="A2247" s="9"/>
    </row>
    <row r="2248" spans="1:1" ht="15.75" customHeight="1" thickBot="1" x14ac:dyDescent="0.3">
      <c r="A2248" s="9"/>
    </row>
    <row r="2249" spans="1:1" ht="15.75" customHeight="1" thickBot="1" x14ac:dyDescent="0.3">
      <c r="A2249" s="9"/>
    </row>
    <row r="2250" spans="1:1" ht="15.75" customHeight="1" thickBot="1" x14ac:dyDescent="0.3">
      <c r="A2250" s="9"/>
    </row>
    <row r="2251" spans="1:1" ht="15.75" customHeight="1" thickBot="1" x14ac:dyDescent="0.3">
      <c r="A2251" s="9"/>
    </row>
    <row r="2252" spans="1:1" ht="15.75" customHeight="1" thickBot="1" x14ac:dyDescent="0.3">
      <c r="A2252" s="9"/>
    </row>
    <row r="2253" spans="1:1" ht="15.75" customHeight="1" thickBot="1" x14ac:dyDescent="0.3">
      <c r="A2253" s="9"/>
    </row>
    <row r="2254" spans="1:1" ht="15.75" customHeight="1" thickBot="1" x14ac:dyDescent="0.3">
      <c r="A2254" s="9"/>
    </row>
    <row r="2255" spans="1:1" ht="15.75" customHeight="1" thickBot="1" x14ac:dyDescent="0.3">
      <c r="A2255" s="9"/>
    </row>
    <row r="2256" spans="1:1" ht="15.75" customHeight="1" thickBot="1" x14ac:dyDescent="0.3">
      <c r="A2256" s="9"/>
    </row>
    <row r="2257" spans="1:1" ht="15.75" customHeight="1" thickBot="1" x14ac:dyDescent="0.3">
      <c r="A2257" s="9"/>
    </row>
    <row r="2258" spans="1:1" ht="15.75" customHeight="1" thickBot="1" x14ac:dyDescent="0.3">
      <c r="A2258" s="9"/>
    </row>
    <row r="2259" spans="1:1" ht="15.75" customHeight="1" thickBot="1" x14ac:dyDescent="0.3">
      <c r="A2259" s="9"/>
    </row>
    <row r="2260" spans="1:1" ht="15.75" customHeight="1" thickBot="1" x14ac:dyDescent="0.3">
      <c r="A2260" s="9"/>
    </row>
    <row r="2261" spans="1:1" ht="15.75" customHeight="1" thickBot="1" x14ac:dyDescent="0.3">
      <c r="A2261" s="9"/>
    </row>
    <row r="2262" spans="1:1" ht="15.75" customHeight="1" thickBot="1" x14ac:dyDescent="0.3">
      <c r="A2262" s="9"/>
    </row>
    <row r="2263" spans="1:1" ht="15.75" customHeight="1" thickBot="1" x14ac:dyDescent="0.3">
      <c r="A2263" s="9"/>
    </row>
    <row r="2264" spans="1:1" ht="15.75" customHeight="1" thickBot="1" x14ac:dyDescent="0.3">
      <c r="A2264" s="9"/>
    </row>
    <row r="2265" spans="1:1" ht="15.75" customHeight="1" thickBot="1" x14ac:dyDescent="0.3">
      <c r="A2265" s="9"/>
    </row>
    <row r="2266" spans="1:1" ht="15.75" customHeight="1" thickBot="1" x14ac:dyDescent="0.3">
      <c r="A2266" s="9"/>
    </row>
    <row r="2267" spans="1:1" ht="15.75" customHeight="1" thickBot="1" x14ac:dyDescent="0.3">
      <c r="A2267" s="9"/>
    </row>
    <row r="2268" spans="1:1" ht="15.75" customHeight="1" thickBot="1" x14ac:dyDescent="0.3">
      <c r="A2268" s="9"/>
    </row>
    <row r="2269" spans="1:1" ht="15.75" customHeight="1" thickBot="1" x14ac:dyDescent="0.3">
      <c r="A2269" s="9"/>
    </row>
    <row r="2270" spans="1:1" ht="15.75" customHeight="1" thickBot="1" x14ac:dyDescent="0.3">
      <c r="A2270" s="9"/>
    </row>
    <row r="2271" spans="1:1" ht="15.75" customHeight="1" thickBot="1" x14ac:dyDescent="0.3">
      <c r="A2271" s="9"/>
    </row>
    <row r="2272" spans="1:1" ht="15.75" customHeight="1" thickBot="1" x14ac:dyDescent="0.3">
      <c r="A2272" s="9"/>
    </row>
    <row r="2273" spans="1:1" ht="15.75" customHeight="1" thickBot="1" x14ac:dyDescent="0.3">
      <c r="A2273" s="9"/>
    </row>
    <row r="2274" spans="1:1" ht="15.75" customHeight="1" thickBot="1" x14ac:dyDescent="0.3">
      <c r="A2274" s="9"/>
    </row>
    <row r="2275" spans="1:1" ht="15.75" customHeight="1" thickBot="1" x14ac:dyDescent="0.3">
      <c r="A2275" s="9"/>
    </row>
    <row r="2276" spans="1:1" ht="15.75" customHeight="1" thickBot="1" x14ac:dyDescent="0.3">
      <c r="A2276" s="9"/>
    </row>
    <row r="2277" spans="1:1" ht="15.75" customHeight="1" thickBot="1" x14ac:dyDescent="0.3">
      <c r="A2277" s="9"/>
    </row>
    <row r="2278" spans="1:1" ht="15.75" customHeight="1" thickBot="1" x14ac:dyDescent="0.3">
      <c r="A2278" s="9"/>
    </row>
    <row r="2279" spans="1:1" ht="15.75" customHeight="1" thickBot="1" x14ac:dyDescent="0.3">
      <c r="A2279" s="9"/>
    </row>
    <row r="2280" spans="1:1" ht="15.75" customHeight="1" thickBot="1" x14ac:dyDescent="0.3">
      <c r="A2280" s="9"/>
    </row>
    <row r="2281" spans="1:1" ht="15.75" customHeight="1" thickBot="1" x14ac:dyDescent="0.3">
      <c r="A2281" s="9"/>
    </row>
    <row r="2282" spans="1:1" ht="15.75" customHeight="1" thickBot="1" x14ac:dyDescent="0.3">
      <c r="A2282" s="9"/>
    </row>
    <row r="2283" spans="1:1" ht="15.75" customHeight="1" thickBot="1" x14ac:dyDescent="0.3">
      <c r="A2283" s="9"/>
    </row>
    <row r="2284" spans="1:1" ht="15.75" customHeight="1" thickBot="1" x14ac:dyDescent="0.3">
      <c r="A2284" s="9"/>
    </row>
    <row r="2285" spans="1:1" ht="15.75" customHeight="1" thickBot="1" x14ac:dyDescent="0.3">
      <c r="A2285" s="9"/>
    </row>
    <row r="2286" spans="1:1" ht="15.75" customHeight="1" thickBot="1" x14ac:dyDescent="0.3">
      <c r="A2286" s="9"/>
    </row>
    <row r="2287" spans="1:1" ht="15.75" customHeight="1" thickBot="1" x14ac:dyDescent="0.3">
      <c r="A2287" s="9"/>
    </row>
    <row r="2288" spans="1:1" ht="15.75" customHeight="1" thickBot="1" x14ac:dyDescent="0.3">
      <c r="A2288" s="9"/>
    </row>
    <row r="2289" spans="1:1" ht="15.75" customHeight="1" thickBot="1" x14ac:dyDescent="0.3">
      <c r="A2289" s="9"/>
    </row>
    <row r="2290" spans="1:1" ht="15.75" customHeight="1" thickBot="1" x14ac:dyDescent="0.3">
      <c r="A2290" s="9"/>
    </row>
    <row r="2291" spans="1:1" ht="15.75" customHeight="1" thickBot="1" x14ac:dyDescent="0.3">
      <c r="A2291" s="9"/>
    </row>
    <row r="2292" spans="1:1" ht="15.75" customHeight="1" thickBot="1" x14ac:dyDescent="0.3">
      <c r="A2292" s="9"/>
    </row>
    <row r="2293" spans="1:1" ht="15.75" customHeight="1" thickBot="1" x14ac:dyDescent="0.3">
      <c r="A2293" s="9"/>
    </row>
    <row r="2294" spans="1:1" ht="15.75" customHeight="1" thickBot="1" x14ac:dyDescent="0.3">
      <c r="A2294" s="9"/>
    </row>
    <row r="2295" spans="1:1" ht="15.75" customHeight="1" thickBot="1" x14ac:dyDescent="0.3">
      <c r="A2295" s="9"/>
    </row>
    <row r="2296" spans="1:1" ht="15.75" customHeight="1" thickBot="1" x14ac:dyDescent="0.3">
      <c r="A2296" s="9"/>
    </row>
    <row r="2297" spans="1:1" ht="15.75" customHeight="1" thickBot="1" x14ac:dyDescent="0.3">
      <c r="A2297" s="9"/>
    </row>
    <row r="2298" spans="1:1" ht="15.75" customHeight="1" thickBot="1" x14ac:dyDescent="0.3">
      <c r="A2298" s="9"/>
    </row>
    <row r="2299" spans="1:1" ht="15.75" customHeight="1" thickBot="1" x14ac:dyDescent="0.3">
      <c r="A2299" s="9"/>
    </row>
    <row r="2300" spans="1:1" ht="15.75" customHeight="1" thickBot="1" x14ac:dyDescent="0.3">
      <c r="A2300" s="9"/>
    </row>
    <row r="2301" spans="1:1" ht="15.75" customHeight="1" thickBot="1" x14ac:dyDescent="0.3">
      <c r="A2301" s="9"/>
    </row>
    <row r="2302" spans="1:1" ht="15.75" customHeight="1" thickBot="1" x14ac:dyDescent="0.3">
      <c r="A2302" s="9"/>
    </row>
    <row r="2303" spans="1:1" ht="15.75" customHeight="1" thickBot="1" x14ac:dyDescent="0.3">
      <c r="A2303" s="9"/>
    </row>
    <row r="2304" spans="1:1" ht="15.75" customHeight="1" thickBot="1" x14ac:dyDescent="0.3">
      <c r="A2304" s="9"/>
    </row>
    <row r="2305" spans="1:1" ht="15.75" customHeight="1" thickBot="1" x14ac:dyDescent="0.3">
      <c r="A2305" s="9"/>
    </row>
    <row r="2306" spans="1:1" ht="15.75" customHeight="1" thickBot="1" x14ac:dyDescent="0.3">
      <c r="A2306" s="9"/>
    </row>
    <row r="2307" spans="1:1" ht="15.75" customHeight="1" thickBot="1" x14ac:dyDescent="0.3">
      <c r="A2307" s="9"/>
    </row>
    <row r="2308" spans="1:1" ht="15.75" customHeight="1" thickBot="1" x14ac:dyDescent="0.3">
      <c r="A2308" s="9"/>
    </row>
    <row r="2309" spans="1:1" ht="15.75" customHeight="1" thickBot="1" x14ac:dyDescent="0.3">
      <c r="A2309" s="9"/>
    </row>
    <row r="2310" spans="1:1" ht="15.75" customHeight="1" thickBot="1" x14ac:dyDescent="0.3">
      <c r="A2310" s="9"/>
    </row>
    <row r="2311" spans="1:1" ht="15.75" customHeight="1" thickBot="1" x14ac:dyDescent="0.3">
      <c r="A2311" s="9"/>
    </row>
    <row r="2312" spans="1:1" ht="15.75" customHeight="1" thickBot="1" x14ac:dyDescent="0.3">
      <c r="A2312" s="9"/>
    </row>
    <row r="2313" spans="1:1" ht="15.75" customHeight="1" thickBot="1" x14ac:dyDescent="0.3">
      <c r="A2313" s="9"/>
    </row>
    <row r="2314" spans="1:1" ht="15.75" customHeight="1" thickBot="1" x14ac:dyDescent="0.3">
      <c r="A2314" s="9"/>
    </row>
    <row r="2315" spans="1:1" ht="15.75" customHeight="1" thickBot="1" x14ac:dyDescent="0.3">
      <c r="A2315" s="9"/>
    </row>
    <row r="2316" spans="1:1" ht="15.75" customHeight="1" thickBot="1" x14ac:dyDescent="0.3">
      <c r="A2316" s="9"/>
    </row>
    <row r="2317" spans="1:1" ht="15.75" customHeight="1" thickBot="1" x14ac:dyDescent="0.3">
      <c r="A2317" s="9"/>
    </row>
    <row r="2318" spans="1:1" ht="15.75" customHeight="1" thickBot="1" x14ac:dyDescent="0.3">
      <c r="A2318" s="9"/>
    </row>
    <row r="2319" spans="1:1" ht="15.75" customHeight="1" thickBot="1" x14ac:dyDescent="0.3">
      <c r="A2319" s="9"/>
    </row>
    <row r="2320" spans="1:1" ht="15.75" customHeight="1" thickBot="1" x14ac:dyDescent="0.3">
      <c r="A2320" s="9"/>
    </row>
    <row r="2321" spans="1:1" ht="15.75" customHeight="1" thickBot="1" x14ac:dyDescent="0.3">
      <c r="A2321" s="9"/>
    </row>
    <row r="2322" spans="1:1" ht="15.75" customHeight="1" thickBot="1" x14ac:dyDescent="0.3">
      <c r="A2322" s="9"/>
    </row>
    <row r="2323" spans="1:1" ht="15.75" customHeight="1" thickBot="1" x14ac:dyDescent="0.3">
      <c r="A2323" s="9"/>
    </row>
    <row r="2324" spans="1:1" ht="15.75" customHeight="1" thickBot="1" x14ac:dyDescent="0.3">
      <c r="A2324" s="9"/>
    </row>
    <row r="2325" spans="1:1" ht="15.75" customHeight="1" thickBot="1" x14ac:dyDescent="0.3">
      <c r="A2325" s="9"/>
    </row>
    <row r="2326" spans="1:1" ht="15.75" customHeight="1" thickBot="1" x14ac:dyDescent="0.3">
      <c r="A2326" s="9"/>
    </row>
    <row r="2327" spans="1:1" ht="15.75" customHeight="1" thickBot="1" x14ac:dyDescent="0.3">
      <c r="A2327" s="9"/>
    </row>
    <row r="2328" spans="1:1" ht="15.75" customHeight="1" thickBot="1" x14ac:dyDescent="0.3">
      <c r="A2328" s="9"/>
    </row>
    <row r="2329" spans="1:1" ht="15.75" customHeight="1" thickBot="1" x14ac:dyDescent="0.3">
      <c r="A2329" s="9"/>
    </row>
    <row r="2330" spans="1:1" ht="15.75" customHeight="1" thickBot="1" x14ac:dyDescent="0.3">
      <c r="A2330" s="9"/>
    </row>
    <row r="2331" spans="1:1" ht="15.75" customHeight="1" thickBot="1" x14ac:dyDescent="0.3">
      <c r="A2331" s="9"/>
    </row>
    <row r="2332" spans="1:1" ht="15.75" customHeight="1" thickBot="1" x14ac:dyDescent="0.3">
      <c r="A2332" s="9"/>
    </row>
    <row r="2333" spans="1:1" ht="15.75" customHeight="1" thickBot="1" x14ac:dyDescent="0.3">
      <c r="A2333" s="9"/>
    </row>
    <row r="2334" spans="1:1" ht="15.75" customHeight="1" thickBot="1" x14ac:dyDescent="0.3">
      <c r="A2334" s="9"/>
    </row>
    <row r="2335" spans="1:1" ht="15.75" customHeight="1" thickBot="1" x14ac:dyDescent="0.3">
      <c r="A2335" s="9"/>
    </row>
    <row r="2336" spans="1:1" ht="15.75" customHeight="1" thickBot="1" x14ac:dyDescent="0.3">
      <c r="A2336" s="9"/>
    </row>
    <row r="2337" spans="1:1" ht="15.75" customHeight="1" thickBot="1" x14ac:dyDescent="0.3">
      <c r="A2337" s="9"/>
    </row>
    <row r="2338" spans="1:1" ht="15.75" customHeight="1" thickBot="1" x14ac:dyDescent="0.3">
      <c r="A2338" s="9"/>
    </row>
    <row r="2339" spans="1:1" ht="15.75" customHeight="1" thickBot="1" x14ac:dyDescent="0.3">
      <c r="A2339" s="9"/>
    </row>
    <row r="2340" spans="1:1" ht="15.75" customHeight="1" thickBot="1" x14ac:dyDescent="0.3">
      <c r="A2340" s="9"/>
    </row>
    <row r="2341" spans="1:1" ht="15.75" customHeight="1" thickBot="1" x14ac:dyDescent="0.3">
      <c r="A2341" s="9"/>
    </row>
    <row r="2342" spans="1:1" ht="15.75" customHeight="1" thickBot="1" x14ac:dyDescent="0.3">
      <c r="A2342" s="9"/>
    </row>
    <row r="2343" spans="1:1" ht="15.75" customHeight="1" thickBot="1" x14ac:dyDescent="0.3">
      <c r="A2343" s="9"/>
    </row>
    <row r="2344" spans="1:1" ht="15.75" customHeight="1" thickBot="1" x14ac:dyDescent="0.3">
      <c r="A2344" s="9"/>
    </row>
    <row r="2345" spans="1:1" ht="15.75" customHeight="1" thickBot="1" x14ac:dyDescent="0.3">
      <c r="A2345" s="9"/>
    </row>
    <row r="2346" spans="1:1" ht="15.75" customHeight="1" thickBot="1" x14ac:dyDescent="0.3">
      <c r="A2346" s="9"/>
    </row>
    <row r="2347" spans="1:1" ht="15.75" customHeight="1" thickBot="1" x14ac:dyDescent="0.3">
      <c r="A2347" s="9"/>
    </row>
    <row r="2348" spans="1:1" ht="15.75" customHeight="1" thickBot="1" x14ac:dyDescent="0.3">
      <c r="A2348" s="9"/>
    </row>
    <row r="2349" spans="1:1" ht="15.75" customHeight="1" thickBot="1" x14ac:dyDescent="0.3">
      <c r="A2349" s="9"/>
    </row>
    <row r="2350" spans="1:1" ht="15.75" customHeight="1" thickBot="1" x14ac:dyDescent="0.3">
      <c r="A2350" s="9"/>
    </row>
    <row r="2351" spans="1:1" ht="15.75" customHeight="1" thickBot="1" x14ac:dyDescent="0.3">
      <c r="A2351" s="9"/>
    </row>
    <row r="2352" spans="1:1" ht="15.75" customHeight="1" thickBot="1" x14ac:dyDescent="0.3">
      <c r="A2352" s="9"/>
    </row>
    <row r="2353" spans="1:1" ht="15.75" customHeight="1" thickBot="1" x14ac:dyDescent="0.3">
      <c r="A2353" s="9"/>
    </row>
    <row r="2354" spans="1:1" ht="15.75" customHeight="1" thickBot="1" x14ac:dyDescent="0.3">
      <c r="A2354" s="9"/>
    </row>
    <row r="2355" spans="1:1" ht="15.75" customHeight="1" thickBot="1" x14ac:dyDescent="0.3">
      <c r="A2355" s="9"/>
    </row>
    <row r="2356" spans="1:1" ht="15.75" customHeight="1" thickBot="1" x14ac:dyDescent="0.3">
      <c r="A2356" s="9"/>
    </row>
    <row r="2357" spans="1:1" ht="15.75" customHeight="1" thickBot="1" x14ac:dyDescent="0.3">
      <c r="A2357" s="9"/>
    </row>
    <row r="2358" spans="1:1" ht="15.75" customHeight="1" thickBot="1" x14ac:dyDescent="0.3">
      <c r="A2358" s="9"/>
    </row>
    <row r="2359" spans="1:1" ht="15.75" customHeight="1" thickBot="1" x14ac:dyDescent="0.3">
      <c r="A2359" s="9"/>
    </row>
    <row r="2360" spans="1:1" ht="15.75" customHeight="1" thickBot="1" x14ac:dyDescent="0.3">
      <c r="A2360" s="9"/>
    </row>
    <row r="2361" spans="1:1" ht="15.75" customHeight="1" thickBot="1" x14ac:dyDescent="0.3">
      <c r="A2361" s="9"/>
    </row>
    <row r="2362" spans="1:1" ht="15.75" customHeight="1" thickBot="1" x14ac:dyDescent="0.3">
      <c r="A2362" s="9"/>
    </row>
    <row r="2363" spans="1:1" ht="15.75" customHeight="1" thickBot="1" x14ac:dyDescent="0.3">
      <c r="A2363" s="9"/>
    </row>
    <row r="2364" spans="1:1" ht="15.75" customHeight="1" thickBot="1" x14ac:dyDescent="0.3">
      <c r="A2364" s="9"/>
    </row>
    <row r="2365" spans="1:1" ht="15.75" customHeight="1" thickBot="1" x14ac:dyDescent="0.3">
      <c r="A2365" s="9"/>
    </row>
    <row r="2366" spans="1:1" ht="15.75" customHeight="1" thickBot="1" x14ac:dyDescent="0.3">
      <c r="A2366" s="9"/>
    </row>
    <row r="2367" spans="1:1" ht="15.75" customHeight="1" thickBot="1" x14ac:dyDescent="0.3">
      <c r="A2367" s="9"/>
    </row>
    <row r="2368" spans="1:1" ht="15.75" customHeight="1" thickBot="1" x14ac:dyDescent="0.3">
      <c r="A2368" s="9"/>
    </row>
    <row r="2369" spans="1:1" ht="15.75" customHeight="1" thickBot="1" x14ac:dyDescent="0.3">
      <c r="A2369" s="9"/>
    </row>
    <row r="2370" spans="1:1" ht="15.75" customHeight="1" thickBot="1" x14ac:dyDescent="0.3">
      <c r="A2370" s="9"/>
    </row>
    <row r="2371" spans="1:1" ht="15.75" customHeight="1" thickBot="1" x14ac:dyDescent="0.3">
      <c r="A2371" s="9"/>
    </row>
    <row r="2372" spans="1:1" ht="15.75" customHeight="1" thickBot="1" x14ac:dyDescent="0.3">
      <c r="A2372" s="9"/>
    </row>
    <row r="2373" spans="1:1" ht="15.75" customHeight="1" thickBot="1" x14ac:dyDescent="0.3">
      <c r="A2373" s="9"/>
    </row>
    <row r="2374" spans="1:1" ht="15.75" customHeight="1" thickBot="1" x14ac:dyDescent="0.3">
      <c r="A2374" s="9"/>
    </row>
    <row r="2375" spans="1:1" ht="15.75" customHeight="1" thickBot="1" x14ac:dyDescent="0.3">
      <c r="A2375" s="9"/>
    </row>
    <row r="2376" spans="1:1" ht="15.75" customHeight="1" thickBot="1" x14ac:dyDescent="0.3">
      <c r="A2376" s="9"/>
    </row>
    <row r="2377" spans="1:1" ht="15.75" customHeight="1" thickBot="1" x14ac:dyDescent="0.3">
      <c r="A2377" s="9"/>
    </row>
    <row r="2378" spans="1:1" ht="15.75" customHeight="1" thickBot="1" x14ac:dyDescent="0.3">
      <c r="A2378" s="9"/>
    </row>
    <row r="2379" spans="1:1" ht="15.75" customHeight="1" thickBot="1" x14ac:dyDescent="0.3">
      <c r="A2379" s="9"/>
    </row>
    <row r="2380" spans="1:1" ht="15.75" customHeight="1" thickBot="1" x14ac:dyDescent="0.3">
      <c r="A2380" s="9"/>
    </row>
    <row r="2381" spans="1:1" ht="15.75" customHeight="1" thickBot="1" x14ac:dyDescent="0.3">
      <c r="A2381" s="9"/>
    </row>
    <row r="2382" spans="1:1" ht="15.75" customHeight="1" thickBot="1" x14ac:dyDescent="0.3">
      <c r="A2382" s="9"/>
    </row>
    <row r="2383" spans="1:1" ht="15.75" customHeight="1" thickBot="1" x14ac:dyDescent="0.3">
      <c r="A2383" s="9"/>
    </row>
    <row r="2384" spans="1:1" ht="15.75" customHeight="1" thickBot="1" x14ac:dyDescent="0.3">
      <c r="A2384" s="9"/>
    </row>
    <row r="2385" spans="1:1" ht="15.75" customHeight="1" thickBot="1" x14ac:dyDescent="0.3">
      <c r="A2385" s="9"/>
    </row>
    <row r="2386" spans="1:1" ht="15.75" customHeight="1" thickBot="1" x14ac:dyDescent="0.3">
      <c r="A2386" s="9"/>
    </row>
    <row r="2387" spans="1:1" ht="15.75" customHeight="1" thickBot="1" x14ac:dyDescent="0.3">
      <c r="A2387" s="9"/>
    </row>
    <row r="2388" spans="1:1" ht="15.75" customHeight="1" thickBot="1" x14ac:dyDescent="0.3">
      <c r="A2388" s="9"/>
    </row>
    <row r="2389" spans="1:1" ht="15.75" customHeight="1" thickBot="1" x14ac:dyDescent="0.3">
      <c r="A2389" s="9"/>
    </row>
    <row r="2390" spans="1:1" ht="15.75" customHeight="1" thickBot="1" x14ac:dyDescent="0.3">
      <c r="A2390" s="9"/>
    </row>
    <row r="2391" spans="1:1" ht="15.75" customHeight="1" thickBot="1" x14ac:dyDescent="0.3">
      <c r="A2391" s="9"/>
    </row>
    <row r="2392" spans="1:1" ht="15.75" customHeight="1" thickBot="1" x14ac:dyDescent="0.3">
      <c r="A2392" s="9"/>
    </row>
    <row r="2393" spans="1:1" ht="15.75" customHeight="1" thickBot="1" x14ac:dyDescent="0.3">
      <c r="A2393" s="9"/>
    </row>
    <row r="2394" spans="1:1" ht="15.75" customHeight="1" thickBot="1" x14ac:dyDescent="0.3">
      <c r="A2394" s="9"/>
    </row>
    <row r="2395" spans="1:1" ht="15.75" customHeight="1" thickBot="1" x14ac:dyDescent="0.3">
      <c r="A2395" s="9"/>
    </row>
    <row r="2396" spans="1:1" ht="15.75" customHeight="1" thickBot="1" x14ac:dyDescent="0.3">
      <c r="A2396" s="9"/>
    </row>
    <row r="2397" spans="1:1" ht="15.75" customHeight="1" thickBot="1" x14ac:dyDescent="0.3">
      <c r="A2397" s="9"/>
    </row>
    <row r="2398" spans="1:1" ht="15.75" customHeight="1" thickBot="1" x14ac:dyDescent="0.3">
      <c r="A2398" s="9"/>
    </row>
    <row r="2399" spans="1:1" ht="15.75" customHeight="1" thickBot="1" x14ac:dyDescent="0.3">
      <c r="A2399" s="9"/>
    </row>
    <row r="2400" spans="1:1" ht="15.75" customHeight="1" thickBot="1" x14ac:dyDescent="0.3">
      <c r="A2400" s="9"/>
    </row>
    <row r="2401" spans="1:1" ht="15.75" customHeight="1" thickBot="1" x14ac:dyDescent="0.3">
      <c r="A2401" s="9"/>
    </row>
    <row r="2402" spans="1:1" ht="15.75" customHeight="1" thickBot="1" x14ac:dyDescent="0.3">
      <c r="A2402" s="9"/>
    </row>
    <row r="2403" spans="1:1" ht="15.75" customHeight="1" thickBot="1" x14ac:dyDescent="0.3">
      <c r="A2403" s="9"/>
    </row>
    <row r="2404" spans="1:1" ht="15.75" customHeight="1" thickBot="1" x14ac:dyDescent="0.3">
      <c r="A2404" s="9"/>
    </row>
    <row r="2405" spans="1:1" ht="15.75" customHeight="1" thickBot="1" x14ac:dyDescent="0.3">
      <c r="A2405" s="9"/>
    </row>
    <row r="2406" spans="1:1" ht="15.75" customHeight="1" thickBot="1" x14ac:dyDescent="0.3">
      <c r="A2406" s="9"/>
    </row>
    <row r="2407" spans="1:1" ht="15.75" customHeight="1" thickBot="1" x14ac:dyDescent="0.3">
      <c r="A2407" s="9"/>
    </row>
    <row r="2408" spans="1:1" ht="15.75" customHeight="1" thickBot="1" x14ac:dyDescent="0.3">
      <c r="A2408" s="9"/>
    </row>
    <row r="2409" spans="1:1" ht="15.75" customHeight="1" thickBot="1" x14ac:dyDescent="0.3">
      <c r="A2409" s="9"/>
    </row>
    <row r="2410" spans="1:1" ht="15.75" customHeight="1" thickBot="1" x14ac:dyDescent="0.3">
      <c r="A2410" s="9"/>
    </row>
    <row r="2411" spans="1:1" ht="15.75" customHeight="1" thickBot="1" x14ac:dyDescent="0.3">
      <c r="A2411" s="9"/>
    </row>
    <row r="2412" spans="1:1" ht="15.75" customHeight="1" thickBot="1" x14ac:dyDescent="0.3">
      <c r="A2412" s="9"/>
    </row>
    <row r="2413" spans="1:1" ht="15.75" customHeight="1" thickBot="1" x14ac:dyDescent="0.3">
      <c r="A2413" s="9"/>
    </row>
    <row r="2414" spans="1:1" ht="15.75" customHeight="1" thickBot="1" x14ac:dyDescent="0.3">
      <c r="A2414" s="9"/>
    </row>
    <row r="2415" spans="1:1" ht="15.75" customHeight="1" thickBot="1" x14ac:dyDescent="0.3">
      <c r="A2415" s="9"/>
    </row>
    <row r="2416" spans="1:1" ht="15.75" customHeight="1" thickBot="1" x14ac:dyDescent="0.3">
      <c r="A2416" s="9"/>
    </row>
    <row r="2417" spans="1:1" ht="15.75" customHeight="1" thickBot="1" x14ac:dyDescent="0.3">
      <c r="A2417" s="9"/>
    </row>
    <row r="2418" spans="1:1" ht="15.75" customHeight="1" thickBot="1" x14ac:dyDescent="0.3">
      <c r="A2418" s="9"/>
    </row>
    <row r="2419" spans="1:1" ht="15.75" customHeight="1" thickBot="1" x14ac:dyDescent="0.3">
      <c r="A2419" s="9"/>
    </row>
    <row r="2420" spans="1:1" ht="15.75" customHeight="1" thickBot="1" x14ac:dyDescent="0.3">
      <c r="A2420" s="9"/>
    </row>
    <row r="2421" spans="1:1" ht="15.75" customHeight="1" thickBot="1" x14ac:dyDescent="0.3">
      <c r="A2421" s="9"/>
    </row>
    <row r="2422" spans="1:1" ht="15.75" customHeight="1" thickBot="1" x14ac:dyDescent="0.3">
      <c r="A2422" s="9"/>
    </row>
    <row r="2423" spans="1:1" ht="15.75" customHeight="1" thickBot="1" x14ac:dyDescent="0.3">
      <c r="A2423" s="9"/>
    </row>
    <row r="2424" spans="1:1" ht="15.75" customHeight="1" thickBot="1" x14ac:dyDescent="0.3">
      <c r="A2424" s="9"/>
    </row>
    <row r="2425" spans="1:1" ht="15.75" customHeight="1" thickBot="1" x14ac:dyDescent="0.3">
      <c r="A2425" s="9"/>
    </row>
    <row r="2426" spans="1:1" ht="15.75" customHeight="1" thickBot="1" x14ac:dyDescent="0.3">
      <c r="A2426" s="9"/>
    </row>
    <row r="2427" spans="1:1" ht="15.75" customHeight="1" thickBot="1" x14ac:dyDescent="0.3">
      <c r="A2427" s="9"/>
    </row>
    <row r="2428" spans="1:1" ht="15.75" customHeight="1" thickBot="1" x14ac:dyDescent="0.3">
      <c r="A2428" s="9"/>
    </row>
    <row r="2429" spans="1:1" ht="15.75" customHeight="1" thickBot="1" x14ac:dyDescent="0.3">
      <c r="A2429" s="9"/>
    </row>
    <row r="2430" spans="1:1" ht="15.75" customHeight="1" thickBot="1" x14ac:dyDescent="0.3">
      <c r="A2430" s="9"/>
    </row>
    <row r="2431" spans="1:1" ht="15.75" customHeight="1" thickBot="1" x14ac:dyDescent="0.3">
      <c r="A2431" s="9"/>
    </row>
    <row r="2432" spans="1:1" ht="15.75" customHeight="1" thickBot="1" x14ac:dyDescent="0.3">
      <c r="A2432" s="9"/>
    </row>
    <row r="2433" spans="1:1" ht="15.75" customHeight="1" thickBot="1" x14ac:dyDescent="0.3">
      <c r="A2433" s="9"/>
    </row>
    <row r="2434" spans="1:1" ht="15.75" customHeight="1" thickBot="1" x14ac:dyDescent="0.3">
      <c r="A2434" s="9"/>
    </row>
    <row r="2435" spans="1:1" ht="15.75" customHeight="1" thickBot="1" x14ac:dyDescent="0.3">
      <c r="A2435" s="9"/>
    </row>
    <row r="2436" spans="1:1" ht="15.75" customHeight="1" thickBot="1" x14ac:dyDescent="0.3">
      <c r="A2436" s="9"/>
    </row>
    <row r="2437" spans="1:1" ht="15.75" customHeight="1" thickBot="1" x14ac:dyDescent="0.3">
      <c r="A2437" s="9"/>
    </row>
    <row r="2438" spans="1:1" ht="15.75" customHeight="1" thickBot="1" x14ac:dyDescent="0.3">
      <c r="A2438" s="9"/>
    </row>
    <row r="2439" spans="1:1" ht="15.75" customHeight="1" thickBot="1" x14ac:dyDescent="0.3">
      <c r="A2439" s="9"/>
    </row>
    <row r="2440" spans="1:1" ht="15.75" customHeight="1" thickBot="1" x14ac:dyDescent="0.3">
      <c r="A2440" s="9"/>
    </row>
    <row r="2441" spans="1:1" ht="15.75" customHeight="1" thickBot="1" x14ac:dyDescent="0.3">
      <c r="A2441" s="9"/>
    </row>
    <row r="2442" spans="1:1" ht="15.75" customHeight="1" thickBot="1" x14ac:dyDescent="0.3">
      <c r="A2442" s="9"/>
    </row>
    <row r="2443" spans="1:1" ht="15.75" customHeight="1" thickBot="1" x14ac:dyDescent="0.3">
      <c r="A2443" s="9"/>
    </row>
    <row r="2444" spans="1:1" ht="15.75" customHeight="1" thickBot="1" x14ac:dyDescent="0.3">
      <c r="A2444" s="9"/>
    </row>
    <row r="2445" spans="1:1" ht="15.75" customHeight="1" thickBot="1" x14ac:dyDescent="0.3">
      <c r="A2445" s="9"/>
    </row>
    <row r="2446" spans="1:1" ht="15.75" customHeight="1" thickBot="1" x14ac:dyDescent="0.3">
      <c r="A2446" s="9"/>
    </row>
    <row r="2447" spans="1:1" ht="15.75" customHeight="1" thickBot="1" x14ac:dyDescent="0.3">
      <c r="A2447" s="9"/>
    </row>
    <row r="2448" spans="1:1" ht="15.75" customHeight="1" thickBot="1" x14ac:dyDescent="0.3">
      <c r="A2448" s="9"/>
    </row>
    <row r="2449" spans="1:1" ht="15.75" customHeight="1" thickBot="1" x14ac:dyDescent="0.3">
      <c r="A2449" s="9"/>
    </row>
    <row r="2450" spans="1:1" ht="15.75" customHeight="1" thickBot="1" x14ac:dyDescent="0.3">
      <c r="A2450" s="9"/>
    </row>
    <row r="2451" spans="1:1" ht="15.75" customHeight="1" thickBot="1" x14ac:dyDescent="0.3">
      <c r="A2451" s="9"/>
    </row>
    <row r="2452" spans="1:1" ht="15.75" customHeight="1" thickBot="1" x14ac:dyDescent="0.3">
      <c r="A2452" s="9"/>
    </row>
    <row r="2453" spans="1:1" ht="15.75" customHeight="1" thickBot="1" x14ac:dyDescent="0.3">
      <c r="A2453" s="9"/>
    </row>
    <row r="2454" spans="1:1" ht="15.75" customHeight="1" thickBot="1" x14ac:dyDescent="0.3">
      <c r="A2454" s="9"/>
    </row>
    <row r="2455" spans="1:1" ht="15.75" customHeight="1" thickBot="1" x14ac:dyDescent="0.3">
      <c r="A2455" s="9"/>
    </row>
    <row r="2456" spans="1:1" ht="15.75" customHeight="1" thickBot="1" x14ac:dyDescent="0.3">
      <c r="A2456" s="9"/>
    </row>
    <row r="2457" spans="1:1" ht="15.75" customHeight="1" thickBot="1" x14ac:dyDescent="0.3">
      <c r="A2457" s="9"/>
    </row>
    <row r="2458" spans="1:1" ht="15.75" customHeight="1" thickBot="1" x14ac:dyDescent="0.3">
      <c r="A2458" s="9"/>
    </row>
    <row r="2459" spans="1:1" ht="15.75" customHeight="1" thickBot="1" x14ac:dyDescent="0.3">
      <c r="A2459" s="9"/>
    </row>
    <row r="2460" spans="1:1" ht="15.75" customHeight="1" thickBot="1" x14ac:dyDescent="0.3">
      <c r="A2460" s="9"/>
    </row>
    <row r="2461" spans="1:1" ht="15.75" customHeight="1" thickBot="1" x14ac:dyDescent="0.3">
      <c r="A2461" s="9"/>
    </row>
    <row r="2462" spans="1:1" ht="15.75" customHeight="1" thickBot="1" x14ac:dyDescent="0.3">
      <c r="A2462" s="9"/>
    </row>
    <row r="2463" spans="1:1" ht="15.75" customHeight="1" thickBot="1" x14ac:dyDescent="0.3">
      <c r="A2463" s="9"/>
    </row>
    <row r="2464" spans="1:1" ht="15.75" customHeight="1" thickBot="1" x14ac:dyDescent="0.3">
      <c r="A2464" s="9"/>
    </row>
    <row r="2465" spans="1:1" ht="15.75" customHeight="1" thickBot="1" x14ac:dyDescent="0.3">
      <c r="A2465" s="9"/>
    </row>
    <row r="2466" spans="1:1" ht="15.75" customHeight="1" thickBot="1" x14ac:dyDescent="0.3">
      <c r="A2466" s="9"/>
    </row>
    <row r="2467" spans="1:1" ht="15.75" customHeight="1" thickBot="1" x14ac:dyDescent="0.3">
      <c r="A2467" s="9"/>
    </row>
    <row r="2468" spans="1:1" ht="15.75" customHeight="1" thickBot="1" x14ac:dyDescent="0.3">
      <c r="A2468" s="9"/>
    </row>
    <row r="2469" spans="1:1" ht="15.75" customHeight="1" thickBot="1" x14ac:dyDescent="0.3">
      <c r="A2469" s="9"/>
    </row>
    <row r="2470" spans="1:1" ht="15.75" customHeight="1" thickBot="1" x14ac:dyDescent="0.3">
      <c r="A2470" s="9"/>
    </row>
    <row r="2471" spans="1:1" ht="15.75" customHeight="1" thickBot="1" x14ac:dyDescent="0.3">
      <c r="A2471" s="9"/>
    </row>
    <row r="2472" spans="1:1" ht="15.75" customHeight="1" thickBot="1" x14ac:dyDescent="0.3">
      <c r="A2472" s="9"/>
    </row>
    <row r="2473" spans="1:1" ht="15.75" customHeight="1" thickBot="1" x14ac:dyDescent="0.3">
      <c r="A2473" s="9"/>
    </row>
    <row r="2474" spans="1:1" ht="15.75" customHeight="1" thickBot="1" x14ac:dyDescent="0.3">
      <c r="A2474" s="9"/>
    </row>
    <row r="2475" spans="1:1" ht="15.75" customHeight="1" thickBot="1" x14ac:dyDescent="0.3">
      <c r="A2475" s="9"/>
    </row>
    <row r="2476" spans="1:1" ht="15.75" customHeight="1" thickBot="1" x14ac:dyDescent="0.3">
      <c r="A2476" s="9"/>
    </row>
    <row r="2477" spans="1:1" ht="15.75" customHeight="1" thickBot="1" x14ac:dyDescent="0.3">
      <c r="A2477" s="9"/>
    </row>
    <row r="2478" spans="1:1" ht="15.75" customHeight="1" thickBot="1" x14ac:dyDescent="0.3">
      <c r="A2478" s="9"/>
    </row>
    <row r="2479" spans="1:1" ht="15.75" customHeight="1" thickBot="1" x14ac:dyDescent="0.3">
      <c r="A2479" s="9"/>
    </row>
    <row r="2480" spans="1:1" ht="15.75" customHeight="1" thickBot="1" x14ac:dyDescent="0.3">
      <c r="A2480" s="9"/>
    </row>
    <row r="2481" spans="1:1" ht="15.75" customHeight="1" thickBot="1" x14ac:dyDescent="0.3">
      <c r="A2481" s="9"/>
    </row>
    <row r="2482" spans="1:1" ht="15.75" customHeight="1" thickBot="1" x14ac:dyDescent="0.3">
      <c r="A2482" s="9"/>
    </row>
    <row r="2483" spans="1:1" ht="15.75" customHeight="1" thickBot="1" x14ac:dyDescent="0.3">
      <c r="A2483" s="9"/>
    </row>
    <row r="2484" spans="1:1" ht="15.75" customHeight="1" thickBot="1" x14ac:dyDescent="0.3">
      <c r="A2484" s="9"/>
    </row>
    <row r="2485" spans="1:1" ht="15.75" customHeight="1" thickBot="1" x14ac:dyDescent="0.3">
      <c r="A2485" s="9"/>
    </row>
    <row r="2486" spans="1:1" ht="15.75" customHeight="1" thickBot="1" x14ac:dyDescent="0.3">
      <c r="A2486" s="9"/>
    </row>
    <row r="2487" spans="1:1" ht="15.75" customHeight="1" thickBot="1" x14ac:dyDescent="0.3">
      <c r="A2487" s="9"/>
    </row>
    <row r="2488" spans="1:1" ht="15.75" customHeight="1" thickBot="1" x14ac:dyDescent="0.3">
      <c r="A2488" s="9"/>
    </row>
    <row r="2489" spans="1:1" ht="15.75" customHeight="1" thickBot="1" x14ac:dyDescent="0.3">
      <c r="A2489" s="9"/>
    </row>
    <row r="2490" spans="1:1" ht="15.75" customHeight="1" thickBot="1" x14ac:dyDescent="0.3">
      <c r="A2490" s="9"/>
    </row>
    <row r="2491" spans="1:1" ht="15.75" customHeight="1" thickBot="1" x14ac:dyDescent="0.3">
      <c r="A2491" s="9"/>
    </row>
    <row r="2492" spans="1:1" ht="15.75" customHeight="1" thickBot="1" x14ac:dyDescent="0.3">
      <c r="A2492" s="9"/>
    </row>
    <row r="2493" spans="1:1" ht="15.75" customHeight="1" thickBot="1" x14ac:dyDescent="0.3">
      <c r="A2493" s="9"/>
    </row>
    <row r="2494" spans="1:1" ht="15.75" customHeight="1" thickBot="1" x14ac:dyDescent="0.3">
      <c r="A2494" s="9"/>
    </row>
    <row r="2495" spans="1:1" ht="15.75" customHeight="1" thickBot="1" x14ac:dyDescent="0.3">
      <c r="A2495" s="9"/>
    </row>
    <row r="2496" spans="1:1" ht="15.75" customHeight="1" thickBot="1" x14ac:dyDescent="0.3">
      <c r="A2496" s="9"/>
    </row>
    <row r="2497" spans="1:1" ht="15.75" customHeight="1" thickBot="1" x14ac:dyDescent="0.3">
      <c r="A2497" s="9"/>
    </row>
    <row r="2498" spans="1:1" ht="15.75" customHeight="1" thickBot="1" x14ac:dyDescent="0.3">
      <c r="A2498" s="9"/>
    </row>
    <row r="2499" spans="1:1" ht="15.75" customHeight="1" thickBot="1" x14ac:dyDescent="0.3">
      <c r="A2499" s="9"/>
    </row>
    <row r="2500" spans="1:1" ht="15.75" customHeight="1" thickBot="1" x14ac:dyDescent="0.3">
      <c r="A2500" s="9"/>
    </row>
    <row r="2501" spans="1:1" ht="15.75" customHeight="1" thickBot="1" x14ac:dyDescent="0.3">
      <c r="A2501" s="9"/>
    </row>
    <row r="2502" spans="1:1" ht="15.75" customHeight="1" thickBot="1" x14ac:dyDescent="0.3">
      <c r="A2502" s="9"/>
    </row>
    <row r="2503" spans="1:1" ht="15.75" customHeight="1" thickBot="1" x14ac:dyDescent="0.3">
      <c r="A2503" s="9"/>
    </row>
    <row r="2504" spans="1:1" ht="15.75" customHeight="1" thickBot="1" x14ac:dyDescent="0.3">
      <c r="A2504" s="9"/>
    </row>
    <row r="2505" spans="1:1" ht="15.75" customHeight="1" thickBot="1" x14ac:dyDescent="0.3">
      <c r="A2505" s="9"/>
    </row>
    <row r="2506" spans="1:1" ht="15.75" customHeight="1" thickBot="1" x14ac:dyDescent="0.3">
      <c r="A2506" s="9"/>
    </row>
    <row r="2507" spans="1:1" ht="15.75" customHeight="1" thickBot="1" x14ac:dyDescent="0.3">
      <c r="A2507" s="9"/>
    </row>
    <row r="2508" spans="1:1" ht="15.75" customHeight="1" thickBot="1" x14ac:dyDescent="0.3">
      <c r="A2508" s="9"/>
    </row>
    <row r="2509" spans="1:1" ht="15.75" customHeight="1" thickBot="1" x14ac:dyDescent="0.3">
      <c r="A2509" s="9"/>
    </row>
    <row r="2510" spans="1:1" ht="15.75" customHeight="1" thickBot="1" x14ac:dyDescent="0.3">
      <c r="A2510" s="9"/>
    </row>
    <row r="2511" spans="1:1" ht="15.75" customHeight="1" thickBot="1" x14ac:dyDescent="0.3">
      <c r="A2511" s="9"/>
    </row>
    <row r="2512" spans="1:1" ht="15.75" customHeight="1" thickBot="1" x14ac:dyDescent="0.3">
      <c r="A2512" s="9"/>
    </row>
    <row r="2513" spans="1:1" ht="15.75" customHeight="1" thickBot="1" x14ac:dyDescent="0.3">
      <c r="A2513" s="9"/>
    </row>
    <row r="2514" spans="1:1" ht="15.75" customHeight="1" thickBot="1" x14ac:dyDescent="0.3">
      <c r="A2514" s="9"/>
    </row>
    <row r="2515" spans="1:1" ht="15.75" customHeight="1" thickBot="1" x14ac:dyDescent="0.3">
      <c r="A2515" s="9"/>
    </row>
    <row r="2516" spans="1:1" ht="15.75" customHeight="1" thickBot="1" x14ac:dyDescent="0.3">
      <c r="A2516" s="9"/>
    </row>
    <row r="2517" spans="1:1" ht="15.75" customHeight="1" thickBot="1" x14ac:dyDescent="0.3">
      <c r="A2517" s="9"/>
    </row>
    <row r="2518" spans="1:1" ht="15.75" customHeight="1" thickBot="1" x14ac:dyDescent="0.3">
      <c r="A2518" s="9"/>
    </row>
    <row r="2519" spans="1:1" ht="15.75" customHeight="1" thickBot="1" x14ac:dyDescent="0.3">
      <c r="A2519" s="9"/>
    </row>
    <row r="2520" spans="1:1" ht="15.75" customHeight="1" thickBot="1" x14ac:dyDescent="0.3">
      <c r="A2520" s="9"/>
    </row>
    <row r="2521" spans="1:1" ht="15.75" customHeight="1" thickBot="1" x14ac:dyDescent="0.3">
      <c r="A2521" s="9"/>
    </row>
    <row r="2522" spans="1:1" ht="15.75" customHeight="1" thickBot="1" x14ac:dyDescent="0.3">
      <c r="A2522" s="9"/>
    </row>
    <row r="2523" spans="1:1" ht="15.75" customHeight="1" thickBot="1" x14ac:dyDescent="0.3">
      <c r="A2523" s="9"/>
    </row>
    <row r="2524" spans="1:1" ht="15.75" customHeight="1" thickBot="1" x14ac:dyDescent="0.3">
      <c r="A2524" s="9"/>
    </row>
    <row r="2525" spans="1:1" ht="15.75" customHeight="1" thickBot="1" x14ac:dyDescent="0.3">
      <c r="A2525" s="9"/>
    </row>
    <row r="2526" spans="1:1" ht="15.75" customHeight="1" thickBot="1" x14ac:dyDescent="0.3">
      <c r="A2526" s="9"/>
    </row>
    <row r="2527" spans="1:1" ht="15.75" customHeight="1" thickBot="1" x14ac:dyDescent="0.3">
      <c r="A2527" s="9"/>
    </row>
    <row r="2528" spans="1:1" ht="15.75" customHeight="1" thickBot="1" x14ac:dyDescent="0.3">
      <c r="A2528" s="9"/>
    </row>
    <row r="2529" spans="1:1" ht="15.75" customHeight="1" thickBot="1" x14ac:dyDescent="0.3">
      <c r="A2529" s="9"/>
    </row>
    <row r="2530" spans="1:1" ht="15.75" customHeight="1" thickBot="1" x14ac:dyDescent="0.3">
      <c r="A2530" s="9"/>
    </row>
    <row r="2531" spans="1:1" ht="15.75" customHeight="1" thickBot="1" x14ac:dyDescent="0.3">
      <c r="A2531" s="9"/>
    </row>
    <row r="2532" spans="1:1" ht="15.75" customHeight="1" thickBot="1" x14ac:dyDescent="0.3">
      <c r="A2532" s="9"/>
    </row>
    <row r="2533" spans="1:1" ht="15.75" customHeight="1" thickBot="1" x14ac:dyDescent="0.3">
      <c r="A2533" s="9"/>
    </row>
    <row r="2534" spans="1:1" ht="15.75" customHeight="1" thickBot="1" x14ac:dyDescent="0.3">
      <c r="A2534" s="9"/>
    </row>
    <row r="2535" spans="1:1" ht="15.75" customHeight="1" thickBot="1" x14ac:dyDescent="0.3">
      <c r="A2535" s="9"/>
    </row>
    <row r="2536" spans="1:1" ht="15.75" customHeight="1" thickBot="1" x14ac:dyDescent="0.3">
      <c r="A2536" s="9"/>
    </row>
    <row r="2537" spans="1:1" ht="15.75" customHeight="1" thickBot="1" x14ac:dyDescent="0.3">
      <c r="A2537" s="9"/>
    </row>
    <row r="2538" spans="1:1" ht="15.75" customHeight="1" thickBot="1" x14ac:dyDescent="0.3">
      <c r="A2538" s="9"/>
    </row>
    <row r="2539" spans="1:1" ht="15.75" customHeight="1" thickBot="1" x14ac:dyDescent="0.3">
      <c r="A2539" s="9"/>
    </row>
    <row r="2540" spans="1:1" ht="15.75" customHeight="1" thickBot="1" x14ac:dyDescent="0.3">
      <c r="A2540" s="9"/>
    </row>
    <row r="2541" spans="1:1" ht="15.75" customHeight="1" thickBot="1" x14ac:dyDescent="0.3">
      <c r="A2541" s="9"/>
    </row>
    <row r="2542" spans="1:1" ht="15.75" customHeight="1" thickBot="1" x14ac:dyDescent="0.3">
      <c r="A2542" s="9"/>
    </row>
    <row r="2543" spans="1:1" ht="15.75" customHeight="1" thickBot="1" x14ac:dyDescent="0.3">
      <c r="A2543" s="9"/>
    </row>
    <row r="2544" spans="1:1" ht="15.75" customHeight="1" thickBot="1" x14ac:dyDescent="0.3">
      <c r="A2544" s="9"/>
    </row>
    <row r="2545" spans="1:1" ht="15.75" customHeight="1" thickBot="1" x14ac:dyDescent="0.3">
      <c r="A2545" s="9"/>
    </row>
    <row r="2546" spans="1:1" ht="15.75" customHeight="1" thickBot="1" x14ac:dyDescent="0.3">
      <c r="A2546" s="9"/>
    </row>
    <row r="2547" spans="1:1" ht="15.75" customHeight="1" thickBot="1" x14ac:dyDescent="0.3">
      <c r="A2547" s="9"/>
    </row>
    <row r="2548" spans="1:1" ht="15.75" customHeight="1" thickBot="1" x14ac:dyDescent="0.3">
      <c r="A2548" s="9"/>
    </row>
    <row r="2549" spans="1:1" ht="15.75" customHeight="1" thickBot="1" x14ac:dyDescent="0.3">
      <c r="A2549" s="9"/>
    </row>
    <row r="2550" spans="1:1" ht="15.75" customHeight="1" thickBot="1" x14ac:dyDescent="0.3">
      <c r="A2550" s="9"/>
    </row>
    <row r="2551" spans="1:1" ht="15.75" customHeight="1" thickBot="1" x14ac:dyDescent="0.3">
      <c r="A2551" s="9"/>
    </row>
    <row r="2552" spans="1:1" ht="15.75" customHeight="1" thickBot="1" x14ac:dyDescent="0.3">
      <c r="A2552" s="9"/>
    </row>
    <row r="2553" spans="1:1" ht="15.75" customHeight="1" thickBot="1" x14ac:dyDescent="0.3">
      <c r="A2553" s="9"/>
    </row>
    <row r="2554" spans="1:1" ht="15.75" customHeight="1" thickBot="1" x14ac:dyDescent="0.3">
      <c r="A2554" s="9"/>
    </row>
    <row r="2555" spans="1:1" ht="15.75" customHeight="1" thickBot="1" x14ac:dyDescent="0.3">
      <c r="A2555" s="9"/>
    </row>
    <row r="2556" spans="1:1" ht="15.75" customHeight="1" thickBot="1" x14ac:dyDescent="0.3">
      <c r="A2556" s="9"/>
    </row>
    <row r="2557" spans="1:1" ht="15.75" customHeight="1" thickBot="1" x14ac:dyDescent="0.3">
      <c r="A2557" s="9"/>
    </row>
    <row r="2558" spans="1:1" ht="15.75" customHeight="1" thickBot="1" x14ac:dyDescent="0.3">
      <c r="A2558" s="9"/>
    </row>
    <row r="2559" spans="1:1" ht="15.75" customHeight="1" thickBot="1" x14ac:dyDescent="0.3">
      <c r="A2559" s="9"/>
    </row>
    <row r="2560" spans="1:1" ht="15.75" customHeight="1" thickBot="1" x14ac:dyDescent="0.3">
      <c r="A2560" s="9"/>
    </row>
    <row r="2561" spans="1:1" ht="15.75" customHeight="1" thickBot="1" x14ac:dyDescent="0.3">
      <c r="A2561" s="9"/>
    </row>
    <row r="2562" spans="1:1" ht="15.75" customHeight="1" thickBot="1" x14ac:dyDescent="0.3">
      <c r="A2562" s="9"/>
    </row>
    <row r="2563" spans="1:1" ht="15.75" customHeight="1" thickBot="1" x14ac:dyDescent="0.3">
      <c r="A2563" s="9"/>
    </row>
    <row r="2564" spans="1:1" ht="15.75" customHeight="1" thickBot="1" x14ac:dyDescent="0.3">
      <c r="A2564" s="9"/>
    </row>
    <row r="2565" spans="1:1" ht="15.75" customHeight="1" thickBot="1" x14ac:dyDescent="0.3">
      <c r="A2565" s="9"/>
    </row>
    <row r="2566" spans="1:1" ht="15.75" customHeight="1" thickBot="1" x14ac:dyDescent="0.3">
      <c r="A2566" s="9"/>
    </row>
    <row r="2567" spans="1:1" ht="15.75" customHeight="1" thickBot="1" x14ac:dyDescent="0.3">
      <c r="A2567" s="9"/>
    </row>
    <row r="2568" spans="1:1" ht="15.75" customHeight="1" thickBot="1" x14ac:dyDescent="0.3">
      <c r="A2568" s="9"/>
    </row>
    <row r="2569" spans="1:1" ht="15.75" customHeight="1" thickBot="1" x14ac:dyDescent="0.3">
      <c r="A2569" s="9"/>
    </row>
    <row r="2570" spans="1:1" ht="15.75" customHeight="1" thickBot="1" x14ac:dyDescent="0.3">
      <c r="A2570" s="9"/>
    </row>
    <row r="2571" spans="1:1" ht="15.75" customHeight="1" thickBot="1" x14ac:dyDescent="0.3">
      <c r="A2571" s="9"/>
    </row>
    <row r="2572" spans="1:1" ht="15.75" customHeight="1" thickBot="1" x14ac:dyDescent="0.3">
      <c r="A2572" s="9"/>
    </row>
    <row r="2573" spans="1:1" ht="15.75" customHeight="1" thickBot="1" x14ac:dyDescent="0.3">
      <c r="A2573" s="9"/>
    </row>
    <row r="2574" spans="1:1" ht="15.75" customHeight="1" thickBot="1" x14ac:dyDescent="0.3">
      <c r="A2574" s="9"/>
    </row>
    <row r="2575" spans="1:1" ht="15.75" customHeight="1" thickBot="1" x14ac:dyDescent="0.3">
      <c r="A2575" s="9"/>
    </row>
    <row r="2576" spans="1:1" ht="15.75" customHeight="1" thickBot="1" x14ac:dyDescent="0.3">
      <c r="A2576" s="9"/>
    </row>
    <row r="2577" spans="1:1" ht="15.75" customHeight="1" thickBot="1" x14ac:dyDescent="0.3">
      <c r="A2577" s="9"/>
    </row>
    <row r="2578" spans="1:1" ht="15.75" customHeight="1" thickBot="1" x14ac:dyDescent="0.3">
      <c r="A2578" s="9"/>
    </row>
    <row r="2579" spans="1:1" ht="15.75" customHeight="1" thickBot="1" x14ac:dyDescent="0.3">
      <c r="A2579" s="9"/>
    </row>
    <row r="2580" spans="1:1" ht="15.75" customHeight="1" thickBot="1" x14ac:dyDescent="0.3">
      <c r="A2580" s="9"/>
    </row>
    <row r="2581" spans="1:1" ht="15.75" customHeight="1" thickBot="1" x14ac:dyDescent="0.3">
      <c r="A2581" s="9"/>
    </row>
    <row r="2582" spans="1:1" ht="15.75" customHeight="1" thickBot="1" x14ac:dyDescent="0.3">
      <c r="A2582" s="9"/>
    </row>
    <row r="2583" spans="1:1" ht="15.75" customHeight="1" thickBot="1" x14ac:dyDescent="0.3">
      <c r="A2583" s="9"/>
    </row>
    <row r="2584" spans="1:1" ht="15.75" customHeight="1" thickBot="1" x14ac:dyDescent="0.3">
      <c r="A2584" s="9"/>
    </row>
    <row r="2585" spans="1:1" ht="15.75" customHeight="1" thickBot="1" x14ac:dyDescent="0.3">
      <c r="A2585" s="9"/>
    </row>
    <row r="2586" spans="1:1" ht="15.75" customHeight="1" thickBot="1" x14ac:dyDescent="0.3">
      <c r="A2586" s="9"/>
    </row>
    <row r="2587" spans="1:1" ht="15.75" customHeight="1" thickBot="1" x14ac:dyDescent="0.3">
      <c r="A2587" s="9"/>
    </row>
    <row r="2588" spans="1:1" ht="15.75" customHeight="1" thickBot="1" x14ac:dyDescent="0.3">
      <c r="A2588" s="9"/>
    </row>
    <row r="2589" spans="1:1" ht="15.75" customHeight="1" thickBot="1" x14ac:dyDescent="0.3">
      <c r="A2589" s="9"/>
    </row>
    <row r="2590" spans="1:1" ht="15.75" customHeight="1" thickBot="1" x14ac:dyDescent="0.3">
      <c r="A2590" s="9"/>
    </row>
    <row r="2591" spans="1:1" ht="15.75" customHeight="1" thickBot="1" x14ac:dyDescent="0.3">
      <c r="A2591" s="9"/>
    </row>
    <row r="2592" spans="1:1" ht="15.75" customHeight="1" thickBot="1" x14ac:dyDescent="0.3">
      <c r="A2592" s="9"/>
    </row>
    <row r="2593" spans="1:1" ht="15.75" customHeight="1" thickBot="1" x14ac:dyDescent="0.3">
      <c r="A2593" s="9"/>
    </row>
    <row r="2594" spans="1:1" ht="15.75" customHeight="1" thickBot="1" x14ac:dyDescent="0.3">
      <c r="A2594" s="9"/>
    </row>
    <row r="2595" spans="1:1" ht="15.75" customHeight="1" thickBot="1" x14ac:dyDescent="0.3">
      <c r="A2595" s="9"/>
    </row>
    <row r="2596" spans="1:1" ht="15.75" customHeight="1" thickBot="1" x14ac:dyDescent="0.3">
      <c r="A2596" s="9"/>
    </row>
    <row r="2597" spans="1:1" ht="15.75" customHeight="1" thickBot="1" x14ac:dyDescent="0.3">
      <c r="A2597" s="9"/>
    </row>
    <row r="2598" spans="1:1" ht="15.75" customHeight="1" thickBot="1" x14ac:dyDescent="0.3">
      <c r="A2598" s="9"/>
    </row>
    <row r="2599" spans="1:1" ht="15.75" customHeight="1" thickBot="1" x14ac:dyDescent="0.3">
      <c r="A2599" s="9"/>
    </row>
    <row r="2600" spans="1:1" ht="15.75" customHeight="1" thickBot="1" x14ac:dyDescent="0.3">
      <c r="A2600" s="9"/>
    </row>
    <row r="2601" spans="1:1" ht="15.75" customHeight="1" thickBot="1" x14ac:dyDescent="0.3">
      <c r="A2601" s="9"/>
    </row>
    <row r="2602" spans="1:1" ht="15.75" customHeight="1" thickBot="1" x14ac:dyDescent="0.3">
      <c r="A2602" s="9"/>
    </row>
    <row r="2603" spans="1:1" ht="15.75" customHeight="1" thickBot="1" x14ac:dyDescent="0.3">
      <c r="A2603" s="9"/>
    </row>
    <row r="2604" spans="1:1" ht="15.75" customHeight="1" thickBot="1" x14ac:dyDescent="0.3">
      <c r="A2604" s="9"/>
    </row>
    <row r="2605" spans="1:1" ht="15.75" customHeight="1" thickBot="1" x14ac:dyDescent="0.3">
      <c r="A2605" s="9"/>
    </row>
    <row r="2606" spans="1:1" ht="15.75" customHeight="1" thickBot="1" x14ac:dyDescent="0.3">
      <c r="A2606" s="9"/>
    </row>
    <row r="2607" spans="1:1" ht="15.75" customHeight="1" thickBot="1" x14ac:dyDescent="0.3">
      <c r="A2607" s="9"/>
    </row>
    <row r="2608" spans="1:1" ht="15.75" customHeight="1" thickBot="1" x14ac:dyDescent="0.3">
      <c r="A2608" s="9"/>
    </row>
    <row r="2609" spans="1:1" ht="15.75" customHeight="1" thickBot="1" x14ac:dyDescent="0.3">
      <c r="A2609" s="9"/>
    </row>
    <row r="2610" spans="1:1" ht="15.75" customHeight="1" thickBot="1" x14ac:dyDescent="0.3">
      <c r="A2610" s="9"/>
    </row>
    <row r="2611" spans="1:1" ht="15.75" customHeight="1" thickBot="1" x14ac:dyDescent="0.3">
      <c r="A2611" s="9"/>
    </row>
    <row r="2612" spans="1:1" ht="15.75" customHeight="1" thickBot="1" x14ac:dyDescent="0.3">
      <c r="A2612" s="9"/>
    </row>
    <row r="2613" spans="1:1" ht="15.75" customHeight="1" thickBot="1" x14ac:dyDescent="0.3">
      <c r="A2613" s="9"/>
    </row>
    <row r="2614" spans="1:1" ht="15.75" customHeight="1" thickBot="1" x14ac:dyDescent="0.3">
      <c r="A2614" s="9"/>
    </row>
    <row r="2615" spans="1:1" ht="15.75" customHeight="1" thickBot="1" x14ac:dyDescent="0.3">
      <c r="A2615" s="9"/>
    </row>
    <row r="2616" spans="1:1" ht="15.75" customHeight="1" thickBot="1" x14ac:dyDescent="0.3">
      <c r="A2616" s="9"/>
    </row>
    <row r="2617" spans="1:1" ht="15.75" customHeight="1" thickBot="1" x14ac:dyDescent="0.3">
      <c r="A2617" s="9"/>
    </row>
    <row r="2618" spans="1:1" ht="15.75" customHeight="1" thickBot="1" x14ac:dyDescent="0.3">
      <c r="A2618" s="9"/>
    </row>
    <row r="2619" spans="1:1" ht="15.75" customHeight="1" thickBot="1" x14ac:dyDescent="0.3">
      <c r="A2619" s="9"/>
    </row>
    <row r="2620" spans="1:1" ht="15.75" customHeight="1" thickBot="1" x14ac:dyDescent="0.3">
      <c r="A2620" s="9"/>
    </row>
    <row r="2621" spans="1:1" ht="15.75" customHeight="1" thickBot="1" x14ac:dyDescent="0.3">
      <c r="A2621" s="9"/>
    </row>
    <row r="2622" spans="1:1" ht="15.75" customHeight="1" thickBot="1" x14ac:dyDescent="0.3">
      <c r="A2622" s="9"/>
    </row>
    <row r="2623" spans="1:1" ht="15.75" customHeight="1" thickBot="1" x14ac:dyDescent="0.3">
      <c r="A2623" s="9"/>
    </row>
    <row r="2624" spans="1:1" ht="15.75" customHeight="1" thickBot="1" x14ac:dyDescent="0.3">
      <c r="A2624" s="9"/>
    </row>
    <row r="2625" spans="1:1" ht="15.75" customHeight="1" thickBot="1" x14ac:dyDescent="0.3">
      <c r="A2625" s="9"/>
    </row>
    <row r="2626" spans="1:1" ht="15.75" customHeight="1" thickBot="1" x14ac:dyDescent="0.3">
      <c r="A2626" s="9"/>
    </row>
    <row r="2627" spans="1:1" ht="15.75" customHeight="1" thickBot="1" x14ac:dyDescent="0.3">
      <c r="A2627" s="9"/>
    </row>
    <row r="2628" spans="1:1" ht="15.75" customHeight="1" thickBot="1" x14ac:dyDescent="0.3">
      <c r="A2628" s="9"/>
    </row>
    <row r="2629" spans="1:1" ht="15.75" customHeight="1" thickBot="1" x14ac:dyDescent="0.3">
      <c r="A2629" s="9"/>
    </row>
    <row r="2630" spans="1:1" ht="15.75" customHeight="1" thickBot="1" x14ac:dyDescent="0.3">
      <c r="A2630" s="9"/>
    </row>
    <row r="2631" spans="1:1" ht="15.75" customHeight="1" thickBot="1" x14ac:dyDescent="0.3">
      <c r="A2631" s="9"/>
    </row>
    <row r="2632" spans="1:1" ht="15.75" customHeight="1" thickBot="1" x14ac:dyDescent="0.3">
      <c r="A2632" s="9"/>
    </row>
    <row r="2633" spans="1:1" ht="15.75" customHeight="1" thickBot="1" x14ac:dyDescent="0.3">
      <c r="A2633" s="9"/>
    </row>
    <row r="2634" spans="1:1" ht="15.75" customHeight="1" thickBot="1" x14ac:dyDescent="0.3">
      <c r="A2634" s="9"/>
    </row>
    <row r="2635" spans="1:1" ht="15.75" customHeight="1" thickBot="1" x14ac:dyDescent="0.3">
      <c r="A2635" s="9"/>
    </row>
    <row r="2636" spans="1:1" ht="15.75" customHeight="1" thickBot="1" x14ac:dyDescent="0.3">
      <c r="A2636" s="9"/>
    </row>
    <row r="2637" spans="1:1" ht="15.75" customHeight="1" thickBot="1" x14ac:dyDescent="0.3">
      <c r="A2637" s="9"/>
    </row>
    <row r="2638" spans="1:1" ht="15.75" customHeight="1" thickBot="1" x14ac:dyDescent="0.3">
      <c r="A2638" s="9"/>
    </row>
    <row r="2639" spans="1:1" ht="15.75" customHeight="1" thickBot="1" x14ac:dyDescent="0.3">
      <c r="A2639" s="9"/>
    </row>
    <row r="2640" spans="1:1" ht="15.75" customHeight="1" thickBot="1" x14ac:dyDescent="0.3">
      <c r="A2640" s="9"/>
    </row>
    <row r="2641" spans="1:1" ht="15.75" customHeight="1" thickBot="1" x14ac:dyDescent="0.3">
      <c r="A2641" s="9"/>
    </row>
    <row r="2642" spans="1:1" ht="15.75" customHeight="1" thickBot="1" x14ac:dyDescent="0.3">
      <c r="A2642" s="9"/>
    </row>
    <row r="2643" spans="1:1" ht="15.75" customHeight="1" thickBot="1" x14ac:dyDescent="0.3">
      <c r="A2643" s="9"/>
    </row>
    <row r="2644" spans="1:1" ht="15.75" customHeight="1" thickBot="1" x14ac:dyDescent="0.3">
      <c r="A2644" s="9"/>
    </row>
    <row r="2645" spans="1:1" ht="15.75" customHeight="1" thickBot="1" x14ac:dyDescent="0.3">
      <c r="A2645" s="9"/>
    </row>
    <row r="2646" spans="1:1" ht="15.75" customHeight="1" thickBot="1" x14ac:dyDescent="0.3">
      <c r="A2646" s="9"/>
    </row>
    <row r="2647" spans="1:1" ht="15.75" customHeight="1" thickBot="1" x14ac:dyDescent="0.3">
      <c r="A2647" s="9"/>
    </row>
    <row r="2648" spans="1:1" ht="15.75" customHeight="1" thickBot="1" x14ac:dyDescent="0.3">
      <c r="A2648" s="9"/>
    </row>
    <row r="2649" spans="1:1" ht="15.75" customHeight="1" thickBot="1" x14ac:dyDescent="0.3">
      <c r="A2649" s="9"/>
    </row>
    <row r="2650" spans="1:1" ht="15.75" customHeight="1" thickBot="1" x14ac:dyDescent="0.3">
      <c r="A2650" s="9"/>
    </row>
    <row r="2651" spans="1:1" ht="15.75" customHeight="1" thickBot="1" x14ac:dyDescent="0.3">
      <c r="A2651" s="9"/>
    </row>
    <row r="2652" spans="1:1" ht="15.75" customHeight="1" thickBot="1" x14ac:dyDescent="0.3">
      <c r="A2652" s="9"/>
    </row>
    <row r="2653" spans="1:1" ht="15.75" customHeight="1" thickBot="1" x14ac:dyDescent="0.3">
      <c r="A2653" s="9"/>
    </row>
    <row r="2654" spans="1:1" ht="15.75" customHeight="1" thickBot="1" x14ac:dyDescent="0.3">
      <c r="A2654" s="9"/>
    </row>
    <row r="2655" spans="1:1" ht="15.75" customHeight="1" thickBot="1" x14ac:dyDescent="0.3">
      <c r="A2655" s="9"/>
    </row>
    <row r="2656" spans="1:1" ht="15.75" customHeight="1" thickBot="1" x14ac:dyDescent="0.3">
      <c r="A2656" s="9"/>
    </row>
    <row r="2657" spans="1:1" ht="15.75" customHeight="1" thickBot="1" x14ac:dyDescent="0.3">
      <c r="A2657" s="9"/>
    </row>
    <row r="2658" spans="1:1" ht="15.75" customHeight="1" thickBot="1" x14ac:dyDescent="0.3">
      <c r="A2658" s="9"/>
    </row>
    <row r="2659" spans="1:1" ht="15.75" customHeight="1" thickBot="1" x14ac:dyDescent="0.3">
      <c r="A2659" s="9"/>
    </row>
    <row r="2660" spans="1:1" ht="15.75" customHeight="1" thickBot="1" x14ac:dyDescent="0.3">
      <c r="A2660" s="9"/>
    </row>
    <row r="2661" spans="1:1" ht="15.75" customHeight="1" thickBot="1" x14ac:dyDescent="0.3">
      <c r="A2661" s="9"/>
    </row>
    <row r="2662" spans="1:1" ht="15.75" customHeight="1" thickBot="1" x14ac:dyDescent="0.3">
      <c r="A2662" s="9"/>
    </row>
    <row r="2663" spans="1:1" ht="15.75" customHeight="1" thickBot="1" x14ac:dyDescent="0.3">
      <c r="A2663" s="9"/>
    </row>
    <row r="2664" spans="1:1" ht="15.75" customHeight="1" thickBot="1" x14ac:dyDescent="0.3">
      <c r="A2664" s="9"/>
    </row>
    <row r="2665" spans="1:1" ht="15.75" customHeight="1" thickBot="1" x14ac:dyDescent="0.3">
      <c r="A2665" s="9"/>
    </row>
    <row r="2666" spans="1:1" ht="15.75" customHeight="1" thickBot="1" x14ac:dyDescent="0.3">
      <c r="A2666" s="9"/>
    </row>
    <row r="2667" spans="1:1" ht="15.75" customHeight="1" thickBot="1" x14ac:dyDescent="0.3">
      <c r="A2667" s="9"/>
    </row>
    <row r="2668" spans="1:1" ht="15.75" customHeight="1" thickBot="1" x14ac:dyDescent="0.3">
      <c r="A2668" s="9"/>
    </row>
    <row r="2669" spans="1:1" ht="15.75" customHeight="1" thickBot="1" x14ac:dyDescent="0.3">
      <c r="A2669" s="9"/>
    </row>
    <row r="2670" spans="1:1" ht="15.75" customHeight="1" thickBot="1" x14ac:dyDescent="0.3">
      <c r="A2670" s="9"/>
    </row>
    <row r="2671" spans="1:1" ht="15.75" customHeight="1" thickBot="1" x14ac:dyDescent="0.3">
      <c r="A2671" s="9"/>
    </row>
    <row r="2672" spans="1:1" ht="15.75" customHeight="1" thickBot="1" x14ac:dyDescent="0.3">
      <c r="A2672" s="9"/>
    </row>
    <row r="2673" spans="1:1" ht="15.75" customHeight="1" thickBot="1" x14ac:dyDescent="0.3">
      <c r="A2673" s="9"/>
    </row>
    <row r="2674" spans="1:1" ht="15.75" customHeight="1" thickBot="1" x14ac:dyDescent="0.3">
      <c r="A2674" s="9"/>
    </row>
    <row r="2675" spans="1:1" ht="15.75" customHeight="1" thickBot="1" x14ac:dyDescent="0.3">
      <c r="A2675" s="9"/>
    </row>
    <row r="2676" spans="1:1" ht="15.75" customHeight="1" thickBot="1" x14ac:dyDescent="0.3">
      <c r="A2676" s="9"/>
    </row>
    <row r="2677" spans="1:1" ht="15.75" customHeight="1" thickBot="1" x14ac:dyDescent="0.3">
      <c r="A2677" s="9"/>
    </row>
    <row r="2678" spans="1:1" ht="15.75" customHeight="1" thickBot="1" x14ac:dyDescent="0.3">
      <c r="A2678" s="9"/>
    </row>
    <row r="2679" spans="1:1" ht="15.75" customHeight="1" thickBot="1" x14ac:dyDescent="0.3">
      <c r="A2679" s="9"/>
    </row>
    <row r="2680" spans="1:1" ht="15.75" customHeight="1" thickBot="1" x14ac:dyDescent="0.3">
      <c r="A2680" s="9"/>
    </row>
    <row r="2681" spans="1:1" ht="15.75" customHeight="1" thickBot="1" x14ac:dyDescent="0.3">
      <c r="A2681" s="9"/>
    </row>
    <row r="2682" spans="1:1" ht="15.75" customHeight="1" thickBot="1" x14ac:dyDescent="0.3">
      <c r="A2682" s="9"/>
    </row>
    <row r="2683" spans="1:1" ht="15.75" customHeight="1" thickBot="1" x14ac:dyDescent="0.3">
      <c r="A2683" s="9"/>
    </row>
    <row r="2684" spans="1:1" ht="15.75" customHeight="1" thickBot="1" x14ac:dyDescent="0.3">
      <c r="A2684" s="9"/>
    </row>
    <row r="2685" spans="1:1" ht="15.75" customHeight="1" thickBot="1" x14ac:dyDescent="0.3">
      <c r="A2685" s="9"/>
    </row>
    <row r="2686" spans="1:1" ht="15.75" customHeight="1" thickBot="1" x14ac:dyDescent="0.3">
      <c r="A2686" s="9"/>
    </row>
    <row r="2687" spans="1:1" ht="15.75" customHeight="1" thickBot="1" x14ac:dyDescent="0.3">
      <c r="A2687" s="9"/>
    </row>
    <row r="2688" spans="1:1" ht="15.75" customHeight="1" thickBot="1" x14ac:dyDescent="0.3">
      <c r="A2688" s="9"/>
    </row>
    <row r="2689" spans="1:1" ht="15.75" customHeight="1" thickBot="1" x14ac:dyDescent="0.3">
      <c r="A2689" s="9"/>
    </row>
    <row r="2690" spans="1:1" ht="15.75" customHeight="1" thickBot="1" x14ac:dyDescent="0.3">
      <c r="A2690" s="9"/>
    </row>
    <row r="2691" spans="1:1" ht="15.75" customHeight="1" thickBot="1" x14ac:dyDescent="0.3">
      <c r="A2691" s="9"/>
    </row>
    <row r="2692" spans="1:1" ht="15.75" customHeight="1" thickBot="1" x14ac:dyDescent="0.3">
      <c r="A2692" s="9"/>
    </row>
    <row r="2693" spans="1:1" ht="15.75" customHeight="1" thickBot="1" x14ac:dyDescent="0.3">
      <c r="A2693" s="9"/>
    </row>
    <row r="2694" spans="1:1" ht="15.75" customHeight="1" thickBot="1" x14ac:dyDescent="0.3">
      <c r="A2694" s="9"/>
    </row>
    <row r="2695" spans="1:1" ht="15.75" customHeight="1" thickBot="1" x14ac:dyDescent="0.3">
      <c r="A2695" s="9"/>
    </row>
    <row r="2696" spans="1:1" ht="15.75" customHeight="1" thickBot="1" x14ac:dyDescent="0.3">
      <c r="A2696" s="9"/>
    </row>
    <row r="2697" spans="1:1" ht="15.75" customHeight="1" thickBot="1" x14ac:dyDescent="0.3">
      <c r="A2697" s="9"/>
    </row>
    <row r="2698" spans="1:1" ht="15.75" customHeight="1" thickBot="1" x14ac:dyDescent="0.3">
      <c r="A2698" s="9"/>
    </row>
    <row r="2699" spans="1:1" ht="15.75" customHeight="1" thickBot="1" x14ac:dyDescent="0.3">
      <c r="A2699" s="9"/>
    </row>
    <row r="2700" spans="1:1" ht="15.75" customHeight="1" thickBot="1" x14ac:dyDescent="0.3">
      <c r="A2700" s="9"/>
    </row>
    <row r="2701" spans="1:1" ht="15.75" customHeight="1" thickBot="1" x14ac:dyDescent="0.3">
      <c r="A2701" s="9"/>
    </row>
    <row r="2702" spans="1:1" ht="15.75" customHeight="1" thickBot="1" x14ac:dyDescent="0.3">
      <c r="A2702" s="9"/>
    </row>
    <row r="2703" spans="1:1" ht="15.75" customHeight="1" thickBot="1" x14ac:dyDescent="0.3">
      <c r="A2703" s="9"/>
    </row>
    <row r="2704" spans="1:1" ht="15.75" customHeight="1" thickBot="1" x14ac:dyDescent="0.3">
      <c r="A2704" s="9"/>
    </row>
    <row r="2705" spans="1:1" ht="15.75" customHeight="1" thickBot="1" x14ac:dyDescent="0.3">
      <c r="A2705" s="9"/>
    </row>
    <row r="2706" spans="1:1" ht="15.75" customHeight="1" thickBot="1" x14ac:dyDescent="0.3">
      <c r="A2706" s="9"/>
    </row>
    <row r="2707" spans="1:1" ht="15.75" customHeight="1" thickBot="1" x14ac:dyDescent="0.3">
      <c r="A2707" s="9"/>
    </row>
    <row r="2708" spans="1:1" ht="15.75" customHeight="1" thickBot="1" x14ac:dyDescent="0.3">
      <c r="A2708" s="9"/>
    </row>
    <row r="2709" spans="1:1" ht="15.75" customHeight="1" thickBot="1" x14ac:dyDescent="0.3">
      <c r="A2709" s="9"/>
    </row>
    <row r="2710" spans="1:1" ht="15.75" customHeight="1" thickBot="1" x14ac:dyDescent="0.3">
      <c r="A2710" s="9"/>
    </row>
    <row r="2711" spans="1:1" ht="15.75" customHeight="1" thickBot="1" x14ac:dyDescent="0.3">
      <c r="A2711" s="9"/>
    </row>
    <row r="2712" spans="1:1" ht="15.75" customHeight="1" thickBot="1" x14ac:dyDescent="0.3">
      <c r="A2712" s="9"/>
    </row>
    <row r="2713" spans="1:1" ht="15.75" customHeight="1" thickBot="1" x14ac:dyDescent="0.3">
      <c r="A2713" s="9"/>
    </row>
    <row r="2714" spans="1:1" ht="15.75" customHeight="1" thickBot="1" x14ac:dyDescent="0.3">
      <c r="A2714" s="9"/>
    </row>
    <row r="2715" spans="1:1" ht="15.75" customHeight="1" thickBot="1" x14ac:dyDescent="0.3">
      <c r="A2715" s="9"/>
    </row>
    <row r="2716" spans="1:1" ht="15.75" customHeight="1" thickBot="1" x14ac:dyDescent="0.3">
      <c r="A2716" s="9"/>
    </row>
    <row r="2717" spans="1:1" ht="15.75" customHeight="1" thickBot="1" x14ac:dyDescent="0.3">
      <c r="A2717" s="9"/>
    </row>
    <row r="2718" spans="1:1" ht="15.75" customHeight="1" thickBot="1" x14ac:dyDescent="0.3">
      <c r="A2718" s="9"/>
    </row>
    <row r="2719" spans="1:1" ht="15.75" customHeight="1" thickBot="1" x14ac:dyDescent="0.3">
      <c r="A2719" s="9"/>
    </row>
    <row r="2720" spans="1:1" ht="15.75" customHeight="1" thickBot="1" x14ac:dyDescent="0.3">
      <c r="A2720" s="9"/>
    </row>
    <row r="2721" spans="1:1" ht="15.75" customHeight="1" thickBot="1" x14ac:dyDescent="0.3">
      <c r="A2721" s="9"/>
    </row>
    <row r="2722" spans="1:1" ht="15.75" customHeight="1" thickBot="1" x14ac:dyDescent="0.3">
      <c r="A2722" s="9"/>
    </row>
    <row r="2723" spans="1:1" ht="15.75" customHeight="1" thickBot="1" x14ac:dyDescent="0.3">
      <c r="A2723" s="9"/>
    </row>
    <row r="2724" spans="1:1" ht="15.75" customHeight="1" thickBot="1" x14ac:dyDescent="0.3">
      <c r="A2724" s="9"/>
    </row>
    <row r="2725" spans="1:1" ht="15.75" customHeight="1" thickBot="1" x14ac:dyDescent="0.3">
      <c r="A2725" s="9"/>
    </row>
    <row r="2726" spans="1:1" ht="15.75" customHeight="1" thickBot="1" x14ac:dyDescent="0.3">
      <c r="A2726" s="9"/>
    </row>
    <row r="2727" spans="1:1" ht="15.75" customHeight="1" thickBot="1" x14ac:dyDescent="0.3">
      <c r="A2727" s="9"/>
    </row>
    <row r="2728" spans="1:1" ht="15.75" customHeight="1" thickBot="1" x14ac:dyDescent="0.3">
      <c r="A2728" s="9"/>
    </row>
    <row r="2729" spans="1:1" ht="15.75" customHeight="1" thickBot="1" x14ac:dyDescent="0.3">
      <c r="A2729" s="9"/>
    </row>
    <row r="2730" spans="1:1" ht="15.75" customHeight="1" thickBot="1" x14ac:dyDescent="0.3">
      <c r="A2730" s="9"/>
    </row>
    <row r="2731" spans="1:1" ht="15.75" customHeight="1" thickBot="1" x14ac:dyDescent="0.3">
      <c r="A2731" s="9"/>
    </row>
    <row r="2732" spans="1:1" ht="15.75" customHeight="1" thickBot="1" x14ac:dyDescent="0.3">
      <c r="A2732" s="9"/>
    </row>
    <row r="2733" spans="1:1" ht="15.75" customHeight="1" thickBot="1" x14ac:dyDescent="0.3">
      <c r="A2733" s="9"/>
    </row>
    <row r="2734" spans="1:1" ht="15.75" customHeight="1" thickBot="1" x14ac:dyDescent="0.3">
      <c r="A2734" s="9"/>
    </row>
    <row r="2735" spans="1:1" ht="15.75" customHeight="1" thickBot="1" x14ac:dyDescent="0.3">
      <c r="A2735" s="9"/>
    </row>
    <row r="2736" spans="1:1" ht="15.75" customHeight="1" thickBot="1" x14ac:dyDescent="0.3">
      <c r="A2736" s="9"/>
    </row>
    <row r="2737" spans="1:1" ht="15.75" customHeight="1" thickBot="1" x14ac:dyDescent="0.3">
      <c r="A2737" s="9"/>
    </row>
    <row r="2738" spans="1:1" ht="15.75" customHeight="1" thickBot="1" x14ac:dyDescent="0.3">
      <c r="A2738" s="9"/>
    </row>
    <row r="2739" spans="1:1" ht="15.75" customHeight="1" thickBot="1" x14ac:dyDescent="0.3">
      <c r="A2739" s="9"/>
    </row>
    <row r="2740" spans="1:1" ht="15.75" customHeight="1" thickBot="1" x14ac:dyDescent="0.3">
      <c r="A2740" s="9"/>
    </row>
    <row r="2741" spans="1:1" ht="15.75" customHeight="1" thickBot="1" x14ac:dyDescent="0.3">
      <c r="A2741" s="9"/>
    </row>
    <row r="2742" spans="1:1" ht="15.75" customHeight="1" thickBot="1" x14ac:dyDescent="0.3">
      <c r="A2742" s="9"/>
    </row>
    <row r="2743" spans="1:1" ht="15.75" customHeight="1" thickBot="1" x14ac:dyDescent="0.3">
      <c r="A2743" s="9"/>
    </row>
    <row r="2744" spans="1:1" ht="15.75" customHeight="1" thickBot="1" x14ac:dyDescent="0.3">
      <c r="A2744" s="9"/>
    </row>
    <row r="2745" spans="1:1" ht="15.75" customHeight="1" thickBot="1" x14ac:dyDescent="0.3">
      <c r="A2745" s="9"/>
    </row>
    <row r="2746" spans="1:1" ht="15.75" customHeight="1" thickBot="1" x14ac:dyDescent="0.3">
      <c r="A2746" s="9"/>
    </row>
    <row r="2747" spans="1:1" ht="15.75" customHeight="1" thickBot="1" x14ac:dyDescent="0.3">
      <c r="A2747" s="9"/>
    </row>
    <row r="2748" spans="1:1" ht="15.75" customHeight="1" thickBot="1" x14ac:dyDescent="0.3">
      <c r="A2748" s="9"/>
    </row>
    <row r="2749" spans="1:1" ht="15.75" customHeight="1" thickBot="1" x14ac:dyDescent="0.3">
      <c r="A2749" s="9"/>
    </row>
    <row r="2750" spans="1:1" ht="15.75" customHeight="1" thickBot="1" x14ac:dyDescent="0.3">
      <c r="A2750" s="9"/>
    </row>
    <row r="2751" spans="1:1" ht="15.75" customHeight="1" thickBot="1" x14ac:dyDescent="0.3">
      <c r="A2751" s="9"/>
    </row>
    <row r="2752" spans="1:1" ht="15.75" customHeight="1" thickBot="1" x14ac:dyDescent="0.3">
      <c r="A2752" s="9"/>
    </row>
    <row r="2753" spans="1:1" ht="15.75" customHeight="1" thickBot="1" x14ac:dyDescent="0.3">
      <c r="A2753" s="9"/>
    </row>
    <row r="2754" spans="1:1" ht="15.75" customHeight="1" thickBot="1" x14ac:dyDescent="0.3">
      <c r="A2754" s="9"/>
    </row>
    <row r="2755" spans="1:1" ht="15.75" customHeight="1" thickBot="1" x14ac:dyDescent="0.3">
      <c r="A2755" s="9"/>
    </row>
    <row r="2756" spans="1:1" ht="15.75" customHeight="1" thickBot="1" x14ac:dyDescent="0.3">
      <c r="A2756" s="9"/>
    </row>
    <row r="2757" spans="1:1" ht="15.75" customHeight="1" thickBot="1" x14ac:dyDescent="0.3">
      <c r="A2757" s="9"/>
    </row>
    <row r="2758" spans="1:1" ht="15.75" customHeight="1" thickBot="1" x14ac:dyDescent="0.3">
      <c r="A2758" s="9"/>
    </row>
    <row r="2759" spans="1:1" ht="15.75" customHeight="1" thickBot="1" x14ac:dyDescent="0.3">
      <c r="A2759" s="9"/>
    </row>
    <row r="2760" spans="1:1" ht="15.75" customHeight="1" thickBot="1" x14ac:dyDescent="0.3">
      <c r="A2760" s="9"/>
    </row>
    <row r="2761" spans="1:1" ht="15.75" customHeight="1" thickBot="1" x14ac:dyDescent="0.3">
      <c r="A2761" s="9"/>
    </row>
    <row r="2762" spans="1:1" ht="15.75" customHeight="1" thickBot="1" x14ac:dyDescent="0.3">
      <c r="A2762" s="9"/>
    </row>
    <row r="2763" spans="1:1" ht="15.75" customHeight="1" thickBot="1" x14ac:dyDescent="0.3">
      <c r="A2763" s="9"/>
    </row>
    <row r="2764" spans="1:1" ht="15.75" customHeight="1" thickBot="1" x14ac:dyDescent="0.3">
      <c r="A2764" s="9"/>
    </row>
    <row r="2765" spans="1:1" ht="15.75" customHeight="1" thickBot="1" x14ac:dyDescent="0.3">
      <c r="A2765" s="9"/>
    </row>
    <row r="2766" spans="1:1" ht="15.75" customHeight="1" thickBot="1" x14ac:dyDescent="0.3">
      <c r="A2766" s="9"/>
    </row>
    <row r="2767" spans="1:1" ht="15.75" customHeight="1" thickBot="1" x14ac:dyDescent="0.3">
      <c r="A2767" s="9"/>
    </row>
    <row r="2768" spans="1:1" ht="15.75" customHeight="1" thickBot="1" x14ac:dyDescent="0.3">
      <c r="A2768" s="9"/>
    </row>
    <row r="2769" spans="1:1" ht="15.75" customHeight="1" thickBot="1" x14ac:dyDescent="0.3">
      <c r="A2769" s="9"/>
    </row>
    <row r="2770" spans="1:1" ht="15.75" customHeight="1" thickBot="1" x14ac:dyDescent="0.3">
      <c r="A2770" s="9"/>
    </row>
    <row r="2771" spans="1:1" ht="15.75" customHeight="1" thickBot="1" x14ac:dyDescent="0.3">
      <c r="A2771" s="9"/>
    </row>
    <row r="2772" spans="1:1" ht="15.75" customHeight="1" thickBot="1" x14ac:dyDescent="0.3">
      <c r="A2772" s="9"/>
    </row>
    <row r="2773" spans="1:1" ht="15.75" customHeight="1" thickBot="1" x14ac:dyDescent="0.3">
      <c r="A2773" s="9"/>
    </row>
    <row r="2774" spans="1:1" ht="15.75" customHeight="1" thickBot="1" x14ac:dyDescent="0.3">
      <c r="A2774" s="9"/>
    </row>
    <row r="2775" spans="1:1" ht="15.75" customHeight="1" thickBot="1" x14ac:dyDescent="0.3">
      <c r="A2775" s="9"/>
    </row>
    <row r="2776" spans="1:1" ht="15.75" customHeight="1" thickBot="1" x14ac:dyDescent="0.3">
      <c r="A2776" s="9"/>
    </row>
    <row r="2777" spans="1:1" ht="15.75" customHeight="1" thickBot="1" x14ac:dyDescent="0.3">
      <c r="A2777" s="9"/>
    </row>
    <row r="2778" spans="1:1" ht="15.75" customHeight="1" thickBot="1" x14ac:dyDescent="0.3">
      <c r="A2778" s="9"/>
    </row>
    <row r="2779" spans="1:1" ht="15.75" customHeight="1" thickBot="1" x14ac:dyDescent="0.3">
      <c r="A2779" s="9"/>
    </row>
    <row r="2780" spans="1:1" ht="15.75" customHeight="1" thickBot="1" x14ac:dyDescent="0.3">
      <c r="A2780" s="9"/>
    </row>
    <row r="2781" spans="1:1" ht="15.75" customHeight="1" thickBot="1" x14ac:dyDescent="0.3">
      <c r="A2781" s="9"/>
    </row>
    <row r="2782" spans="1:1" ht="15.75" customHeight="1" thickBot="1" x14ac:dyDescent="0.3">
      <c r="A2782" s="9"/>
    </row>
    <row r="2783" spans="1:1" ht="15.75" customHeight="1" thickBot="1" x14ac:dyDescent="0.3">
      <c r="A2783" s="9"/>
    </row>
    <row r="2784" spans="1:1" ht="15.75" customHeight="1" thickBot="1" x14ac:dyDescent="0.3">
      <c r="A2784" s="9"/>
    </row>
    <row r="2785" spans="1:1" ht="15.75" customHeight="1" thickBot="1" x14ac:dyDescent="0.3">
      <c r="A2785" s="9"/>
    </row>
    <row r="2786" spans="1:1" ht="15.75" customHeight="1" thickBot="1" x14ac:dyDescent="0.3">
      <c r="A2786" s="9"/>
    </row>
    <row r="2787" spans="1:1" ht="15.75" customHeight="1" thickBot="1" x14ac:dyDescent="0.3">
      <c r="A2787" s="9"/>
    </row>
    <row r="2788" spans="1:1" ht="15.75" customHeight="1" thickBot="1" x14ac:dyDescent="0.3">
      <c r="A2788" s="9"/>
    </row>
    <row r="2789" spans="1:1" ht="15.75" customHeight="1" thickBot="1" x14ac:dyDescent="0.3">
      <c r="A2789" s="9"/>
    </row>
    <row r="2790" spans="1:1" ht="15.75" customHeight="1" thickBot="1" x14ac:dyDescent="0.3">
      <c r="A2790" s="9"/>
    </row>
    <row r="2791" spans="1:1" ht="15.75" customHeight="1" thickBot="1" x14ac:dyDescent="0.3">
      <c r="A2791" s="9"/>
    </row>
    <row r="2792" spans="1:1" ht="15.75" customHeight="1" thickBot="1" x14ac:dyDescent="0.3">
      <c r="A2792" s="9"/>
    </row>
    <row r="2793" spans="1:1" ht="15.75" customHeight="1" thickBot="1" x14ac:dyDescent="0.3">
      <c r="A2793" s="9"/>
    </row>
    <row r="2794" spans="1:1" ht="15.75" customHeight="1" thickBot="1" x14ac:dyDescent="0.3">
      <c r="A2794" s="9"/>
    </row>
    <row r="2795" spans="1:1" ht="15.75" customHeight="1" thickBot="1" x14ac:dyDescent="0.3">
      <c r="A2795" s="9"/>
    </row>
    <row r="2796" spans="1:1" ht="15.75" customHeight="1" thickBot="1" x14ac:dyDescent="0.3">
      <c r="A2796" s="9"/>
    </row>
    <row r="2797" spans="1:1" ht="15.75" customHeight="1" thickBot="1" x14ac:dyDescent="0.3">
      <c r="A2797" s="9"/>
    </row>
    <row r="2798" spans="1:1" ht="15.75" customHeight="1" thickBot="1" x14ac:dyDescent="0.3">
      <c r="A2798" s="9"/>
    </row>
    <row r="2799" spans="1:1" ht="15.75" customHeight="1" thickBot="1" x14ac:dyDescent="0.3">
      <c r="A2799" s="9"/>
    </row>
    <row r="2800" spans="1:1" ht="15.75" customHeight="1" thickBot="1" x14ac:dyDescent="0.3">
      <c r="A2800" s="9"/>
    </row>
    <row r="2801" spans="1:1" ht="15.75" customHeight="1" thickBot="1" x14ac:dyDescent="0.3">
      <c r="A2801" s="9"/>
    </row>
    <row r="2802" spans="1:1" ht="15.75" customHeight="1" thickBot="1" x14ac:dyDescent="0.3">
      <c r="A2802" s="9"/>
    </row>
    <row r="2803" spans="1:1" ht="15.75" customHeight="1" thickBot="1" x14ac:dyDescent="0.3">
      <c r="A2803" s="9"/>
    </row>
    <row r="2804" spans="1:1" ht="15.75" customHeight="1" thickBot="1" x14ac:dyDescent="0.3">
      <c r="A2804" s="9"/>
    </row>
    <row r="2805" spans="1:1" ht="15.75" customHeight="1" thickBot="1" x14ac:dyDescent="0.3">
      <c r="A2805" s="9"/>
    </row>
    <row r="2806" spans="1:1" ht="15.75" customHeight="1" thickBot="1" x14ac:dyDescent="0.3">
      <c r="A2806" s="9"/>
    </row>
    <row r="2807" spans="1:1" ht="15.75" customHeight="1" thickBot="1" x14ac:dyDescent="0.3">
      <c r="A2807" s="9"/>
    </row>
    <row r="2808" spans="1:1" ht="15.75" customHeight="1" thickBot="1" x14ac:dyDescent="0.3">
      <c r="A2808" s="9"/>
    </row>
    <row r="2809" spans="1:1" ht="15.75" customHeight="1" thickBot="1" x14ac:dyDescent="0.3">
      <c r="A2809" s="9"/>
    </row>
    <row r="2810" spans="1:1" ht="15.75" customHeight="1" thickBot="1" x14ac:dyDescent="0.3">
      <c r="A2810" s="9"/>
    </row>
    <row r="2811" spans="1:1" ht="15.75" customHeight="1" thickBot="1" x14ac:dyDescent="0.3">
      <c r="A2811" s="9"/>
    </row>
    <row r="2812" spans="1:1" ht="15.75" customHeight="1" thickBot="1" x14ac:dyDescent="0.3">
      <c r="A2812" s="9"/>
    </row>
    <row r="2813" spans="1:1" ht="15.75" customHeight="1" thickBot="1" x14ac:dyDescent="0.3">
      <c r="A2813" s="9"/>
    </row>
    <row r="2814" spans="1:1" ht="15.75" customHeight="1" thickBot="1" x14ac:dyDescent="0.3">
      <c r="A2814" s="9"/>
    </row>
    <row r="2815" spans="1:1" ht="15.75" customHeight="1" thickBot="1" x14ac:dyDescent="0.3">
      <c r="A2815" s="9"/>
    </row>
    <row r="2816" spans="1:1" ht="15.75" customHeight="1" thickBot="1" x14ac:dyDescent="0.3">
      <c r="A2816" s="9"/>
    </row>
    <row r="2817" spans="1:1" ht="15.75" customHeight="1" thickBot="1" x14ac:dyDescent="0.3">
      <c r="A2817" s="9"/>
    </row>
    <row r="2818" spans="1:1" ht="15.75" customHeight="1" thickBot="1" x14ac:dyDescent="0.3">
      <c r="A2818" s="9"/>
    </row>
    <row r="2819" spans="1:1" ht="15.75" customHeight="1" thickBot="1" x14ac:dyDescent="0.3">
      <c r="A2819" s="9"/>
    </row>
    <row r="2820" spans="1:1" ht="15.75" customHeight="1" thickBot="1" x14ac:dyDescent="0.3">
      <c r="A2820" s="9"/>
    </row>
    <row r="2821" spans="1:1" ht="15.75" customHeight="1" thickBot="1" x14ac:dyDescent="0.3">
      <c r="A2821" s="9"/>
    </row>
    <row r="2822" spans="1:1" ht="15.75" customHeight="1" thickBot="1" x14ac:dyDescent="0.3">
      <c r="A2822" s="9"/>
    </row>
    <row r="2823" spans="1:1" ht="15.75" customHeight="1" thickBot="1" x14ac:dyDescent="0.3">
      <c r="A2823" s="9"/>
    </row>
    <row r="2824" spans="1:1" ht="15.75" customHeight="1" thickBot="1" x14ac:dyDescent="0.3">
      <c r="A2824" s="9"/>
    </row>
    <row r="2825" spans="1:1" ht="15.75" customHeight="1" thickBot="1" x14ac:dyDescent="0.3">
      <c r="A2825" s="9"/>
    </row>
    <row r="2826" spans="1:1" ht="15.75" customHeight="1" thickBot="1" x14ac:dyDescent="0.3">
      <c r="A2826" s="9"/>
    </row>
    <row r="2827" spans="1:1" ht="15.75" customHeight="1" thickBot="1" x14ac:dyDescent="0.3">
      <c r="A2827" s="9"/>
    </row>
    <row r="2828" spans="1:1" ht="15.75" customHeight="1" thickBot="1" x14ac:dyDescent="0.3">
      <c r="A2828" s="9"/>
    </row>
    <row r="2829" spans="1:1" ht="15.75" customHeight="1" thickBot="1" x14ac:dyDescent="0.3">
      <c r="A2829" s="9"/>
    </row>
    <row r="2830" spans="1:1" ht="15.75" customHeight="1" thickBot="1" x14ac:dyDescent="0.3">
      <c r="A2830" s="9"/>
    </row>
    <row r="2831" spans="1:1" ht="15.75" customHeight="1" thickBot="1" x14ac:dyDescent="0.3">
      <c r="A2831" s="9"/>
    </row>
    <row r="2832" spans="1:1" ht="15.75" customHeight="1" thickBot="1" x14ac:dyDescent="0.3">
      <c r="A2832" s="9"/>
    </row>
    <row r="2833" spans="1:1" ht="15.75" customHeight="1" thickBot="1" x14ac:dyDescent="0.3">
      <c r="A2833" s="9"/>
    </row>
    <row r="2834" spans="1:1" ht="15.75" customHeight="1" thickBot="1" x14ac:dyDescent="0.3">
      <c r="A2834" s="9"/>
    </row>
    <row r="2835" spans="1:1" ht="15.75" customHeight="1" thickBot="1" x14ac:dyDescent="0.3">
      <c r="A2835" s="9"/>
    </row>
    <row r="2836" spans="1:1" ht="15.75" customHeight="1" thickBot="1" x14ac:dyDescent="0.3">
      <c r="A2836" s="9"/>
    </row>
    <row r="2837" spans="1:1" ht="15.75" customHeight="1" thickBot="1" x14ac:dyDescent="0.3">
      <c r="A2837" s="9"/>
    </row>
    <row r="2838" spans="1:1" ht="15.75" customHeight="1" thickBot="1" x14ac:dyDescent="0.3">
      <c r="A2838" s="9"/>
    </row>
    <row r="2839" spans="1:1" ht="15.75" customHeight="1" thickBot="1" x14ac:dyDescent="0.3">
      <c r="A2839" s="9"/>
    </row>
    <row r="2840" spans="1:1" ht="15.75" customHeight="1" thickBot="1" x14ac:dyDescent="0.3">
      <c r="A2840" s="9"/>
    </row>
    <row r="2841" spans="1:1" ht="15.75" customHeight="1" thickBot="1" x14ac:dyDescent="0.3">
      <c r="A2841" s="9"/>
    </row>
    <row r="2842" spans="1:1" ht="15.75" customHeight="1" thickBot="1" x14ac:dyDescent="0.3">
      <c r="A2842" s="9"/>
    </row>
    <row r="2843" spans="1:1" ht="15.75" customHeight="1" thickBot="1" x14ac:dyDescent="0.3">
      <c r="A2843" s="9"/>
    </row>
    <row r="2844" spans="1:1" ht="15.75" customHeight="1" thickBot="1" x14ac:dyDescent="0.3">
      <c r="A2844" s="9"/>
    </row>
    <row r="2845" spans="1:1" ht="15.75" customHeight="1" thickBot="1" x14ac:dyDescent="0.3">
      <c r="A2845" s="9"/>
    </row>
    <row r="2846" spans="1:1" ht="15.75" customHeight="1" thickBot="1" x14ac:dyDescent="0.3">
      <c r="A2846" s="9"/>
    </row>
    <row r="2847" spans="1:1" ht="15.75" customHeight="1" thickBot="1" x14ac:dyDescent="0.3">
      <c r="A2847" s="9"/>
    </row>
    <row r="2848" spans="1:1" ht="15.75" customHeight="1" thickBot="1" x14ac:dyDescent="0.3">
      <c r="A2848" s="9"/>
    </row>
    <row r="2849" spans="1:1" ht="15.75" customHeight="1" thickBot="1" x14ac:dyDescent="0.3">
      <c r="A2849" s="9"/>
    </row>
    <row r="2850" spans="1:1" ht="15.75" customHeight="1" thickBot="1" x14ac:dyDescent="0.3">
      <c r="A2850" s="9"/>
    </row>
    <row r="2851" spans="1:1" ht="15.75" customHeight="1" thickBot="1" x14ac:dyDescent="0.3">
      <c r="A2851" s="9"/>
    </row>
    <row r="2852" spans="1:1" ht="15.75" customHeight="1" thickBot="1" x14ac:dyDescent="0.3">
      <c r="A2852" s="9"/>
    </row>
    <row r="2853" spans="1:1" ht="15.75" customHeight="1" thickBot="1" x14ac:dyDescent="0.3">
      <c r="A2853" s="9"/>
    </row>
    <row r="2854" spans="1:1" ht="15.75" customHeight="1" thickBot="1" x14ac:dyDescent="0.3">
      <c r="A2854" s="9"/>
    </row>
    <row r="2855" spans="1:1" ht="15.75" customHeight="1" thickBot="1" x14ac:dyDescent="0.3">
      <c r="A2855" s="9"/>
    </row>
    <row r="2856" spans="1:1" ht="15.75" customHeight="1" thickBot="1" x14ac:dyDescent="0.3">
      <c r="A2856" s="9"/>
    </row>
    <row r="2857" spans="1:1" ht="15.75" customHeight="1" thickBot="1" x14ac:dyDescent="0.3">
      <c r="A2857" s="9"/>
    </row>
    <row r="2858" spans="1:1" ht="15.75" customHeight="1" thickBot="1" x14ac:dyDescent="0.3">
      <c r="A2858" s="9"/>
    </row>
    <row r="2859" spans="1:1" ht="15.75" customHeight="1" thickBot="1" x14ac:dyDescent="0.3">
      <c r="A2859" s="9"/>
    </row>
    <row r="2860" spans="1:1" ht="15.75" customHeight="1" thickBot="1" x14ac:dyDescent="0.3">
      <c r="A2860" s="9"/>
    </row>
    <row r="2861" spans="1:1" ht="15.75" customHeight="1" thickBot="1" x14ac:dyDescent="0.3">
      <c r="A2861" s="9"/>
    </row>
    <row r="2862" spans="1:1" ht="15.75" customHeight="1" thickBot="1" x14ac:dyDescent="0.3">
      <c r="A2862" s="9"/>
    </row>
    <row r="2863" spans="1:1" ht="15.75" customHeight="1" thickBot="1" x14ac:dyDescent="0.3">
      <c r="A2863" s="9"/>
    </row>
    <row r="2864" spans="1:1" ht="15.75" customHeight="1" thickBot="1" x14ac:dyDescent="0.3">
      <c r="A2864" s="9"/>
    </row>
    <row r="2865" spans="1:1" ht="15.75" customHeight="1" thickBot="1" x14ac:dyDescent="0.3">
      <c r="A2865" s="9"/>
    </row>
    <row r="2866" spans="1:1" ht="15.75" customHeight="1" thickBot="1" x14ac:dyDescent="0.3">
      <c r="A2866" s="9"/>
    </row>
    <row r="2867" spans="1:1" ht="15.75" customHeight="1" thickBot="1" x14ac:dyDescent="0.3">
      <c r="A2867" s="9"/>
    </row>
    <row r="2868" spans="1:1" ht="15.75" customHeight="1" thickBot="1" x14ac:dyDescent="0.3">
      <c r="A2868" s="9"/>
    </row>
    <row r="2869" spans="1:1" ht="15.75" customHeight="1" thickBot="1" x14ac:dyDescent="0.3">
      <c r="A2869" s="9"/>
    </row>
    <row r="2870" spans="1:1" ht="15.75" customHeight="1" thickBot="1" x14ac:dyDescent="0.3">
      <c r="A2870" s="9"/>
    </row>
    <row r="2871" spans="1:1" ht="15.75" customHeight="1" thickBot="1" x14ac:dyDescent="0.3">
      <c r="A2871" s="9"/>
    </row>
    <row r="2872" spans="1:1" ht="15.75" customHeight="1" thickBot="1" x14ac:dyDescent="0.3">
      <c r="A2872" s="9"/>
    </row>
    <row r="2873" spans="1:1" ht="15.75" customHeight="1" thickBot="1" x14ac:dyDescent="0.3">
      <c r="A2873" s="9"/>
    </row>
    <row r="2874" spans="1:1" ht="15.75" customHeight="1" thickBot="1" x14ac:dyDescent="0.3">
      <c r="A2874" s="9"/>
    </row>
    <row r="2875" spans="1:1" ht="15.75" customHeight="1" thickBot="1" x14ac:dyDescent="0.3">
      <c r="A2875" s="9"/>
    </row>
    <row r="2876" spans="1:1" ht="15.75" customHeight="1" thickBot="1" x14ac:dyDescent="0.3">
      <c r="A2876" s="9"/>
    </row>
    <row r="2877" spans="1:1" ht="15.75" customHeight="1" thickBot="1" x14ac:dyDescent="0.3">
      <c r="A2877" s="9"/>
    </row>
    <row r="2878" spans="1:1" ht="15.75" customHeight="1" thickBot="1" x14ac:dyDescent="0.3">
      <c r="A2878" s="9"/>
    </row>
    <row r="2879" spans="1:1" ht="15.75" customHeight="1" thickBot="1" x14ac:dyDescent="0.3">
      <c r="A2879" s="9"/>
    </row>
    <row r="2880" spans="1:1" ht="15.75" customHeight="1" thickBot="1" x14ac:dyDescent="0.3">
      <c r="A2880" s="9"/>
    </row>
    <row r="2881" spans="1:1" ht="15.75" customHeight="1" thickBot="1" x14ac:dyDescent="0.3">
      <c r="A2881" s="9"/>
    </row>
    <row r="2882" spans="1:1" ht="15.75" customHeight="1" thickBot="1" x14ac:dyDescent="0.3">
      <c r="A2882" s="9"/>
    </row>
    <row r="2883" spans="1:1" ht="15.75" customHeight="1" thickBot="1" x14ac:dyDescent="0.3">
      <c r="A2883" s="9"/>
    </row>
    <row r="2884" spans="1:1" ht="15.75" customHeight="1" thickBot="1" x14ac:dyDescent="0.3">
      <c r="A2884" s="9"/>
    </row>
    <row r="2885" spans="1:1" ht="15.75" customHeight="1" thickBot="1" x14ac:dyDescent="0.3">
      <c r="A2885" s="9"/>
    </row>
    <row r="2886" spans="1:1" ht="15.75" customHeight="1" thickBot="1" x14ac:dyDescent="0.3">
      <c r="A2886" s="9"/>
    </row>
    <row r="2887" spans="1:1" ht="15.75" customHeight="1" thickBot="1" x14ac:dyDescent="0.3">
      <c r="A2887" s="9"/>
    </row>
    <row r="2888" spans="1:1" ht="15.75" customHeight="1" thickBot="1" x14ac:dyDescent="0.3">
      <c r="A2888" s="9"/>
    </row>
    <row r="2889" spans="1:1" ht="15.75" customHeight="1" thickBot="1" x14ac:dyDescent="0.3">
      <c r="A2889" s="9"/>
    </row>
    <row r="2890" spans="1:1" ht="15.75" customHeight="1" thickBot="1" x14ac:dyDescent="0.3">
      <c r="A2890" s="9"/>
    </row>
    <row r="2891" spans="1:1" ht="15.75" customHeight="1" thickBot="1" x14ac:dyDescent="0.3">
      <c r="A2891" s="9"/>
    </row>
    <row r="2892" spans="1:1" ht="15.75" customHeight="1" thickBot="1" x14ac:dyDescent="0.3">
      <c r="A2892" s="9"/>
    </row>
    <row r="2893" spans="1:1" ht="15.75" customHeight="1" thickBot="1" x14ac:dyDescent="0.3">
      <c r="A2893" s="9"/>
    </row>
    <row r="2894" spans="1:1" ht="15.75" customHeight="1" thickBot="1" x14ac:dyDescent="0.3">
      <c r="A2894" s="9"/>
    </row>
    <row r="2895" spans="1:1" ht="15.75" customHeight="1" thickBot="1" x14ac:dyDescent="0.3">
      <c r="A2895" s="9"/>
    </row>
    <row r="2896" spans="1:1" ht="15.75" customHeight="1" thickBot="1" x14ac:dyDescent="0.3">
      <c r="A2896" s="9"/>
    </row>
    <row r="2897" spans="1:1" ht="15.75" customHeight="1" thickBot="1" x14ac:dyDescent="0.3">
      <c r="A2897" s="9"/>
    </row>
    <row r="2898" spans="1:1" ht="15.75" customHeight="1" thickBot="1" x14ac:dyDescent="0.3">
      <c r="A2898" s="9"/>
    </row>
    <row r="2899" spans="1:1" ht="15.75" customHeight="1" thickBot="1" x14ac:dyDescent="0.3">
      <c r="A2899" s="9"/>
    </row>
    <row r="2900" spans="1:1" ht="15.75" customHeight="1" thickBot="1" x14ac:dyDescent="0.3">
      <c r="A2900" s="9"/>
    </row>
    <row r="2901" spans="1:1" ht="15.75" customHeight="1" thickBot="1" x14ac:dyDescent="0.3">
      <c r="A2901" s="9"/>
    </row>
    <row r="2902" spans="1:1" ht="15.75" customHeight="1" thickBot="1" x14ac:dyDescent="0.3">
      <c r="A2902" s="9"/>
    </row>
    <row r="2903" spans="1:1" ht="15.75" customHeight="1" thickBot="1" x14ac:dyDescent="0.3">
      <c r="A2903" s="9"/>
    </row>
    <row r="2904" spans="1:1" ht="15.75" customHeight="1" thickBot="1" x14ac:dyDescent="0.3">
      <c r="A2904" s="9"/>
    </row>
    <row r="2905" spans="1:1" ht="15.75" customHeight="1" thickBot="1" x14ac:dyDescent="0.3">
      <c r="A2905" s="9"/>
    </row>
    <row r="2906" spans="1:1" ht="15.75" customHeight="1" thickBot="1" x14ac:dyDescent="0.3">
      <c r="A2906" s="9"/>
    </row>
    <row r="2907" spans="1:1" ht="15.75" customHeight="1" thickBot="1" x14ac:dyDescent="0.3">
      <c r="A2907" s="9"/>
    </row>
    <row r="2908" spans="1:1" ht="15.75" customHeight="1" thickBot="1" x14ac:dyDescent="0.3">
      <c r="A2908" s="9"/>
    </row>
    <row r="2909" spans="1:1" ht="15.75" customHeight="1" thickBot="1" x14ac:dyDescent="0.3">
      <c r="A2909" s="9"/>
    </row>
    <row r="2910" spans="1:1" ht="15.75" customHeight="1" thickBot="1" x14ac:dyDescent="0.3">
      <c r="A2910" s="9"/>
    </row>
    <row r="2911" spans="1:1" ht="15.75" customHeight="1" thickBot="1" x14ac:dyDescent="0.3">
      <c r="A2911" s="9"/>
    </row>
    <row r="2912" spans="1:1" ht="15.75" customHeight="1" thickBot="1" x14ac:dyDescent="0.3">
      <c r="A2912" s="9"/>
    </row>
    <row r="2913" spans="1:1" ht="15.75" customHeight="1" thickBot="1" x14ac:dyDescent="0.3">
      <c r="A2913" s="9"/>
    </row>
    <row r="2914" spans="1:1" ht="15.75" customHeight="1" thickBot="1" x14ac:dyDescent="0.3">
      <c r="A2914" s="9"/>
    </row>
    <row r="2915" spans="1:1" ht="15.75" customHeight="1" thickBot="1" x14ac:dyDescent="0.3">
      <c r="A2915" s="9"/>
    </row>
    <row r="2916" spans="1:1" ht="15.75" customHeight="1" thickBot="1" x14ac:dyDescent="0.3">
      <c r="A2916" s="9"/>
    </row>
    <row r="2917" spans="1:1" ht="15.75" customHeight="1" thickBot="1" x14ac:dyDescent="0.3">
      <c r="A2917" s="9"/>
    </row>
    <row r="2918" spans="1:1" ht="15.75" customHeight="1" thickBot="1" x14ac:dyDescent="0.3">
      <c r="A2918" s="9"/>
    </row>
    <row r="2919" spans="1:1" ht="15.75" customHeight="1" thickBot="1" x14ac:dyDescent="0.3">
      <c r="A2919" s="9"/>
    </row>
    <row r="2920" spans="1:1" ht="15.75" customHeight="1" thickBot="1" x14ac:dyDescent="0.3">
      <c r="A2920" s="9"/>
    </row>
    <row r="2921" spans="1:1" ht="15.75" customHeight="1" thickBot="1" x14ac:dyDescent="0.3">
      <c r="A2921" s="9"/>
    </row>
    <row r="2922" spans="1:1" ht="15.75" customHeight="1" thickBot="1" x14ac:dyDescent="0.3">
      <c r="A2922" s="9"/>
    </row>
    <row r="2923" spans="1:1" ht="15.75" customHeight="1" thickBot="1" x14ac:dyDescent="0.3">
      <c r="A2923" s="9"/>
    </row>
    <row r="2924" spans="1:1" ht="15.75" customHeight="1" thickBot="1" x14ac:dyDescent="0.3">
      <c r="A2924" s="9"/>
    </row>
    <row r="2925" spans="1:1" ht="15.75" customHeight="1" thickBot="1" x14ac:dyDescent="0.3">
      <c r="A2925" s="9"/>
    </row>
    <row r="2926" spans="1:1" ht="15.75" customHeight="1" thickBot="1" x14ac:dyDescent="0.3">
      <c r="A2926" s="9"/>
    </row>
    <row r="2927" spans="1:1" ht="15.75" customHeight="1" thickBot="1" x14ac:dyDescent="0.3">
      <c r="A2927" s="9"/>
    </row>
    <row r="2928" spans="1:1" ht="15.75" customHeight="1" thickBot="1" x14ac:dyDescent="0.3">
      <c r="A2928" s="9"/>
    </row>
    <row r="2929" spans="1:1" ht="15.75" customHeight="1" thickBot="1" x14ac:dyDescent="0.3">
      <c r="A2929" s="9"/>
    </row>
    <row r="2930" spans="1:1" ht="15.75" customHeight="1" thickBot="1" x14ac:dyDescent="0.3">
      <c r="A2930" s="9"/>
    </row>
    <row r="2931" spans="1:1" ht="15.75" customHeight="1" thickBot="1" x14ac:dyDescent="0.3">
      <c r="A2931" s="9"/>
    </row>
    <row r="2932" spans="1:1" ht="15.75" customHeight="1" thickBot="1" x14ac:dyDescent="0.3">
      <c r="A2932" s="9"/>
    </row>
    <row r="2933" spans="1:1" ht="15.75" customHeight="1" thickBot="1" x14ac:dyDescent="0.3">
      <c r="A2933" s="9"/>
    </row>
    <row r="2934" spans="1:1" ht="15.75" customHeight="1" thickBot="1" x14ac:dyDescent="0.3">
      <c r="A2934" s="9"/>
    </row>
    <row r="2935" spans="1:1" ht="15.75" customHeight="1" thickBot="1" x14ac:dyDescent="0.3">
      <c r="A2935" s="9"/>
    </row>
    <row r="2936" spans="1:1" ht="15.75" customHeight="1" thickBot="1" x14ac:dyDescent="0.3">
      <c r="A2936" s="9"/>
    </row>
    <row r="2937" spans="1:1" ht="15.75" customHeight="1" thickBot="1" x14ac:dyDescent="0.3">
      <c r="A2937" s="9"/>
    </row>
    <row r="2938" spans="1:1" ht="15.75" customHeight="1" thickBot="1" x14ac:dyDescent="0.3">
      <c r="A2938" s="9"/>
    </row>
    <row r="2939" spans="1:1" ht="15.75" customHeight="1" thickBot="1" x14ac:dyDescent="0.3">
      <c r="A2939" s="9"/>
    </row>
    <row r="2940" spans="1:1" ht="15.75" customHeight="1" thickBot="1" x14ac:dyDescent="0.3">
      <c r="A2940" s="9"/>
    </row>
    <row r="2941" spans="1:1" ht="15.75" customHeight="1" thickBot="1" x14ac:dyDescent="0.3">
      <c r="A2941" s="9"/>
    </row>
    <row r="2942" spans="1:1" ht="15.75" customHeight="1" thickBot="1" x14ac:dyDescent="0.3">
      <c r="A2942" s="9"/>
    </row>
    <row r="2943" spans="1:1" ht="15.75" customHeight="1" thickBot="1" x14ac:dyDescent="0.3">
      <c r="A2943" s="9"/>
    </row>
    <row r="2944" spans="1:1" ht="15.75" customHeight="1" thickBot="1" x14ac:dyDescent="0.3">
      <c r="A2944" s="9"/>
    </row>
    <row r="2945" spans="1:1" ht="15.75" customHeight="1" thickBot="1" x14ac:dyDescent="0.3">
      <c r="A2945" s="9"/>
    </row>
    <row r="2946" spans="1:1" ht="15.75" customHeight="1" thickBot="1" x14ac:dyDescent="0.3">
      <c r="A2946" s="9"/>
    </row>
    <row r="2947" spans="1:1" ht="15.75" customHeight="1" thickBot="1" x14ac:dyDescent="0.3">
      <c r="A2947" s="9"/>
    </row>
    <row r="2948" spans="1:1" ht="15.75" customHeight="1" thickBot="1" x14ac:dyDescent="0.3">
      <c r="A2948" s="9"/>
    </row>
    <row r="2949" spans="1:1" ht="15.75" customHeight="1" thickBot="1" x14ac:dyDescent="0.3">
      <c r="A2949" s="9"/>
    </row>
    <row r="2950" spans="1:1" ht="15.75" customHeight="1" thickBot="1" x14ac:dyDescent="0.3">
      <c r="A2950" s="9"/>
    </row>
    <row r="2951" spans="1:1" ht="15.75" customHeight="1" thickBot="1" x14ac:dyDescent="0.3">
      <c r="A2951" s="9"/>
    </row>
    <row r="2952" spans="1:1" ht="15.75" customHeight="1" thickBot="1" x14ac:dyDescent="0.3">
      <c r="A2952" s="9"/>
    </row>
    <row r="2953" spans="1:1" ht="15.75" customHeight="1" thickBot="1" x14ac:dyDescent="0.3">
      <c r="A2953" s="9"/>
    </row>
    <row r="2954" spans="1:1" ht="15.75" customHeight="1" thickBot="1" x14ac:dyDescent="0.3">
      <c r="A2954" s="9"/>
    </row>
    <row r="2955" spans="1:1" ht="15.75" customHeight="1" thickBot="1" x14ac:dyDescent="0.3">
      <c r="A2955" s="9"/>
    </row>
    <row r="2956" spans="1:1" ht="15.75" customHeight="1" thickBot="1" x14ac:dyDescent="0.3">
      <c r="A2956" s="9"/>
    </row>
    <row r="2957" spans="1:1" ht="15.75" customHeight="1" thickBot="1" x14ac:dyDescent="0.3">
      <c r="A2957" s="9"/>
    </row>
    <row r="2958" spans="1:1" ht="15.75" customHeight="1" thickBot="1" x14ac:dyDescent="0.3">
      <c r="A2958" s="9"/>
    </row>
    <row r="2959" spans="1:1" ht="15.75" customHeight="1" thickBot="1" x14ac:dyDescent="0.3">
      <c r="A2959" s="9"/>
    </row>
    <row r="2960" spans="1:1" ht="15.75" customHeight="1" thickBot="1" x14ac:dyDescent="0.3">
      <c r="A2960" s="9"/>
    </row>
    <row r="2961" spans="1:1" ht="15.75" customHeight="1" thickBot="1" x14ac:dyDescent="0.3">
      <c r="A2961" s="9"/>
    </row>
    <row r="2962" spans="1:1" ht="15.75" customHeight="1" thickBot="1" x14ac:dyDescent="0.3">
      <c r="A2962" s="9"/>
    </row>
    <row r="2963" spans="1:1" ht="15.75" customHeight="1" thickBot="1" x14ac:dyDescent="0.3">
      <c r="A2963" s="9"/>
    </row>
    <row r="2964" spans="1:1" ht="15.75" customHeight="1" thickBot="1" x14ac:dyDescent="0.3">
      <c r="A2964" s="9"/>
    </row>
    <row r="2965" spans="1:1" ht="15.75" customHeight="1" thickBot="1" x14ac:dyDescent="0.3">
      <c r="A2965" s="9"/>
    </row>
    <row r="2966" spans="1:1" ht="15.75" customHeight="1" thickBot="1" x14ac:dyDescent="0.3">
      <c r="A2966" s="9"/>
    </row>
    <row r="2967" spans="1:1" ht="15.75" customHeight="1" thickBot="1" x14ac:dyDescent="0.3">
      <c r="A2967" s="9"/>
    </row>
    <row r="2968" spans="1:1" ht="15.75" customHeight="1" thickBot="1" x14ac:dyDescent="0.3">
      <c r="A2968" s="9"/>
    </row>
    <row r="2969" spans="1:1" ht="15.75" customHeight="1" thickBot="1" x14ac:dyDescent="0.3">
      <c r="A2969" s="9"/>
    </row>
    <row r="2970" spans="1:1" ht="15.75" customHeight="1" thickBot="1" x14ac:dyDescent="0.3">
      <c r="A2970" s="9"/>
    </row>
    <row r="2971" spans="1:1" ht="15.75" customHeight="1" thickBot="1" x14ac:dyDescent="0.3">
      <c r="A2971" s="9"/>
    </row>
    <row r="2972" spans="1:1" ht="15.75" customHeight="1" thickBot="1" x14ac:dyDescent="0.3">
      <c r="A2972" s="9"/>
    </row>
    <row r="2973" spans="1:1" ht="15.75" customHeight="1" thickBot="1" x14ac:dyDescent="0.3">
      <c r="A2973" s="9"/>
    </row>
    <row r="2974" spans="1:1" ht="15.75" customHeight="1" thickBot="1" x14ac:dyDescent="0.3">
      <c r="A2974" s="9"/>
    </row>
    <row r="2975" spans="1:1" ht="15.75" customHeight="1" thickBot="1" x14ac:dyDescent="0.3">
      <c r="A2975" s="9"/>
    </row>
    <row r="2976" spans="1:1" ht="15.75" customHeight="1" thickBot="1" x14ac:dyDescent="0.3">
      <c r="A2976" s="9"/>
    </row>
    <row r="2977" spans="1:1" ht="15.75" customHeight="1" thickBot="1" x14ac:dyDescent="0.3">
      <c r="A2977" s="9"/>
    </row>
    <row r="2978" spans="1:1" ht="15.75" customHeight="1" thickBot="1" x14ac:dyDescent="0.3">
      <c r="A2978" s="9"/>
    </row>
    <row r="2979" spans="1:1" ht="15.75" customHeight="1" thickBot="1" x14ac:dyDescent="0.3">
      <c r="A2979" s="9"/>
    </row>
    <row r="2980" spans="1:1" ht="15.75" customHeight="1" thickBot="1" x14ac:dyDescent="0.3">
      <c r="A2980" s="9"/>
    </row>
    <row r="2981" spans="1:1" ht="15.75" customHeight="1" thickBot="1" x14ac:dyDescent="0.3">
      <c r="A2981" s="9"/>
    </row>
    <row r="2982" spans="1:1" ht="15.75" customHeight="1" thickBot="1" x14ac:dyDescent="0.3">
      <c r="A2982" s="9"/>
    </row>
    <row r="2983" spans="1:1" ht="15.75" customHeight="1" thickBot="1" x14ac:dyDescent="0.3">
      <c r="A2983" s="9"/>
    </row>
    <row r="2984" spans="1:1" ht="15.75" customHeight="1" thickBot="1" x14ac:dyDescent="0.3">
      <c r="A2984" s="9"/>
    </row>
    <row r="2985" spans="1:1" ht="15.75" customHeight="1" thickBot="1" x14ac:dyDescent="0.3">
      <c r="A2985" s="9"/>
    </row>
    <row r="2986" spans="1:1" ht="15.75" customHeight="1" thickBot="1" x14ac:dyDescent="0.3">
      <c r="A2986" s="9"/>
    </row>
    <row r="2987" spans="1:1" ht="15.75" customHeight="1" thickBot="1" x14ac:dyDescent="0.3">
      <c r="A2987" s="9"/>
    </row>
    <row r="2988" spans="1:1" ht="15.75" customHeight="1" thickBot="1" x14ac:dyDescent="0.3">
      <c r="A2988" s="9"/>
    </row>
    <row r="2989" spans="1:1" ht="15.75" customHeight="1" thickBot="1" x14ac:dyDescent="0.3">
      <c r="A2989" s="9"/>
    </row>
    <row r="2990" spans="1:1" ht="15.75" customHeight="1" thickBot="1" x14ac:dyDescent="0.3">
      <c r="A2990" s="9"/>
    </row>
    <row r="2991" spans="1:1" ht="15.75" customHeight="1" thickBot="1" x14ac:dyDescent="0.3">
      <c r="A2991" s="9"/>
    </row>
    <row r="2992" spans="1:1" ht="15.75" customHeight="1" thickBot="1" x14ac:dyDescent="0.3">
      <c r="A2992" s="9"/>
    </row>
    <row r="2993" spans="1:1" ht="15.75" customHeight="1" thickBot="1" x14ac:dyDescent="0.3">
      <c r="A2993" s="9"/>
    </row>
    <row r="2994" spans="1:1" ht="15.75" customHeight="1" thickBot="1" x14ac:dyDescent="0.3">
      <c r="A2994" s="9"/>
    </row>
    <row r="2995" spans="1:1" ht="15.75" customHeight="1" thickBot="1" x14ac:dyDescent="0.3">
      <c r="A2995" s="9"/>
    </row>
    <row r="2996" spans="1:1" ht="15.75" customHeight="1" thickBot="1" x14ac:dyDescent="0.3">
      <c r="A2996" s="9"/>
    </row>
    <row r="2997" spans="1:1" ht="15.75" customHeight="1" thickBot="1" x14ac:dyDescent="0.3">
      <c r="A2997" s="9"/>
    </row>
    <row r="2998" spans="1:1" ht="15.75" customHeight="1" thickBot="1" x14ac:dyDescent="0.3">
      <c r="A2998" s="9"/>
    </row>
    <row r="2999" spans="1:1" ht="15.75" customHeight="1" thickBot="1" x14ac:dyDescent="0.3">
      <c r="A2999" s="9"/>
    </row>
    <row r="3000" spans="1:1" ht="15.75" customHeight="1" thickBot="1" x14ac:dyDescent="0.3">
      <c r="A3000" s="9"/>
    </row>
    <row r="3001" spans="1:1" ht="15.75" customHeight="1" thickBot="1" x14ac:dyDescent="0.3">
      <c r="A3001" s="9"/>
    </row>
    <row r="3002" spans="1:1" ht="15.75" customHeight="1" thickBot="1" x14ac:dyDescent="0.3">
      <c r="A3002" s="9"/>
    </row>
    <row r="3003" spans="1:1" ht="15.75" customHeight="1" thickBot="1" x14ac:dyDescent="0.3">
      <c r="A3003" s="9"/>
    </row>
    <row r="3004" spans="1:1" ht="15.75" customHeight="1" thickBot="1" x14ac:dyDescent="0.3">
      <c r="A3004" s="9"/>
    </row>
    <row r="3005" spans="1:1" ht="15.75" customHeight="1" thickBot="1" x14ac:dyDescent="0.3">
      <c r="A3005" s="9"/>
    </row>
    <row r="3006" spans="1:1" ht="15.75" customHeight="1" thickBot="1" x14ac:dyDescent="0.3">
      <c r="A3006" s="9"/>
    </row>
    <row r="3007" spans="1:1" ht="15.75" customHeight="1" thickBot="1" x14ac:dyDescent="0.3">
      <c r="A3007" s="9"/>
    </row>
    <row r="3008" spans="1:1" ht="15.75" customHeight="1" thickBot="1" x14ac:dyDescent="0.3">
      <c r="A3008" s="9"/>
    </row>
    <row r="3009" spans="1:1" ht="15.75" customHeight="1" thickBot="1" x14ac:dyDescent="0.3">
      <c r="A3009" s="9"/>
    </row>
    <row r="3010" spans="1:1" ht="15.75" customHeight="1" thickBot="1" x14ac:dyDescent="0.3">
      <c r="A3010" s="9"/>
    </row>
    <row r="3011" spans="1:1" ht="15.75" customHeight="1" thickBot="1" x14ac:dyDescent="0.3">
      <c r="A3011" s="9"/>
    </row>
    <row r="3012" spans="1:1" ht="15.75" customHeight="1" thickBot="1" x14ac:dyDescent="0.3">
      <c r="A3012" s="9"/>
    </row>
    <row r="3013" spans="1:1" ht="15.75" customHeight="1" thickBot="1" x14ac:dyDescent="0.3">
      <c r="A3013" s="9"/>
    </row>
    <row r="3014" spans="1:1" ht="15.75" customHeight="1" thickBot="1" x14ac:dyDescent="0.3">
      <c r="A3014" s="9"/>
    </row>
    <row r="3015" spans="1:1" ht="15.75" customHeight="1" thickBot="1" x14ac:dyDescent="0.3">
      <c r="A3015" s="9"/>
    </row>
    <row r="3016" spans="1:1" ht="15.75" customHeight="1" thickBot="1" x14ac:dyDescent="0.3">
      <c r="A3016" s="9"/>
    </row>
    <row r="3017" spans="1:1" ht="15.75" customHeight="1" thickBot="1" x14ac:dyDescent="0.3">
      <c r="A3017" s="9"/>
    </row>
    <row r="3018" spans="1:1" ht="15.75" customHeight="1" thickBot="1" x14ac:dyDescent="0.3">
      <c r="A3018" s="9"/>
    </row>
    <row r="3019" spans="1:1" ht="15.75" customHeight="1" thickBot="1" x14ac:dyDescent="0.3">
      <c r="A3019" s="9"/>
    </row>
    <row r="3020" spans="1:1" ht="15.75" customHeight="1" thickBot="1" x14ac:dyDescent="0.3">
      <c r="A3020" s="9"/>
    </row>
    <row r="3021" spans="1:1" ht="15.75" customHeight="1" thickBot="1" x14ac:dyDescent="0.3">
      <c r="A3021" s="9"/>
    </row>
    <row r="3022" spans="1:1" ht="15.75" customHeight="1" thickBot="1" x14ac:dyDescent="0.3">
      <c r="A3022" s="9"/>
    </row>
    <row r="3023" spans="1:1" ht="15.75" customHeight="1" thickBot="1" x14ac:dyDescent="0.3">
      <c r="A3023" s="9"/>
    </row>
    <row r="3024" spans="1:1" ht="15.75" customHeight="1" thickBot="1" x14ac:dyDescent="0.3">
      <c r="A3024" s="9"/>
    </row>
    <row r="3025" spans="1:1" ht="15.75" customHeight="1" thickBot="1" x14ac:dyDescent="0.3">
      <c r="A3025" s="9"/>
    </row>
    <row r="3026" spans="1:1" ht="15.75" customHeight="1" thickBot="1" x14ac:dyDescent="0.3">
      <c r="A3026" s="9"/>
    </row>
  </sheetData>
  <mergeCells count="3">
    <mergeCell ref="P9:Q9"/>
    <mergeCell ref="M9:N9"/>
    <mergeCell ref="J9:K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B8C0B-B8AF-44DB-BB13-F0B7E67173EE}">
  <sheetPr codeName="Sheet8"/>
  <dimension ref="A1:L133"/>
  <sheetViews>
    <sheetView topLeftCell="A28" workbookViewId="0">
      <selection activeCell="L15" sqref="L15"/>
    </sheetView>
  </sheetViews>
  <sheetFormatPr defaultColWidth="8.77734375" defaultRowHeight="13.8" x14ac:dyDescent="0.25"/>
  <cols>
    <col min="1" max="1" width="31.109375" style="47" customWidth="1"/>
    <col min="2" max="2" width="9.109375" style="47" bestFit="1" customWidth="1"/>
    <col min="3" max="3" width="11" style="47" customWidth="1"/>
    <col min="4" max="5" width="8.77734375" style="47"/>
    <col min="6" max="6" width="10.33203125" style="47" customWidth="1"/>
    <col min="7" max="7" width="8.77734375" style="47" customWidth="1"/>
    <col min="8" max="8" width="14.77734375" style="47" customWidth="1"/>
    <col min="9" max="9" width="12.109375" style="47" customWidth="1"/>
    <col min="10" max="10" width="12.88671875" style="47" customWidth="1"/>
    <col min="11" max="12" width="8.77734375" style="47" customWidth="1"/>
    <col min="13" max="16384" width="8.77734375" style="47"/>
  </cols>
  <sheetData>
    <row r="1" spans="1:10" s="46" customFormat="1" x14ac:dyDescent="0.25">
      <c r="A1" s="60"/>
      <c r="B1" s="60"/>
      <c r="C1" s="60"/>
      <c r="D1" s="60"/>
      <c r="E1" s="60"/>
      <c r="F1" s="60"/>
      <c r="G1" s="60"/>
      <c r="H1" s="60"/>
      <c r="I1" s="60"/>
      <c r="J1" s="60"/>
    </row>
    <row r="2" spans="1:10" x14ac:dyDescent="0.25">
      <c r="A2" s="47" t="s">
        <v>28</v>
      </c>
      <c r="B2" s="48" t="s">
        <v>3</v>
      </c>
      <c r="C2" s="48" t="s">
        <v>4</v>
      </c>
      <c r="H2" s="162" t="s">
        <v>39</v>
      </c>
      <c r="I2" s="162"/>
      <c r="J2" s="162"/>
    </row>
    <row r="3" spans="1:10" ht="41.4" x14ac:dyDescent="0.25">
      <c r="A3" s="49" t="s">
        <v>29</v>
      </c>
      <c r="B3" s="58">
        <f>'2.4.TestDecision2022Q1'!F3</f>
        <v>-1.8626758764596115E-3</v>
      </c>
      <c r="C3" s="58">
        <f ca="1">'2.4.TestDecision2022Q1'!G3</f>
        <v>-1.8929927147000372E-3</v>
      </c>
      <c r="H3" s="82"/>
      <c r="I3" s="78" t="s">
        <v>40</v>
      </c>
      <c r="J3" s="78" t="s">
        <v>41</v>
      </c>
    </row>
    <row r="4" spans="1:10" x14ac:dyDescent="0.25">
      <c r="A4" s="49" t="s">
        <v>30</v>
      </c>
      <c r="B4" s="51">
        <f>'2.4.TestDecision2022Q1'!F5</f>
        <v>4.8407400487349996E-4</v>
      </c>
      <c r="C4" s="51">
        <f ca="1">'2.4.TestDecision2022Q1'!G5</f>
        <v>3.4245847044183872E-4</v>
      </c>
      <c r="H4" s="79" t="s">
        <v>3</v>
      </c>
      <c r="I4" s="83">
        <v>0</v>
      </c>
      <c r="J4" s="84">
        <f>B3</f>
        <v>-1.8626758764596115E-3</v>
      </c>
    </row>
    <row r="5" spans="1:10" x14ac:dyDescent="0.25">
      <c r="A5" s="49" t="s">
        <v>31</v>
      </c>
      <c r="B5" s="58">
        <f>'2.4.TestDecision2022Q1'!F4</f>
        <v>2.2001681864655256E-2</v>
      </c>
      <c r="C5" s="58">
        <f ca="1">'2.4.TestDecision2022Q1'!G4</f>
        <v>1.8505633478534008E-2</v>
      </c>
      <c r="H5" s="79" t="s">
        <v>4</v>
      </c>
      <c r="I5" s="83">
        <v>1</v>
      </c>
      <c r="J5" s="84">
        <f ca="1">C3</f>
        <v>-1.8929927147000372E-3</v>
      </c>
    </row>
    <row r="6" spans="1:10" x14ac:dyDescent="0.25">
      <c r="A6" s="49" t="s">
        <v>32</v>
      </c>
      <c r="B6" s="52">
        <f ca="1">'2.4.TestDecision2022Q1'!F6</f>
        <v>2.2976731403150645E-5</v>
      </c>
      <c r="C6" s="50"/>
      <c r="H6" s="79" t="s">
        <v>42</v>
      </c>
      <c r="I6" s="80">
        <f>SUM(I4:I5)</f>
        <v>1</v>
      </c>
      <c r="J6" s="85"/>
    </row>
    <row r="7" spans="1:10" x14ac:dyDescent="0.25">
      <c r="H7" s="86" t="s">
        <v>43</v>
      </c>
      <c r="I7" s="81" cm="1">
        <f t="array" aca="1" ref="I7" ca="1">MMULT(TRANSPOSE(I4:I5),J4:J5)</f>
        <v>-1.8929927147000372E-3</v>
      </c>
      <c r="J7" s="82"/>
    </row>
    <row r="8" spans="1:10" x14ac:dyDescent="0.25">
      <c r="A8" s="74" t="s">
        <v>38</v>
      </c>
      <c r="B8" s="75">
        <v>0.5</v>
      </c>
      <c r="H8" s="86" t="s">
        <v>44</v>
      </c>
      <c r="I8" s="81">
        <f ca="1">I4^2*B4+(1-I4)^2*C4+2*I4*(1-I4)*B6</f>
        <v>3.4245847044183872E-4</v>
      </c>
      <c r="J8" s="86"/>
    </row>
    <row r="9" spans="1:10" x14ac:dyDescent="0.25">
      <c r="A9" s="74" t="s">
        <v>33</v>
      </c>
      <c r="B9" s="73">
        <f ca="1">B8*B3+(1-B8)*C3</f>
        <v>-1.8778342955798244E-3</v>
      </c>
      <c r="C9" s="47" t="str">
        <f ca="1">"&lt;--"&amp;_xlfn.FORMULATEXT(B9)</f>
        <v>&lt;--=B8*B3+(1-B8)*C3</v>
      </c>
      <c r="H9" s="82" t="s">
        <v>56</v>
      </c>
      <c r="I9" s="87">
        <f ca="1">I7/I8</f>
        <v>-5.5276562797751936</v>
      </c>
      <c r="J9" s="88" t="s">
        <v>45</v>
      </c>
    </row>
    <row r="10" spans="1:10" x14ac:dyDescent="0.25">
      <c r="A10" s="76" t="s">
        <v>34</v>
      </c>
      <c r="B10" s="77">
        <f ca="1">B8^2*B4+(1-B8)^2*C4+2*B8*(1-B8)*B6</f>
        <v>2.1812148453040998E-4</v>
      </c>
      <c r="C10" s="47" t="str">
        <f ca="1">"&lt;--"&amp;_xlfn.FORMULATEXT(B10)</f>
        <v>&lt;--=B8^2*B4+(1-B8)^2*C4+2*B8*(1-B8)*B6</v>
      </c>
    </row>
    <row r="11" spans="1:10" x14ac:dyDescent="0.25">
      <c r="A11" s="74" t="s">
        <v>35</v>
      </c>
      <c r="B11" s="77">
        <f ca="1">SQRT(B10)</f>
        <v>1.4768936472556511E-2</v>
      </c>
      <c r="C11" s="47" t="str">
        <f ca="1">"&lt;--"&amp;_xlfn.FORMULATEXT(B11)</f>
        <v>&lt;--=SQRT(B10)</v>
      </c>
    </row>
    <row r="12" spans="1:10" x14ac:dyDescent="0.25">
      <c r="G12" s="59">
        <v>5</v>
      </c>
      <c r="H12" s="47" t="s">
        <v>46</v>
      </c>
    </row>
    <row r="13" spans="1:10" x14ac:dyDescent="0.25">
      <c r="G13" s="59">
        <v>6</v>
      </c>
      <c r="H13" s="47" t="s">
        <v>47</v>
      </c>
      <c r="J13" s="47" t="s">
        <v>50</v>
      </c>
    </row>
    <row r="14" spans="1:10" x14ac:dyDescent="0.25">
      <c r="A14" s="46" t="s">
        <v>37</v>
      </c>
      <c r="H14" s="47" t="s">
        <v>48</v>
      </c>
      <c r="I14" s="58">
        <f ca="1">I7</f>
        <v>-1.8929927147000372E-3</v>
      </c>
      <c r="J14" s="58">
        <f ca="1">'2.4.TestDecision2022Q1'!H3</f>
        <v>-9.1997461483358633E-4</v>
      </c>
    </row>
    <row r="15" spans="1:10" ht="41.4" x14ac:dyDescent="0.25">
      <c r="B15" s="53" t="s">
        <v>36</v>
      </c>
      <c r="C15" s="53" t="s">
        <v>33</v>
      </c>
      <c r="H15" s="47" t="s">
        <v>49</v>
      </c>
      <c r="I15" s="58">
        <f ca="1">I14*62</f>
        <v>-0.11736554831140231</v>
      </c>
      <c r="J15" s="58">
        <f ca="1">J14*62</f>
        <v>-5.7038426119682351E-2</v>
      </c>
    </row>
    <row r="16" spans="1:10" x14ac:dyDescent="0.25">
      <c r="A16" s="54" t="s">
        <v>38</v>
      </c>
      <c r="B16" s="56">
        <f ca="1">B11</f>
        <v>1.4768936472556511E-2</v>
      </c>
      <c r="C16" s="56">
        <f ca="1">B9</f>
        <v>-1.8778342955798244E-3</v>
      </c>
      <c r="H16" s="47" t="s">
        <v>51</v>
      </c>
    </row>
    <row r="17" spans="1:8" x14ac:dyDescent="0.25">
      <c r="A17" s="55">
        <v>0.01</v>
      </c>
      <c r="B17" s="57">
        <f t="dataTable" ref="B17:C66" dt2D="0" dtr="0" r1="B8" ca="1"/>
        <v>1.8334309192394347E-2</v>
      </c>
      <c r="C17" s="57">
        <v>-1.892689546317633E-3</v>
      </c>
      <c r="H17" s="47" t="s">
        <v>52</v>
      </c>
    </row>
    <row r="18" spans="1:8" x14ac:dyDescent="0.25">
      <c r="A18" s="55">
        <v>0.03</v>
      </c>
      <c r="B18" s="57">
        <v>1.7999780198957305E-2</v>
      </c>
      <c r="C18" s="57">
        <v>-1.8920832095528244E-3</v>
      </c>
    </row>
    <row r="19" spans="1:8" x14ac:dyDescent="0.25">
      <c r="A19" s="55">
        <v>0.1</v>
      </c>
      <c r="B19" s="57">
        <v>1.692240859804512E-2</v>
      </c>
      <c r="C19" s="57">
        <v>-1.8899610308759946E-3</v>
      </c>
    </row>
    <row r="20" spans="1:8" x14ac:dyDescent="0.25">
      <c r="A20" s="55">
        <v>0.11</v>
      </c>
      <c r="B20" s="57">
        <v>1.6781462805866676E-2</v>
      </c>
      <c r="C20" s="57">
        <v>-1.8896578624935905E-3</v>
      </c>
    </row>
    <row r="21" spans="1:8" x14ac:dyDescent="0.25">
      <c r="A21" s="55">
        <v>0.11</v>
      </c>
      <c r="B21" s="57">
        <v>1.6781462805866676E-2</v>
      </c>
      <c r="C21" s="57">
        <v>-1.8896578624935905E-3</v>
      </c>
    </row>
    <row r="22" spans="1:8" x14ac:dyDescent="0.25">
      <c r="A22" s="55">
        <v>0.15</v>
      </c>
      <c r="B22" s="57">
        <v>1.6253521972535233E-2</v>
      </c>
      <c r="C22" s="57">
        <v>-1.8884451889639733E-3</v>
      </c>
    </row>
    <row r="23" spans="1:8" x14ac:dyDescent="0.25">
      <c r="A23" s="55">
        <v>0.17</v>
      </c>
      <c r="B23" s="57">
        <v>1.6012289425007153E-2</v>
      </c>
      <c r="C23" s="57">
        <v>-1.8878388521991647E-3</v>
      </c>
    </row>
    <row r="24" spans="1:8" x14ac:dyDescent="0.25">
      <c r="A24" s="55">
        <v>0.17</v>
      </c>
      <c r="B24" s="57">
        <v>1.6012289425007153E-2</v>
      </c>
      <c r="C24" s="57">
        <v>-1.8878388521991647E-3</v>
      </c>
    </row>
    <row r="25" spans="1:8" x14ac:dyDescent="0.25">
      <c r="A25" s="55">
        <v>0.18</v>
      </c>
      <c r="B25" s="57">
        <v>1.5897666633603934E-2</v>
      </c>
      <c r="C25" s="57">
        <v>-1.8875356838167607E-3</v>
      </c>
    </row>
    <row r="26" spans="1:8" x14ac:dyDescent="0.25">
      <c r="A26" s="55">
        <v>0.18</v>
      </c>
      <c r="B26" s="57">
        <v>1.5897666633603934E-2</v>
      </c>
      <c r="C26" s="57">
        <v>-1.8875356838167607E-3</v>
      </c>
    </row>
    <row r="27" spans="1:8" x14ac:dyDescent="0.25">
      <c r="A27" s="55">
        <v>0.21</v>
      </c>
      <c r="B27" s="57">
        <v>1.5578821344929735E-2</v>
      </c>
      <c r="C27" s="57">
        <v>-1.8866261786695479E-3</v>
      </c>
    </row>
    <row r="28" spans="1:8" x14ac:dyDescent="0.25">
      <c r="A28" s="55">
        <v>0.22</v>
      </c>
      <c r="B28" s="57">
        <v>1.5481166928570126E-2</v>
      </c>
      <c r="C28" s="57">
        <v>-1.8863230102871436E-3</v>
      </c>
    </row>
    <row r="29" spans="1:8" x14ac:dyDescent="0.25">
      <c r="A29" s="55">
        <v>0.24</v>
      </c>
      <c r="B29" s="57">
        <v>1.5299300206996038E-2</v>
      </c>
      <c r="C29" s="57">
        <v>-1.8857166735223351E-3</v>
      </c>
    </row>
    <row r="30" spans="1:8" x14ac:dyDescent="0.25">
      <c r="A30" s="55">
        <v>0.27</v>
      </c>
      <c r="B30" s="57">
        <v>1.5061292818774089E-2</v>
      </c>
      <c r="C30" s="57">
        <v>-1.8848071683751225E-3</v>
      </c>
    </row>
    <row r="31" spans="1:8" x14ac:dyDescent="0.25">
      <c r="A31" s="55">
        <v>0.27</v>
      </c>
      <c r="B31" s="57">
        <v>1.5061292818774089E-2</v>
      </c>
      <c r="C31" s="57">
        <v>-1.8848071683751225E-3</v>
      </c>
    </row>
    <row r="32" spans="1:8" x14ac:dyDescent="0.25">
      <c r="A32" s="55">
        <v>0.28000000000000003</v>
      </c>
      <c r="B32" s="57">
        <v>1.4991533982914555E-2</v>
      </c>
      <c r="C32" s="57">
        <v>-1.884503999992718E-3</v>
      </c>
    </row>
    <row r="33" spans="1:3" x14ac:dyDescent="0.25">
      <c r="A33" s="55">
        <v>0.28999999999999998</v>
      </c>
      <c r="B33" s="57">
        <v>1.4926679361177746E-2</v>
      </c>
      <c r="C33" s="57">
        <v>-1.8842008316103135E-3</v>
      </c>
    </row>
    <row r="34" spans="1:3" x14ac:dyDescent="0.25">
      <c r="A34" s="55">
        <v>0.32</v>
      </c>
      <c r="B34" s="57">
        <v>1.4762162725630813E-2</v>
      </c>
      <c r="C34" s="57">
        <v>-1.883291326463101E-3</v>
      </c>
    </row>
    <row r="35" spans="1:3" x14ac:dyDescent="0.25">
      <c r="A35" s="55">
        <v>0.33</v>
      </c>
      <c r="B35" s="57">
        <v>1.4717526189497294E-2</v>
      </c>
      <c r="C35" s="57">
        <v>-1.8829881580806965E-3</v>
      </c>
    </row>
    <row r="36" spans="1:3" x14ac:dyDescent="0.25">
      <c r="A36" s="55">
        <v>0.34</v>
      </c>
      <c r="B36" s="57">
        <v>1.4678072821102079E-2</v>
      </c>
      <c r="C36" s="57">
        <v>-1.8826849896982924E-3</v>
      </c>
    </row>
    <row r="37" spans="1:3" x14ac:dyDescent="0.25">
      <c r="A37" s="55">
        <v>0.39</v>
      </c>
      <c r="B37" s="57">
        <v>1.4559834538698803E-2</v>
      </c>
      <c r="C37" s="57">
        <v>-1.8811691477862713E-3</v>
      </c>
    </row>
    <row r="38" spans="1:3" x14ac:dyDescent="0.25">
      <c r="A38" s="55">
        <v>0.46</v>
      </c>
      <c r="B38" s="57">
        <v>1.4618679474328659E-2</v>
      </c>
      <c r="C38" s="57">
        <v>-1.8790469691094415E-3</v>
      </c>
    </row>
    <row r="39" spans="1:3" x14ac:dyDescent="0.25">
      <c r="A39" s="55">
        <v>0.46</v>
      </c>
      <c r="B39" s="57">
        <v>1.4618679474328659E-2</v>
      </c>
      <c r="C39" s="57">
        <v>-1.8790469691094415E-3</v>
      </c>
    </row>
    <row r="40" spans="1:3" x14ac:dyDescent="0.25">
      <c r="A40" s="55">
        <v>0.47</v>
      </c>
      <c r="B40" s="57">
        <v>1.4648397168588729E-2</v>
      </c>
      <c r="C40" s="57">
        <v>-1.8787438007270372E-3</v>
      </c>
    </row>
    <row r="41" spans="1:3" x14ac:dyDescent="0.25">
      <c r="A41" s="55">
        <v>0.49</v>
      </c>
      <c r="B41" s="57">
        <v>1.4723565705607603E-2</v>
      </c>
      <c r="C41" s="57">
        <v>-1.8781374639622287E-3</v>
      </c>
    </row>
    <row r="42" spans="1:3" x14ac:dyDescent="0.25">
      <c r="A42" s="55">
        <v>0.49</v>
      </c>
      <c r="B42" s="57">
        <v>1.4723565705607603E-2</v>
      </c>
      <c r="C42" s="57">
        <v>-1.8781374639622287E-3</v>
      </c>
    </row>
    <row r="43" spans="1:3" x14ac:dyDescent="0.25">
      <c r="A43" s="55">
        <v>0.52</v>
      </c>
      <c r="B43" s="57">
        <v>1.4875013506684518E-2</v>
      </c>
      <c r="C43" s="57">
        <v>-1.8772279588150159E-3</v>
      </c>
    </row>
    <row r="44" spans="1:3" x14ac:dyDescent="0.25">
      <c r="A44" s="55">
        <v>0.52</v>
      </c>
      <c r="B44" s="57">
        <v>1.4875013506684518E-2</v>
      </c>
      <c r="C44" s="57">
        <v>-1.8772279588150159E-3</v>
      </c>
    </row>
    <row r="45" spans="1:3" x14ac:dyDescent="0.25">
      <c r="A45" s="55">
        <v>0.52</v>
      </c>
      <c r="B45" s="57">
        <v>1.4875013506684518E-2</v>
      </c>
      <c r="C45" s="57">
        <v>-1.8772279588150159E-3</v>
      </c>
    </row>
    <row r="46" spans="1:3" x14ac:dyDescent="0.25">
      <c r="A46" s="55">
        <v>0.53</v>
      </c>
      <c r="B46" s="57">
        <v>1.493561085709647E-2</v>
      </c>
      <c r="C46" s="57">
        <v>-1.8769247904326116E-3</v>
      </c>
    </row>
    <row r="47" spans="1:3" x14ac:dyDescent="0.25">
      <c r="A47" s="55">
        <v>0.55000000000000004</v>
      </c>
      <c r="B47" s="57">
        <v>1.5071619315231714E-2</v>
      </c>
      <c r="C47" s="57">
        <v>-1.8763184536678031E-3</v>
      </c>
    </row>
    <row r="48" spans="1:3" x14ac:dyDescent="0.25">
      <c r="A48" s="55">
        <v>0.56000000000000005</v>
      </c>
      <c r="B48" s="57">
        <v>1.5146897406444074E-2</v>
      </c>
      <c r="C48" s="57">
        <v>-1.8760152852853988E-3</v>
      </c>
    </row>
    <row r="49" spans="1:3" x14ac:dyDescent="0.25">
      <c r="A49" s="55">
        <v>0.57999999999999996</v>
      </c>
      <c r="B49" s="57">
        <v>1.5311643705526875E-2</v>
      </c>
      <c r="C49" s="57">
        <v>-1.8754089485205905E-3</v>
      </c>
    </row>
    <row r="50" spans="1:3" x14ac:dyDescent="0.25">
      <c r="A50" s="55">
        <v>0.59</v>
      </c>
      <c r="B50" s="57">
        <v>1.5400960120414009E-2</v>
      </c>
      <c r="C50" s="57">
        <v>-1.875105780138186E-3</v>
      </c>
    </row>
    <row r="51" spans="1:3" x14ac:dyDescent="0.25">
      <c r="A51" s="55">
        <v>0.59</v>
      </c>
      <c r="B51" s="57">
        <v>1.5400960120414009E-2</v>
      </c>
      <c r="C51" s="57">
        <v>-1.875105780138186E-3</v>
      </c>
    </row>
    <row r="52" spans="1:3" x14ac:dyDescent="0.25">
      <c r="A52" s="55">
        <v>0.59</v>
      </c>
      <c r="B52" s="57">
        <v>1.5400960120414009E-2</v>
      </c>
      <c r="C52" s="57">
        <v>-1.875105780138186E-3</v>
      </c>
    </row>
    <row r="53" spans="1:3" x14ac:dyDescent="0.25">
      <c r="A53" s="55">
        <v>0.6</v>
      </c>
      <c r="B53" s="57">
        <v>1.5494800034161992E-2</v>
      </c>
      <c r="C53" s="57">
        <v>-1.8748026117557817E-3</v>
      </c>
    </row>
    <row r="54" spans="1:3" x14ac:dyDescent="0.25">
      <c r="A54" s="55">
        <v>0.66</v>
      </c>
      <c r="B54" s="57">
        <v>1.6148151372826151E-2</v>
      </c>
      <c r="C54" s="57">
        <v>-1.8729836014613564E-3</v>
      </c>
    </row>
    <row r="55" spans="1:3" x14ac:dyDescent="0.25">
      <c r="A55" s="55">
        <v>0.67</v>
      </c>
      <c r="B55" s="57">
        <v>1.6271289403280355E-2</v>
      </c>
      <c r="C55" s="57">
        <v>-1.8726804330789521E-3</v>
      </c>
    </row>
    <row r="56" spans="1:3" x14ac:dyDescent="0.25">
      <c r="A56" s="55">
        <v>0.67</v>
      </c>
      <c r="B56" s="57">
        <v>1.6271289403280355E-2</v>
      </c>
      <c r="C56" s="57">
        <v>-1.8726804330789521E-3</v>
      </c>
    </row>
    <row r="57" spans="1:3" x14ac:dyDescent="0.25">
      <c r="A57" s="55">
        <v>0.68</v>
      </c>
      <c r="B57" s="57">
        <v>1.6398263345043643E-2</v>
      </c>
      <c r="C57" s="57">
        <v>-1.8723772646965478E-3</v>
      </c>
    </row>
    <row r="58" spans="1:3" x14ac:dyDescent="0.25">
      <c r="A58" s="55">
        <v>0.7</v>
      </c>
      <c r="B58" s="57">
        <v>1.6663365563928067E-2</v>
      </c>
      <c r="C58" s="57">
        <v>-1.8717709279317393E-3</v>
      </c>
    </row>
    <row r="59" spans="1:3" x14ac:dyDescent="0.25">
      <c r="A59" s="55">
        <v>0.71</v>
      </c>
      <c r="B59" s="57">
        <v>1.6801317841547651E-2</v>
      </c>
      <c r="C59" s="57">
        <v>-1.8714677595493348E-3</v>
      </c>
    </row>
    <row r="60" spans="1:3" x14ac:dyDescent="0.25">
      <c r="A60" s="55">
        <v>0.83</v>
      </c>
      <c r="B60" s="57">
        <v>1.8704535956689552E-2</v>
      </c>
      <c r="C60" s="57">
        <v>-1.8678297389604841E-3</v>
      </c>
    </row>
    <row r="61" spans="1:3" x14ac:dyDescent="0.25">
      <c r="A61" s="55">
        <v>0.84</v>
      </c>
      <c r="B61" s="57">
        <v>1.8881358533834887E-2</v>
      </c>
      <c r="C61" s="57">
        <v>-1.8675265705780796E-3</v>
      </c>
    </row>
    <row r="62" spans="1:3" x14ac:dyDescent="0.25">
      <c r="A62" s="55">
        <v>0.89</v>
      </c>
      <c r="B62" s="57">
        <v>1.9800949743923459E-2</v>
      </c>
      <c r="C62" s="57">
        <v>-1.8660107286660582E-3</v>
      </c>
    </row>
    <row r="63" spans="1:3" x14ac:dyDescent="0.25">
      <c r="A63" s="55">
        <v>0.95</v>
      </c>
      <c r="B63" s="57">
        <v>2.097416804208781E-2</v>
      </c>
      <c r="C63" s="57">
        <v>-1.8641917183716329E-3</v>
      </c>
    </row>
    <row r="64" spans="1:3" x14ac:dyDescent="0.25">
      <c r="A64" s="55">
        <v>0.96</v>
      </c>
      <c r="B64" s="57">
        <v>2.1176287432311793E-2</v>
      </c>
      <c r="C64" s="57">
        <v>-1.8638885499892286E-3</v>
      </c>
    </row>
    <row r="65" spans="1:12" x14ac:dyDescent="0.25">
      <c r="A65" s="55">
        <v>0.97</v>
      </c>
      <c r="B65" s="57">
        <v>2.1380147089684325E-2</v>
      </c>
      <c r="C65" s="57">
        <v>-1.8635853816068243E-3</v>
      </c>
    </row>
    <row r="66" spans="1:12" x14ac:dyDescent="0.25">
      <c r="A66" s="55">
        <v>0.99</v>
      </c>
      <c r="B66" s="57">
        <v>2.1792891439764112E-2</v>
      </c>
      <c r="C66" s="57">
        <v>-1.8629790448420158E-3</v>
      </c>
    </row>
    <row r="67" spans="1:12" x14ac:dyDescent="0.25">
      <c r="A67" s="55"/>
    </row>
    <row r="68" spans="1:12" ht="14.4" thickBot="1" x14ac:dyDescent="0.3"/>
    <row r="69" spans="1:12" ht="16.8" thickBot="1" x14ac:dyDescent="0.5">
      <c r="A69" s="9"/>
      <c r="B69" s="1"/>
      <c r="C69"/>
      <c r="D69"/>
      <c r="E69"/>
      <c r="F69" s="156"/>
      <c r="G69" s="156"/>
      <c r="H69" s="156"/>
      <c r="I69"/>
      <c r="J69" s="156"/>
      <c r="K69" s="156"/>
      <c r="L69" s="156"/>
    </row>
    <row r="70" spans="1:12" ht="14.4" thickBot="1" x14ac:dyDescent="0.3">
      <c r="A70" s="14"/>
      <c r="B70" s="6"/>
      <c r="C70" s="6"/>
      <c r="D70" s="6"/>
      <c r="E70" s="5"/>
      <c r="F70" s="41"/>
      <c r="G70" s="41"/>
      <c r="H70" s="41"/>
      <c r="I70"/>
      <c r="J70" s="41"/>
      <c r="K70" s="41"/>
      <c r="L70" s="41"/>
    </row>
    <row r="71" spans="1:12" ht="14.4" thickBot="1" x14ac:dyDescent="0.3">
      <c r="A71" s="10"/>
      <c r="B71" s="8"/>
      <c r="C71" s="8"/>
      <c r="D71" s="8"/>
      <c r="E71" s="7"/>
      <c r="F71" s="7"/>
      <c r="G71" s="8"/>
      <c r="H71" s="7"/>
      <c r="I71" s="7"/>
      <c r="J71" s="7"/>
      <c r="K71" s="7"/>
      <c r="L71" s="7"/>
    </row>
    <row r="72" spans="1:12" ht="14.4" thickBot="1" x14ac:dyDescent="0.3">
      <c r="A72" s="12"/>
      <c r="B72" s="4"/>
      <c r="C72" s="2"/>
      <c r="D72" s="2"/>
      <c r="E72"/>
      <c r="F72"/>
      <c r="G72" s="2"/>
      <c r="H72"/>
      <c r="I72"/>
      <c r="J72"/>
      <c r="K72"/>
      <c r="L72"/>
    </row>
    <row r="73" spans="1:12" ht="14.4" thickBot="1" x14ac:dyDescent="0.3">
      <c r="A73" s="12"/>
      <c r="B73" s="4"/>
      <c r="C73" s="2"/>
      <c r="D73" s="2"/>
      <c r="E73"/>
      <c r="F73" s="16"/>
      <c r="G73" s="16"/>
      <c r="H73" s="16"/>
      <c r="I73"/>
      <c r="J73" s="38"/>
      <c r="K73" s="38"/>
      <c r="L73" s="38"/>
    </row>
    <row r="74" spans="1:12" ht="14.4" thickBot="1" x14ac:dyDescent="0.3">
      <c r="A74" s="12"/>
      <c r="B74" s="4"/>
      <c r="C74" s="2"/>
      <c r="D74" s="2"/>
      <c r="E74"/>
      <c r="F74" s="16"/>
      <c r="G74" s="16"/>
      <c r="H74" s="16"/>
      <c r="I74"/>
      <c r="J74" s="38"/>
      <c r="K74" s="38"/>
      <c r="L74" s="38"/>
    </row>
    <row r="75" spans="1:12" ht="14.4" thickBot="1" x14ac:dyDescent="0.3">
      <c r="A75" s="12"/>
      <c r="B75" s="4"/>
      <c r="C75" s="2"/>
      <c r="D75" s="2"/>
      <c r="E75"/>
      <c r="F75" s="16"/>
      <c r="G75" s="16"/>
      <c r="H75" s="16"/>
      <c r="I75"/>
      <c r="J75" s="38"/>
      <c r="K75" s="38"/>
      <c r="L75" s="38"/>
    </row>
    <row r="76" spans="1:12" ht="14.4" thickBot="1" x14ac:dyDescent="0.3">
      <c r="A76" s="12"/>
      <c r="B76" s="4"/>
      <c r="C76" s="2"/>
      <c r="D76" s="2"/>
      <c r="E76"/>
      <c r="F76" s="16"/>
      <c r="G76" s="16"/>
      <c r="H76" s="16"/>
      <c r="I76"/>
      <c r="J76" s="38"/>
      <c r="K76" s="38"/>
      <c r="L76" s="38"/>
    </row>
    <row r="77" spans="1:12" ht="14.4" thickBot="1" x14ac:dyDescent="0.3">
      <c r="A77" s="12"/>
      <c r="B77" s="4"/>
      <c r="C77" s="2"/>
      <c r="D77" s="2"/>
      <c r="E77"/>
      <c r="F77" s="16"/>
      <c r="G77" s="16"/>
      <c r="H77" s="16"/>
      <c r="I77"/>
      <c r="J77" s="38"/>
      <c r="K77" s="38"/>
      <c r="L77" s="38"/>
    </row>
    <row r="78" spans="1:12" ht="14.4" thickBot="1" x14ac:dyDescent="0.3">
      <c r="A78" s="12"/>
      <c r="B78" s="4"/>
      <c r="C78" s="2"/>
      <c r="D78" s="2"/>
      <c r="E78"/>
      <c r="F78" s="16"/>
      <c r="G78" s="16"/>
      <c r="H78" s="16"/>
      <c r="I78"/>
      <c r="J78" s="38"/>
      <c r="K78" s="38"/>
      <c r="L78" s="38"/>
    </row>
    <row r="79" spans="1:12" ht="14.4" thickBot="1" x14ac:dyDescent="0.3">
      <c r="A79" s="12"/>
      <c r="B79" s="4"/>
      <c r="C79" s="2"/>
      <c r="D79" s="2"/>
      <c r="E79"/>
      <c r="F79" s="16"/>
      <c r="G79" s="16"/>
      <c r="H79" s="16"/>
      <c r="I79"/>
      <c r="J79" s="38"/>
      <c r="K79" s="38"/>
      <c r="L79" s="38"/>
    </row>
    <row r="80" spans="1:12" ht="14.4" thickBot="1" x14ac:dyDescent="0.3">
      <c r="A80" s="12"/>
      <c r="B80" s="4"/>
      <c r="C80" s="2"/>
      <c r="D80" s="2"/>
      <c r="E80"/>
      <c r="F80" s="16"/>
      <c r="G80" s="16"/>
      <c r="H80" s="16"/>
      <c r="I80"/>
      <c r="J80" s="38"/>
      <c r="K80" s="38"/>
      <c r="L80" s="38"/>
    </row>
    <row r="81" spans="1:12" ht="14.4" thickBot="1" x14ac:dyDescent="0.3">
      <c r="A81" s="12"/>
      <c r="B81" s="4"/>
      <c r="C81" s="2"/>
      <c r="D81" s="2"/>
      <c r="E81"/>
      <c r="F81" s="16"/>
      <c r="G81" s="16"/>
      <c r="H81" s="16"/>
      <c r="I81"/>
      <c r="J81" s="38"/>
      <c r="K81" s="38"/>
      <c r="L81" s="38"/>
    </row>
    <row r="82" spans="1:12" ht="14.4" thickBot="1" x14ac:dyDescent="0.3">
      <c r="A82" s="12"/>
      <c r="B82" s="4"/>
      <c r="C82" s="2"/>
      <c r="D82" s="2"/>
      <c r="E82"/>
      <c r="F82" s="16"/>
      <c r="G82" s="16"/>
      <c r="H82" s="16"/>
      <c r="I82"/>
      <c r="J82" s="38"/>
      <c r="K82" s="38"/>
      <c r="L82" s="38"/>
    </row>
    <row r="83" spans="1:12" ht="14.4" thickBot="1" x14ac:dyDescent="0.3">
      <c r="A83" s="12"/>
      <c r="B83" s="4"/>
      <c r="C83" s="2"/>
      <c r="D83" s="2"/>
      <c r="E83"/>
      <c r="F83" s="16"/>
      <c r="G83" s="16"/>
      <c r="H83" s="16"/>
      <c r="I83"/>
      <c r="J83" s="38"/>
      <c r="K83" s="38"/>
      <c r="L83" s="38"/>
    </row>
    <row r="84" spans="1:12" ht="14.4" thickBot="1" x14ac:dyDescent="0.3">
      <c r="A84" s="12"/>
      <c r="B84" s="4"/>
      <c r="C84" s="2"/>
      <c r="D84" s="2"/>
      <c r="E84"/>
      <c r="F84" s="16"/>
      <c r="G84" s="16"/>
      <c r="H84" s="16"/>
      <c r="I84"/>
      <c r="J84" s="38"/>
      <c r="K84" s="38"/>
      <c r="L84" s="38"/>
    </row>
    <row r="85" spans="1:12" ht="14.4" thickBot="1" x14ac:dyDescent="0.3">
      <c r="A85" s="12"/>
      <c r="B85" s="4"/>
      <c r="C85" s="2"/>
      <c r="D85" s="2"/>
      <c r="E85"/>
      <c r="F85" s="16"/>
      <c r="G85" s="16"/>
      <c r="H85" s="16"/>
      <c r="I85"/>
      <c r="J85" s="38"/>
      <c r="K85" s="38"/>
      <c r="L85" s="38"/>
    </row>
    <row r="86" spans="1:12" ht="14.4" thickBot="1" x14ac:dyDescent="0.3">
      <c r="A86" s="12"/>
      <c r="B86" s="4"/>
      <c r="C86" s="2"/>
      <c r="D86" s="2"/>
      <c r="E86"/>
      <c r="F86" s="16"/>
      <c r="G86" s="16"/>
      <c r="H86" s="16"/>
      <c r="I86"/>
      <c r="J86" s="38"/>
      <c r="K86" s="38"/>
      <c r="L86" s="38"/>
    </row>
    <row r="87" spans="1:12" ht="14.4" thickBot="1" x14ac:dyDescent="0.3">
      <c r="A87" s="12"/>
      <c r="B87" s="4"/>
      <c r="C87" s="2"/>
      <c r="D87" s="2"/>
      <c r="E87"/>
      <c r="F87" s="16"/>
      <c r="G87" s="16"/>
      <c r="H87" s="16"/>
      <c r="I87"/>
      <c r="J87" s="38"/>
      <c r="K87" s="38"/>
      <c r="L87" s="38"/>
    </row>
    <row r="88" spans="1:12" ht="14.4" thickBot="1" x14ac:dyDescent="0.3">
      <c r="A88" s="12"/>
      <c r="B88" s="4"/>
      <c r="C88" s="2"/>
      <c r="D88" s="2"/>
      <c r="E88"/>
      <c r="F88" s="16"/>
      <c r="G88" s="16"/>
      <c r="H88" s="16"/>
      <c r="I88"/>
      <c r="J88" s="38"/>
      <c r="K88" s="38"/>
      <c r="L88" s="38"/>
    </row>
    <row r="89" spans="1:12" ht="14.4" thickBot="1" x14ac:dyDescent="0.3">
      <c r="A89" s="12"/>
      <c r="B89" s="4"/>
      <c r="C89" s="2"/>
      <c r="D89" s="2"/>
      <c r="E89"/>
      <c r="F89" s="16"/>
      <c r="G89" s="16"/>
      <c r="H89" s="16"/>
      <c r="I89"/>
      <c r="J89" s="38"/>
      <c r="K89" s="38"/>
      <c r="L89" s="38"/>
    </row>
    <row r="90" spans="1:12" ht="14.4" thickBot="1" x14ac:dyDescent="0.3">
      <c r="A90" s="12"/>
      <c r="B90" s="4"/>
      <c r="C90" s="2"/>
      <c r="D90" s="2"/>
      <c r="E90"/>
      <c r="F90" s="16"/>
      <c r="G90" s="16"/>
      <c r="H90" s="16"/>
      <c r="I90"/>
      <c r="J90" s="38"/>
      <c r="K90" s="38"/>
      <c r="L90" s="38"/>
    </row>
    <row r="91" spans="1:12" ht="14.4" thickBot="1" x14ac:dyDescent="0.3">
      <c r="A91" s="12"/>
      <c r="B91" s="4"/>
      <c r="C91" s="2"/>
      <c r="D91" s="2"/>
      <c r="E91"/>
      <c r="F91" s="16"/>
      <c r="G91" s="16"/>
      <c r="H91" s="16"/>
      <c r="I91"/>
      <c r="J91" s="38"/>
      <c r="K91" s="38"/>
      <c r="L91" s="38"/>
    </row>
    <row r="92" spans="1:12" ht="14.4" thickBot="1" x14ac:dyDescent="0.3">
      <c r="A92" s="12"/>
      <c r="B92" s="4"/>
      <c r="C92" s="2"/>
      <c r="D92" s="2"/>
      <c r="E92"/>
      <c r="F92" s="16"/>
      <c r="G92" s="16"/>
      <c r="H92" s="16"/>
      <c r="I92"/>
      <c r="J92" s="38"/>
      <c r="K92" s="38"/>
      <c r="L92" s="38"/>
    </row>
    <row r="93" spans="1:12" ht="14.4" thickBot="1" x14ac:dyDescent="0.3">
      <c r="A93" s="12"/>
      <c r="B93" s="4"/>
      <c r="C93" s="2"/>
      <c r="D93" s="2"/>
      <c r="E93"/>
      <c r="F93" s="16"/>
      <c r="G93" s="16"/>
      <c r="H93" s="16"/>
      <c r="I93"/>
      <c r="J93" s="38"/>
      <c r="K93" s="38"/>
      <c r="L93" s="38"/>
    </row>
    <row r="94" spans="1:12" ht="14.4" thickBot="1" x14ac:dyDescent="0.3">
      <c r="A94" s="12"/>
      <c r="B94" s="4"/>
      <c r="C94" s="2"/>
      <c r="D94" s="2"/>
      <c r="E94"/>
      <c r="F94" s="16"/>
      <c r="G94" s="16"/>
      <c r="H94" s="16"/>
      <c r="I94"/>
      <c r="J94" s="38"/>
      <c r="K94" s="38"/>
      <c r="L94" s="38"/>
    </row>
    <row r="95" spans="1:12" ht="14.4" thickBot="1" x14ac:dyDescent="0.3">
      <c r="A95" s="12"/>
      <c r="B95" s="4"/>
      <c r="C95" s="2"/>
      <c r="D95" s="2"/>
      <c r="E95"/>
      <c r="F95" s="16"/>
      <c r="G95" s="16"/>
      <c r="H95" s="16"/>
      <c r="I95"/>
      <c r="J95" s="38"/>
      <c r="K95" s="38"/>
      <c r="L95" s="38"/>
    </row>
    <row r="96" spans="1:12" ht="14.4" thickBot="1" x14ac:dyDescent="0.3">
      <c r="A96" s="12"/>
      <c r="B96" s="4"/>
      <c r="C96" s="2"/>
      <c r="D96" s="2"/>
      <c r="E96"/>
      <c r="F96" s="16"/>
      <c r="G96" s="16"/>
      <c r="H96" s="16"/>
      <c r="I96"/>
      <c r="J96" s="38"/>
      <c r="K96" s="38"/>
      <c r="L96" s="38"/>
    </row>
    <row r="97" spans="1:12" ht="14.4" thickBot="1" x14ac:dyDescent="0.3">
      <c r="A97" s="12"/>
      <c r="B97" s="4"/>
      <c r="C97" s="2"/>
      <c r="D97" s="2"/>
      <c r="E97"/>
      <c r="F97" s="16"/>
      <c r="G97" s="16"/>
      <c r="H97" s="16"/>
      <c r="I97"/>
      <c r="J97" s="38"/>
      <c r="K97" s="38"/>
      <c r="L97" s="38"/>
    </row>
    <row r="98" spans="1:12" ht="14.4" thickBot="1" x14ac:dyDescent="0.3">
      <c r="A98" s="12"/>
      <c r="B98" s="4"/>
      <c r="C98" s="2"/>
      <c r="D98" s="2"/>
      <c r="E98"/>
      <c r="F98" s="16"/>
      <c r="G98" s="16"/>
      <c r="H98" s="16"/>
      <c r="I98"/>
      <c r="J98" s="38"/>
      <c r="K98" s="38"/>
      <c r="L98" s="38"/>
    </row>
    <row r="99" spans="1:12" ht="14.4" thickBot="1" x14ac:dyDescent="0.3">
      <c r="A99" s="12"/>
      <c r="B99" s="4"/>
      <c r="C99" s="2"/>
      <c r="D99" s="2"/>
      <c r="E99"/>
      <c r="F99" s="16"/>
      <c r="G99" s="16"/>
      <c r="H99" s="16"/>
      <c r="I99"/>
      <c r="J99" s="38"/>
      <c r="K99" s="38"/>
      <c r="L99" s="38"/>
    </row>
    <row r="100" spans="1:12" ht="14.4" thickBot="1" x14ac:dyDescent="0.3">
      <c r="A100" s="12"/>
      <c r="B100" s="4"/>
      <c r="C100" s="2"/>
      <c r="D100" s="2"/>
      <c r="E100"/>
      <c r="F100" s="16"/>
      <c r="G100" s="16"/>
      <c r="H100" s="16"/>
      <c r="I100"/>
      <c r="J100" s="38"/>
      <c r="K100" s="38"/>
      <c r="L100" s="38"/>
    </row>
    <row r="101" spans="1:12" ht="14.4" thickBot="1" x14ac:dyDescent="0.3">
      <c r="A101" s="12"/>
      <c r="B101" s="4"/>
      <c r="C101" s="2"/>
      <c r="D101" s="2"/>
      <c r="E101"/>
      <c r="F101" s="16"/>
      <c r="G101" s="16"/>
      <c r="H101" s="16"/>
      <c r="I101"/>
      <c r="J101" s="38"/>
      <c r="K101" s="38"/>
      <c r="L101" s="38"/>
    </row>
    <row r="102" spans="1:12" ht="14.4" thickBot="1" x14ac:dyDescent="0.3">
      <c r="A102" s="12"/>
      <c r="B102" s="4"/>
      <c r="C102" s="2"/>
      <c r="D102" s="2"/>
      <c r="E102"/>
      <c r="F102" s="16"/>
      <c r="G102" s="16"/>
      <c r="H102" s="16"/>
      <c r="I102"/>
      <c r="J102" s="38"/>
      <c r="K102" s="38"/>
      <c r="L102" s="38"/>
    </row>
    <row r="103" spans="1:12" ht="14.4" thickBot="1" x14ac:dyDescent="0.3">
      <c r="A103" s="12"/>
      <c r="B103" s="4"/>
      <c r="C103" s="2"/>
      <c r="D103" s="2"/>
      <c r="E103"/>
      <c r="F103" s="16"/>
      <c r="G103" s="16"/>
      <c r="H103" s="16"/>
      <c r="I103"/>
      <c r="J103" s="38"/>
      <c r="K103" s="38"/>
      <c r="L103" s="38"/>
    </row>
    <row r="104" spans="1:12" ht="14.4" thickBot="1" x14ac:dyDescent="0.3">
      <c r="A104" s="12"/>
      <c r="B104" s="4"/>
      <c r="C104" s="2"/>
      <c r="D104" s="2"/>
      <c r="E104"/>
      <c r="F104" s="16"/>
      <c r="G104" s="16"/>
      <c r="H104" s="16"/>
      <c r="I104"/>
      <c r="J104" s="38"/>
      <c r="K104" s="38"/>
      <c r="L104" s="38"/>
    </row>
    <row r="105" spans="1:12" ht="14.4" thickBot="1" x14ac:dyDescent="0.3">
      <c r="A105" s="12"/>
      <c r="B105" s="4"/>
      <c r="C105" s="2"/>
      <c r="D105" s="2"/>
      <c r="E105"/>
      <c r="F105" s="16"/>
      <c r="G105" s="16"/>
      <c r="H105" s="16"/>
      <c r="I105"/>
      <c r="J105" s="38"/>
      <c r="K105" s="38"/>
      <c r="L105" s="38"/>
    </row>
    <row r="106" spans="1:12" ht="14.4" thickBot="1" x14ac:dyDescent="0.3">
      <c r="A106" s="12"/>
      <c r="B106" s="4"/>
      <c r="C106" s="2"/>
      <c r="D106" s="2"/>
      <c r="E106"/>
      <c r="F106" s="16"/>
      <c r="G106" s="16"/>
      <c r="H106" s="16"/>
      <c r="I106"/>
      <c r="J106" s="38"/>
      <c r="K106" s="38"/>
      <c r="L106" s="38"/>
    </row>
    <row r="107" spans="1:12" ht="14.4" thickBot="1" x14ac:dyDescent="0.3">
      <c r="A107" s="12"/>
      <c r="B107" s="4"/>
      <c r="C107" s="2"/>
      <c r="D107" s="2"/>
      <c r="E107"/>
      <c r="F107" s="16"/>
      <c r="G107" s="16"/>
      <c r="H107" s="16"/>
      <c r="I107"/>
      <c r="J107" s="38"/>
      <c r="K107" s="38"/>
      <c r="L107" s="38"/>
    </row>
    <row r="108" spans="1:12" ht="14.4" thickBot="1" x14ac:dyDescent="0.3">
      <c r="A108" s="12"/>
      <c r="B108" s="4"/>
      <c r="C108" s="2"/>
      <c r="D108" s="2"/>
      <c r="E108"/>
      <c r="F108" s="16"/>
      <c r="G108" s="16"/>
      <c r="H108" s="16"/>
      <c r="I108"/>
      <c r="J108" s="38"/>
      <c r="K108" s="38"/>
      <c r="L108" s="38"/>
    </row>
    <row r="109" spans="1:12" ht="14.4" thickBot="1" x14ac:dyDescent="0.3">
      <c r="A109" s="12"/>
      <c r="B109" s="4"/>
      <c r="C109" s="2"/>
      <c r="D109" s="2"/>
      <c r="E109"/>
      <c r="F109" s="16"/>
      <c r="G109" s="16"/>
      <c r="H109" s="16"/>
      <c r="I109"/>
      <c r="J109" s="38"/>
      <c r="K109" s="38"/>
      <c r="L109" s="38"/>
    </row>
    <row r="110" spans="1:12" ht="14.4" thickBot="1" x14ac:dyDescent="0.3">
      <c r="A110" s="12"/>
      <c r="B110" s="4"/>
      <c r="C110" s="2"/>
      <c r="D110" s="2"/>
      <c r="E110"/>
      <c r="F110" s="16"/>
      <c r="G110" s="16"/>
      <c r="H110" s="16"/>
      <c r="I110"/>
      <c r="J110" s="38"/>
      <c r="K110" s="38"/>
      <c r="L110" s="38"/>
    </row>
    <row r="111" spans="1:12" ht="14.4" thickBot="1" x14ac:dyDescent="0.3">
      <c r="A111" s="12"/>
      <c r="B111" s="4"/>
      <c r="C111" s="2"/>
      <c r="D111" s="2"/>
      <c r="E111"/>
      <c r="F111" s="16"/>
      <c r="G111" s="16"/>
      <c r="H111" s="16"/>
      <c r="I111"/>
      <c r="J111" s="38"/>
      <c r="K111" s="38"/>
      <c r="L111" s="38"/>
    </row>
    <row r="112" spans="1:12" ht="14.4" thickBot="1" x14ac:dyDescent="0.3">
      <c r="A112" s="12"/>
      <c r="B112" s="4"/>
      <c r="C112" s="2"/>
      <c r="D112" s="2"/>
      <c r="E112"/>
      <c r="F112" s="16"/>
      <c r="G112" s="16"/>
      <c r="H112" s="16"/>
      <c r="I112"/>
      <c r="J112" s="38"/>
      <c r="K112" s="38"/>
      <c r="L112" s="38"/>
    </row>
    <row r="113" spans="1:12" ht="14.4" thickBot="1" x14ac:dyDescent="0.3">
      <c r="A113" s="12"/>
      <c r="B113" s="4"/>
      <c r="C113" s="2"/>
      <c r="D113" s="2"/>
      <c r="E113"/>
      <c r="F113" s="16"/>
      <c r="G113" s="16"/>
      <c r="H113" s="16"/>
      <c r="I113"/>
      <c r="J113" s="38"/>
      <c r="K113" s="38"/>
      <c r="L113" s="38"/>
    </row>
    <row r="114" spans="1:12" ht="14.4" thickBot="1" x14ac:dyDescent="0.3">
      <c r="A114" s="12"/>
      <c r="B114" s="4"/>
      <c r="C114" s="2"/>
      <c r="D114" s="2"/>
      <c r="E114"/>
      <c r="F114" s="16"/>
      <c r="G114" s="16"/>
      <c r="H114" s="16"/>
      <c r="I114"/>
      <c r="J114" s="38"/>
      <c r="K114" s="38"/>
      <c r="L114" s="38"/>
    </row>
    <row r="115" spans="1:12" ht="14.4" thickBot="1" x14ac:dyDescent="0.3">
      <c r="A115" s="12"/>
      <c r="B115" s="4"/>
      <c r="C115" s="2"/>
      <c r="D115" s="2"/>
      <c r="E115"/>
      <c r="F115" s="16"/>
      <c r="G115" s="16"/>
      <c r="H115" s="16"/>
      <c r="I115"/>
      <c r="J115" s="38"/>
      <c r="K115" s="38"/>
      <c r="L115" s="38"/>
    </row>
    <row r="116" spans="1:12" ht="14.4" thickBot="1" x14ac:dyDescent="0.3">
      <c r="A116" s="12"/>
      <c r="B116" s="4"/>
      <c r="C116" s="2"/>
      <c r="D116" s="2"/>
      <c r="E116"/>
      <c r="F116" s="16"/>
      <c r="G116" s="16"/>
      <c r="H116" s="16"/>
      <c r="I116"/>
      <c r="J116" s="38"/>
      <c r="K116" s="38"/>
      <c r="L116" s="38"/>
    </row>
    <row r="117" spans="1:12" ht="14.4" thickBot="1" x14ac:dyDescent="0.3">
      <c r="A117" s="12"/>
      <c r="B117" s="4"/>
      <c r="C117" s="2"/>
      <c r="D117" s="2"/>
      <c r="E117"/>
      <c r="F117" s="16"/>
      <c r="G117" s="16"/>
      <c r="H117" s="16"/>
      <c r="I117"/>
      <c r="J117" s="38"/>
      <c r="K117" s="38"/>
      <c r="L117" s="38"/>
    </row>
    <row r="118" spans="1:12" ht="14.4" thickBot="1" x14ac:dyDescent="0.3">
      <c r="A118" s="12"/>
      <c r="B118" s="4"/>
      <c r="C118" s="2"/>
      <c r="D118" s="2"/>
      <c r="E118"/>
      <c r="F118" s="16"/>
      <c r="G118" s="16"/>
      <c r="H118" s="16"/>
      <c r="I118"/>
      <c r="J118" s="38"/>
      <c r="K118" s="38"/>
      <c r="L118" s="38"/>
    </row>
    <row r="119" spans="1:12" ht="14.4" thickBot="1" x14ac:dyDescent="0.3">
      <c r="A119" s="12"/>
      <c r="B119" s="4"/>
      <c r="C119" s="2"/>
      <c r="D119" s="2"/>
      <c r="E119"/>
      <c r="F119" s="16"/>
      <c r="G119" s="16"/>
      <c r="H119" s="16"/>
      <c r="I119"/>
      <c r="J119" s="38"/>
      <c r="K119" s="38"/>
      <c r="L119" s="38"/>
    </row>
    <row r="120" spans="1:12" ht="14.4" thickBot="1" x14ac:dyDescent="0.3">
      <c r="A120" s="12"/>
      <c r="B120" s="4"/>
      <c r="C120" s="2"/>
      <c r="D120" s="2"/>
      <c r="E120"/>
      <c r="F120" s="16"/>
      <c r="G120" s="16"/>
      <c r="H120" s="16"/>
      <c r="I120"/>
      <c r="J120" s="38"/>
      <c r="K120" s="38"/>
      <c r="L120" s="38"/>
    </row>
    <row r="121" spans="1:12" ht="14.4" thickBot="1" x14ac:dyDescent="0.3">
      <c r="A121" s="12"/>
      <c r="B121" s="4"/>
      <c r="C121" s="2"/>
      <c r="D121" s="2"/>
      <c r="E121"/>
      <c r="F121" s="16"/>
      <c r="G121" s="16"/>
      <c r="H121" s="16"/>
      <c r="I121"/>
      <c r="J121" s="38"/>
      <c r="K121" s="38"/>
      <c r="L121" s="38"/>
    </row>
    <row r="122" spans="1:12" ht="14.4" thickBot="1" x14ac:dyDescent="0.3">
      <c r="A122" s="12"/>
      <c r="B122" s="4"/>
      <c r="C122" s="2"/>
      <c r="D122" s="2"/>
      <c r="E122"/>
      <c r="F122" s="16"/>
      <c r="G122" s="16"/>
      <c r="H122" s="16"/>
      <c r="I122"/>
      <c r="J122" s="38"/>
      <c r="K122" s="38"/>
      <c r="L122" s="38"/>
    </row>
    <row r="123" spans="1:12" ht="14.4" thickBot="1" x14ac:dyDescent="0.3">
      <c r="A123" s="12"/>
      <c r="B123" s="4"/>
      <c r="C123" s="2"/>
      <c r="D123" s="2"/>
      <c r="E123"/>
      <c r="F123" s="16"/>
      <c r="G123" s="16"/>
      <c r="H123" s="16"/>
      <c r="I123"/>
      <c r="J123" s="38"/>
      <c r="K123" s="38"/>
      <c r="L123" s="38"/>
    </row>
    <row r="124" spans="1:12" ht="14.4" thickBot="1" x14ac:dyDescent="0.3">
      <c r="A124" s="12"/>
      <c r="B124" s="4"/>
      <c r="C124" s="2"/>
      <c r="D124" s="2"/>
      <c r="E124"/>
      <c r="F124" s="16"/>
      <c r="G124" s="16"/>
      <c r="H124" s="16"/>
      <c r="I124"/>
      <c r="J124" s="38"/>
      <c r="K124" s="38"/>
      <c r="L124" s="38"/>
    </row>
    <row r="125" spans="1:12" ht="14.4" thickBot="1" x14ac:dyDescent="0.3">
      <c r="A125" s="12"/>
      <c r="B125" s="4"/>
      <c r="C125" s="2"/>
      <c r="D125" s="2"/>
      <c r="E125"/>
      <c r="F125" s="16"/>
      <c r="G125" s="16"/>
      <c r="H125" s="16"/>
      <c r="I125"/>
      <c r="J125" s="38"/>
      <c r="K125" s="38"/>
      <c r="L125" s="38"/>
    </row>
    <row r="126" spans="1:12" ht="14.4" thickBot="1" x14ac:dyDescent="0.3">
      <c r="A126" s="12"/>
      <c r="B126" s="4"/>
      <c r="C126" s="2"/>
      <c r="D126" s="2"/>
      <c r="E126"/>
      <c r="F126" s="16"/>
      <c r="G126" s="16"/>
      <c r="H126" s="16"/>
      <c r="I126"/>
      <c r="J126" s="38"/>
      <c r="K126" s="38"/>
      <c r="L126" s="38"/>
    </row>
    <row r="127" spans="1:12" ht="14.4" thickBot="1" x14ac:dyDescent="0.3">
      <c r="A127" s="12"/>
      <c r="B127" s="4"/>
      <c r="C127" s="2"/>
      <c r="D127" s="2"/>
      <c r="E127"/>
      <c r="F127" s="16"/>
      <c r="G127" s="16"/>
      <c r="H127" s="16"/>
      <c r="I127"/>
      <c r="J127" s="38"/>
      <c r="K127" s="38"/>
      <c r="L127" s="38"/>
    </row>
    <row r="128" spans="1:12" ht="14.4" thickBot="1" x14ac:dyDescent="0.3">
      <c r="A128" s="12"/>
      <c r="B128" s="4"/>
      <c r="C128" s="2"/>
      <c r="D128" s="2"/>
      <c r="E128"/>
      <c r="F128" s="16"/>
      <c r="G128" s="16"/>
      <c r="H128" s="16"/>
      <c r="I128"/>
      <c r="J128" s="38"/>
      <c r="K128" s="38"/>
      <c r="L128" s="38"/>
    </row>
    <row r="129" spans="1:12" ht="14.4" thickBot="1" x14ac:dyDescent="0.3">
      <c r="A129" s="12"/>
      <c r="B129" s="4"/>
      <c r="C129" s="2"/>
      <c r="D129" s="2"/>
      <c r="E129"/>
      <c r="F129" s="16"/>
      <c r="G129" s="16"/>
      <c r="H129" s="16"/>
      <c r="I129"/>
      <c r="J129" s="38"/>
      <c r="K129" s="38"/>
      <c r="L129" s="38"/>
    </row>
    <row r="130" spans="1:12" ht="14.4" thickBot="1" x14ac:dyDescent="0.3">
      <c r="A130" s="12"/>
      <c r="B130" s="4"/>
      <c r="C130" s="2"/>
      <c r="D130" s="2"/>
      <c r="E130"/>
      <c r="F130" s="16"/>
      <c r="G130" s="16"/>
      <c r="H130" s="16"/>
      <c r="I130"/>
      <c r="J130" s="38"/>
      <c r="K130" s="38"/>
      <c r="L130" s="38"/>
    </row>
    <row r="131" spans="1:12" ht="14.4" thickBot="1" x14ac:dyDescent="0.3">
      <c r="A131" s="12"/>
      <c r="B131" s="4"/>
      <c r="C131" s="2"/>
      <c r="D131" s="2"/>
      <c r="E131"/>
      <c r="F131" s="16"/>
      <c r="G131" s="16"/>
      <c r="H131" s="16"/>
      <c r="I131"/>
      <c r="J131" s="38"/>
      <c r="K131" s="38"/>
      <c r="L131" s="38"/>
    </row>
    <row r="132" spans="1:12" ht="14.4" thickBot="1" x14ac:dyDescent="0.3">
      <c r="A132" s="12"/>
      <c r="B132" s="4"/>
      <c r="C132" s="2"/>
      <c r="D132" s="2"/>
      <c r="E132"/>
      <c r="F132" s="16"/>
      <c r="G132" s="16"/>
      <c r="H132" s="16"/>
      <c r="I132"/>
      <c r="J132" s="38"/>
      <c r="K132" s="38"/>
      <c r="L132" s="38"/>
    </row>
    <row r="133" spans="1:12" ht="14.4" thickBot="1" x14ac:dyDescent="0.3">
      <c r="A133" s="12"/>
      <c r="B133" s="4"/>
      <c r="C133" s="2"/>
      <c r="D133" s="3"/>
      <c r="E133"/>
      <c r="F133" s="16"/>
      <c r="G133" s="16"/>
      <c r="H133" s="16"/>
      <c r="I133"/>
      <c r="J133" s="38"/>
      <c r="K133" s="38"/>
      <c r="L133" s="38"/>
    </row>
  </sheetData>
  <mergeCells count="3">
    <mergeCell ref="H2:J2"/>
    <mergeCell ref="F69:H69"/>
    <mergeCell ref="J69:L69"/>
  </mergeCells>
  <printOptions headings="1" gridLines="1"/>
  <pageMargins left="0.70866141732283505" right="0.70866141732283505" top="0.74803149606299202" bottom="0.74803149606299202" header="0.31496062992126" footer="0.31496062992126"/>
  <pageSetup orientation="portrait" cellComments="atEnd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73D4-F300-4030-B818-C719C150AB50}">
  <sheetPr>
    <outlinePr summaryBelow="0" summaryRight="0"/>
  </sheetPr>
  <dimension ref="A1:O3024"/>
  <sheetViews>
    <sheetView workbookViewId="0">
      <selection activeCell="F16" sqref="F16"/>
    </sheetView>
  </sheetViews>
  <sheetFormatPr defaultColWidth="12.6640625" defaultRowHeight="15.75" customHeight="1" x14ac:dyDescent="0.25"/>
  <cols>
    <col min="1" max="1" width="16.33203125" style="117" customWidth="1"/>
    <col min="2" max="4" width="12.6640625" style="102"/>
    <col min="5" max="5" width="12.5546875" style="102" customWidth="1"/>
    <col min="6" max="6" width="16.33203125" style="117" customWidth="1"/>
    <col min="7" max="16384" width="12.6640625" style="102"/>
  </cols>
  <sheetData>
    <row r="1" spans="1:14" ht="13.8" x14ac:dyDescent="0.25">
      <c r="A1" s="100" t="s">
        <v>65</v>
      </c>
      <c r="B1" s="100" t="s">
        <v>3</v>
      </c>
      <c r="C1" s="100" t="s">
        <v>4</v>
      </c>
      <c r="D1" s="101"/>
      <c r="F1" s="102"/>
    </row>
    <row r="2" spans="1:14" ht="15.75" customHeight="1" x14ac:dyDescent="0.25">
      <c r="A2" s="103" t="s">
        <v>66</v>
      </c>
      <c r="B2" s="104">
        <f>AVERAGE(D10:D192) * 252</f>
        <v>0.6035697789793496</v>
      </c>
      <c r="C2" s="104">
        <f ca="1">AVERAGE(E10:E192) * 252</f>
        <v>0.38447047882637031</v>
      </c>
      <c r="D2" s="101"/>
      <c r="F2" s="102"/>
    </row>
    <row r="3" spans="1:14" ht="15.75" customHeight="1" x14ac:dyDescent="0.25">
      <c r="A3" s="103" t="s">
        <v>30</v>
      </c>
      <c r="B3" s="104">
        <f>_xlfn.VAR.S(D10:D192)</f>
        <v>2.1792836939476543E-3</v>
      </c>
      <c r="C3" s="104">
        <f ca="1">_xlfn.VAR.S(E10:E192)</f>
        <v>2.0603166107538598E-3</v>
      </c>
      <c r="D3" s="101"/>
      <c r="F3" s="102"/>
    </row>
    <row r="4" spans="1:14" ht="15.75" customHeight="1" x14ac:dyDescent="0.25">
      <c r="A4" s="103" t="s">
        <v>9</v>
      </c>
      <c r="B4" s="104">
        <f>B3*SQRT(252)</f>
        <v>3.4595056142662145E-2</v>
      </c>
      <c r="C4" s="104">
        <f ca="1">C3*SQRT(252)</f>
        <v>3.2706512244661069E-2</v>
      </c>
      <c r="D4" s="101"/>
      <c r="F4" s="102"/>
    </row>
    <row r="5" spans="1:14" ht="15.75" customHeight="1" x14ac:dyDescent="0.25">
      <c r="A5" s="105" t="s">
        <v>67</v>
      </c>
      <c r="B5" s="106">
        <f>1/252</f>
        <v>3.968253968253968E-3</v>
      </c>
      <c r="C5" s="106">
        <f>1/252</f>
        <v>3.968253968253968E-3</v>
      </c>
      <c r="D5" s="101"/>
      <c r="F5" s="102"/>
    </row>
    <row r="6" spans="1:14" ht="15.75" customHeight="1" x14ac:dyDescent="0.25">
      <c r="A6" s="107" t="s">
        <v>68</v>
      </c>
      <c r="B6" s="107">
        <f>[1]CompareActual2022Q1!B4</f>
        <v>46.18</v>
      </c>
      <c r="C6" s="108">
        <f>[1]CompareActual2022Q1!C4</f>
        <v>55.66</v>
      </c>
      <c r="D6" s="101"/>
      <c r="F6" s="102"/>
    </row>
    <row r="7" spans="1:14" ht="15.75" customHeight="1" thickBot="1" x14ac:dyDescent="0.3">
      <c r="A7" s="109"/>
      <c r="B7" s="109"/>
      <c r="C7" s="101"/>
      <c r="D7" s="101"/>
      <c r="F7" s="102"/>
    </row>
    <row r="8" spans="1:14" s="113" customFormat="1" ht="15.75" customHeight="1" thickBot="1" x14ac:dyDescent="0.3">
      <c r="A8" s="110" t="s">
        <v>6</v>
      </c>
      <c r="B8" s="111" t="s">
        <v>3</v>
      </c>
      <c r="C8" s="112" t="s">
        <v>4</v>
      </c>
      <c r="D8" s="113" t="s">
        <v>55</v>
      </c>
      <c r="E8" s="113" t="s">
        <v>54</v>
      </c>
      <c r="F8" s="102"/>
      <c r="G8" s="102"/>
      <c r="H8" s="102"/>
      <c r="I8" s="102"/>
      <c r="J8" s="102"/>
      <c r="K8" s="102"/>
      <c r="L8" s="102"/>
      <c r="M8" s="102"/>
      <c r="N8" s="102"/>
    </row>
    <row r="9" spans="1:14" ht="13.8" thickBot="1" x14ac:dyDescent="0.3">
      <c r="A9" s="114">
        <v>43467.666666666664</v>
      </c>
      <c r="B9" s="115">
        <v>24.96</v>
      </c>
      <c r="C9" s="116">
        <f ca="1">IFERROR(__xludf.DUMMYFUNCTION("""COMPUTED_VALUE"""),46.76)</f>
        <v>46.76</v>
      </c>
      <c r="D9" s="116"/>
      <c r="F9" s="102"/>
    </row>
    <row r="10" spans="1:14" ht="13.8" thickBot="1" x14ac:dyDescent="0.3">
      <c r="A10" s="114">
        <v>43468.666666666664</v>
      </c>
      <c r="B10" s="115">
        <v>24.56</v>
      </c>
      <c r="C10" s="116">
        <f ca="1">IFERROR(__xludf.DUMMYFUNCTION("""COMPUTED_VALUE"""),46.24)</f>
        <v>46.24</v>
      </c>
      <c r="D10" s="116">
        <f>LN(B10/B9)</f>
        <v>-1.6155440222285256E-2</v>
      </c>
      <c r="E10" s="102">
        <f ca="1">LN(C10/C9)</f>
        <v>-1.1182912239745529E-2</v>
      </c>
      <c r="F10" s="102"/>
    </row>
    <row r="11" spans="1:14" ht="13.8" thickBot="1" x14ac:dyDescent="0.3">
      <c r="A11" s="114">
        <v>43469.666666666664</v>
      </c>
      <c r="B11" s="115">
        <v>25.58</v>
      </c>
      <c r="C11" s="116">
        <f ca="1">IFERROR(__xludf.DUMMYFUNCTION("""COMPUTED_VALUE"""),47.98)</f>
        <v>47.98</v>
      </c>
      <c r="D11" s="116">
        <f t="shared" ref="D11:E69" si="0">LN(B11/B10)</f>
        <v>4.069169287175483E-2</v>
      </c>
      <c r="E11" s="102">
        <f t="shared" ca="1" si="0"/>
        <v>3.6939033047426316E-2</v>
      </c>
      <c r="I11" s="116"/>
      <c r="N11" s="116"/>
    </row>
    <row r="12" spans="1:14" ht="13.8" thickBot="1" x14ac:dyDescent="0.3">
      <c r="A12" s="114">
        <v>43472.666666666664</v>
      </c>
      <c r="B12" s="115">
        <v>25.56</v>
      </c>
      <c r="C12" s="116">
        <f ca="1">IFERROR(__xludf.DUMMYFUNCTION("""COMPUTED_VALUE"""),48.42)</f>
        <v>48.42</v>
      </c>
      <c r="D12" s="116">
        <f t="shared" si="0"/>
        <v>-7.8216664136250503E-4</v>
      </c>
      <c r="E12" s="102">
        <f t="shared" ca="1" si="0"/>
        <v>9.1286940983639625E-3</v>
      </c>
      <c r="I12" s="116"/>
      <c r="N12" s="116"/>
    </row>
    <row r="13" spans="1:14" ht="15.75" customHeight="1" thickBot="1" x14ac:dyDescent="0.3">
      <c r="A13" s="118">
        <v>43473.666666666664</v>
      </c>
      <c r="B13" s="115">
        <v>25.51</v>
      </c>
      <c r="C13" s="116">
        <f ca="1">IFERROR(__xludf.DUMMYFUNCTION("""COMPUTED_VALUE"""),48.07)</f>
        <v>48.07</v>
      </c>
      <c r="D13" s="116">
        <f t="shared" si="0"/>
        <v>-1.9580973556138893E-3</v>
      </c>
      <c r="E13" s="102">
        <f t="shared" ca="1" si="0"/>
        <v>-7.2546696040430838E-3</v>
      </c>
      <c r="I13" s="116"/>
      <c r="N13" s="116"/>
    </row>
    <row r="14" spans="1:14" ht="15.75" customHeight="1" thickBot="1" x14ac:dyDescent="0.3">
      <c r="A14" s="118">
        <v>43474.666666666664</v>
      </c>
      <c r="B14" s="115">
        <v>25.76</v>
      </c>
      <c r="C14" s="116">
        <f ca="1">IFERROR(__xludf.DUMMYFUNCTION("""COMPUTED_VALUE"""),48.83)</f>
        <v>48.83</v>
      </c>
      <c r="D14" s="116">
        <f t="shared" si="0"/>
        <v>9.7523690824327675E-3</v>
      </c>
      <c r="E14" s="102">
        <f t="shared" ca="1" si="0"/>
        <v>1.5686596167699473E-2</v>
      </c>
      <c r="I14" s="116"/>
      <c r="N14" s="116"/>
    </row>
    <row r="15" spans="1:14" ht="15.75" customHeight="1" thickBot="1" x14ac:dyDescent="0.3">
      <c r="A15" s="118">
        <v>43475.666666666664</v>
      </c>
      <c r="B15" s="115">
        <v>25.73</v>
      </c>
      <c r="C15" s="116">
        <f ca="1">IFERROR(__xludf.DUMMYFUNCTION("""COMPUTED_VALUE"""),49.25)</f>
        <v>49.25</v>
      </c>
      <c r="D15" s="116">
        <f t="shared" si="0"/>
        <v>-1.1652749425001567E-3</v>
      </c>
      <c r="E15" s="102">
        <f t="shared" ca="1" si="0"/>
        <v>8.5644895445291056E-3</v>
      </c>
      <c r="I15" s="116"/>
      <c r="J15" s="119"/>
      <c r="N15" s="116"/>
    </row>
    <row r="16" spans="1:14" ht="15.75" customHeight="1" thickBot="1" x14ac:dyDescent="0.3">
      <c r="A16" s="118">
        <v>43476.666666666664</v>
      </c>
      <c r="B16" s="115">
        <v>26.03</v>
      </c>
      <c r="C16" s="116">
        <f ca="1">IFERROR(__xludf.DUMMYFUNCTION("""COMPUTED_VALUE"""),49.57)</f>
        <v>49.57</v>
      </c>
      <c r="D16" s="116">
        <f t="shared" si="0"/>
        <v>1.1592092712821307E-2</v>
      </c>
      <c r="E16" s="102">
        <f t="shared" ca="1" si="0"/>
        <v>6.4764444143845922E-3</v>
      </c>
      <c r="I16" s="116"/>
      <c r="N16" s="116"/>
    </row>
    <row r="17" spans="1:14" ht="15.75" customHeight="1" thickBot="1" x14ac:dyDescent="0.3">
      <c r="A17" s="118">
        <v>43479.666666666664</v>
      </c>
      <c r="B17" s="115">
        <v>26.37</v>
      </c>
      <c r="C17" s="116">
        <f ca="1">IFERROR(__xludf.DUMMYFUNCTION("""COMPUTED_VALUE"""),51.07)</f>
        <v>51.07</v>
      </c>
      <c r="D17" s="116">
        <f t="shared" si="0"/>
        <v>1.2977281358721402E-2</v>
      </c>
      <c r="E17" s="102">
        <f t="shared" ca="1" si="0"/>
        <v>2.9811428627069952E-2</v>
      </c>
      <c r="I17" s="116"/>
      <c r="N17" s="116"/>
    </row>
    <row r="18" spans="1:14" ht="15.75" customHeight="1" thickBot="1" x14ac:dyDescent="0.3">
      <c r="A18" s="118">
        <v>43480.666666666664</v>
      </c>
      <c r="B18" s="115">
        <v>26.55</v>
      </c>
      <c r="C18" s="116">
        <f ca="1">IFERROR(__xludf.DUMMYFUNCTION("""COMPUTED_VALUE"""),53.57)</f>
        <v>53.57</v>
      </c>
      <c r="D18" s="116">
        <f t="shared" si="0"/>
        <v>6.8027473227523999E-3</v>
      </c>
      <c r="E18" s="102">
        <f t="shared" ca="1" si="0"/>
        <v>4.7791969233316516E-2</v>
      </c>
      <c r="I18" s="116"/>
      <c r="N18" s="116"/>
    </row>
    <row r="19" spans="1:14" ht="15.75" customHeight="1" thickBot="1" x14ac:dyDescent="0.3">
      <c r="A19" s="118">
        <v>43481.666666666664</v>
      </c>
      <c r="B19" s="115">
        <v>28.45</v>
      </c>
      <c r="C19" s="116">
        <f ca="1">IFERROR(__xludf.DUMMYFUNCTION("""COMPUTED_VALUE"""),54.75)</f>
        <v>54.75</v>
      </c>
      <c r="D19" s="116">
        <f t="shared" si="0"/>
        <v>6.9118412884391953E-2</v>
      </c>
      <c r="E19" s="102">
        <f t="shared" ca="1" si="0"/>
        <v>2.1788158803741266E-2</v>
      </c>
      <c r="I19" s="116"/>
      <c r="N19" s="116"/>
    </row>
    <row r="20" spans="1:14" ht="15.75" customHeight="1" thickBot="1" x14ac:dyDescent="0.3">
      <c r="A20" s="118">
        <v>43482.666666666664</v>
      </c>
      <c r="B20" s="115">
        <v>28.99</v>
      </c>
      <c r="C20" s="116">
        <f ca="1">IFERROR(__xludf.DUMMYFUNCTION("""COMPUTED_VALUE"""),53.93)</f>
        <v>53.93</v>
      </c>
      <c r="D20" s="116">
        <f t="shared" si="0"/>
        <v>1.8802782361224239E-2</v>
      </c>
      <c r="E20" s="102">
        <f t="shared" ca="1" si="0"/>
        <v>-1.5090459347474614E-2</v>
      </c>
      <c r="I20" s="116"/>
      <c r="N20" s="116"/>
    </row>
    <row r="21" spans="1:14" ht="15.75" customHeight="1" thickBot="1" x14ac:dyDescent="0.3">
      <c r="A21" s="118">
        <v>43483.666666666664</v>
      </c>
      <c r="B21" s="115">
        <v>29.3</v>
      </c>
      <c r="C21" s="116">
        <f ca="1">IFERROR(__xludf.DUMMYFUNCTION("""COMPUTED_VALUE"""),55.38)</f>
        <v>55.38</v>
      </c>
      <c r="D21" s="116">
        <f t="shared" si="0"/>
        <v>1.0636573089457509E-2</v>
      </c>
      <c r="E21" s="102">
        <f t="shared" ca="1" si="0"/>
        <v>2.6531608393680125E-2</v>
      </c>
      <c r="I21" s="116"/>
      <c r="N21" s="116"/>
    </row>
    <row r="22" spans="1:14" ht="13.8" thickBot="1" x14ac:dyDescent="0.3">
      <c r="A22" s="118">
        <v>43487.666666666664</v>
      </c>
      <c r="B22" s="115">
        <v>29.09</v>
      </c>
      <c r="C22" s="116">
        <f ca="1">IFERROR(__xludf.DUMMYFUNCTION("""COMPUTED_VALUE"""),55.42)</f>
        <v>55.42</v>
      </c>
      <c r="D22" s="116">
        <f t="shared" si="0"/>
        <v>-7.1930435159114426E-3</v>
      </c>
      <c r="E22" s="102">
        <f t="shared" ca="1" si="0"/>
        <v>7.2202169201664417E-4</v>
      </c>
      <c r="I22" s="116"/>
      <c r="N22" s="116"/>
    </row>
    <row r="23" spans="1:14" ht="13.8" thickBot="1" x14ac:dyDescent="0.3">
      <c r="A23" s="118">
        <v>43488.666666666664</v>
      </c>
      <c r="B23" s="115">
        <v>28.92</v>
      </c>
      <c r="C23" s="116">
        <f ca="1">IFERROR(__xludf.DUMMYFUNCTION("""COMPUTED_VALUE"""),54.76)</f>
        <v>54.76</v>
      </c>
      <c r="D23" s="116">
        <f t="shared" si="0"/>
        <v>-5.8610752165462595E-3</v>
      </c>
      <c r="E23" s="102">
        <f t="shared" ca="1" si="0"/>
        <v>-1.1980539014584245E-2</v>
      </c>
      <c r="I23" s="116"/>
      <c r="N23" s="116"/>
    </row>
    <row r="24" spans="1:14" ht="13.8" thickBot="1" x14ac:dyDescent="0.3">
      <c r="A24" s="118">
        <v>43489.666666666664</v>
      </c>
      <c r="B24" s="115">
        <v>29.08</v>
      </c>
      <c r="C24" s="116">
        <f ca="1">IFERROR(__xludf.DUMMYFUNCTION("""COMPUTED_VALUE"""),54.31)</f>
        <v>54.31</v>
      </c>
      <c r="D24" s="116">
        <f t="shared" si="0"/>
        <v>5.5172553747546592E-3</v>
      </c>
      <c r="E24" s="102">
        <f t="shared" ca="1" si="0"/>
        <v>-8.2516283734941111E-3</v>
      </c>
      <c r="I24" s="116"/>
      <c r="N24" s="116"/>
    </row>
    <row r="25" spans="1:14" ht="13.8" thickBot="1" x14ac:dyDescent="0.3">
      <c r="A25" s="118">
        <v>43490.666666666664</v>
      </c>
      <c r="B25" s="115">
        <v>29.58</v>
      </c>
      <c r="C25" s="116">
        <f ca="1">IFERROR(__xludf.DUMMYFUNCTION("""COMPUTED_VALUE"""),55.1)</f>
        <v>55.1</v>
      </c>
      <c r="D25" s="116">
        <f t="shared" si="0"/>
        <v>1.7047804617335065E-2</v>
      </c>
      <c r="E25" s="102">
        <f t="shared" ca="1" si="0"/>
        <v>1.4441344112114856E-2</v>
      </c>
      <c r="I25" s="116"/>
      <c r="N25" s="116"/>
    </row>
    <row r="26" spans="1:14" ht="13.8" thickBot="1" x14ac:dyDescent="0.3">
      <c r="A26" s="118">
        <v>43493.666666666664</v>
      </c>
      <c r="B26" s="115">
        <v>29.63</v>
      </c>
      <c r="C26" s="116">
        <f ca="1">IFERROR(__xludf.DUMMYFUNCTION("""COMPUTED_VALUE"""),56.11)</f>
        <v>56.11</v>
      </c>
      <c r="D26" s="116">
        <f t="shared" si="0"/>
        <v>1.6889043028202645E-3</v>
      </c>
      <c r="E26" s="102">
        <f t="shared" ca="1" si="0"/>
        <v>1.8164333604011818E-2</v>
      </c>
      <c r="I26" s="116"/>
      <c r="N26" s="116"/>
    </row>
    <row r="27" spans="1:14" ht="13.8" thickBot="1" x14ac:dyDescent="0.3">
      <c r="A27" s="118">
        <v>43494.666666666664</v>
      </c>
      <c r="B27" s="115">
        <v>29.39</v>
      </c>
      <c r="C27" s="116">
        <f ca="1">IFERROR(__xludf.DUMMYFUNCTION("""COMPUTED_VALUE"""),55.72)</f>
        <v>55.72</v>
      </c>
      <c r="D27" s="116">
        <f t="shared" si="0"/>
        <v>-8.1328811546478794E-3</v>
      </c>
      <c r="E27" s="102">
        <f t="shared" ca="1" si="0"/>
        <v>-6.974900851275681E-3</v>
      </c>
      <c r="I27" s="116"/>
      <c r="N27" s="116"/>
    </row>
    <row r="28" spans="1:14" ht="13.8" thickBot="1" x14ac:dyDescent="0.3">
      <c r="A28" s="118">
        <v>43495.666666666664</v>
      </c>
      <c r="B28" s="115">
        <v>29.07</v>
      </c>
      <c r="C28" s="116">
        <f ca="1">IFERROR(__xludf.DUMMYFUNCTION("""COMPUTED_VALUE"""),55.49)</f>
        <v>55.49</v>
      </c>
      <c r="D28" s="116">
        <f t="shared" si="0"/>
        <v>-1.0947765860041453E-2</v>
      </c>
      <c r="E28" s="102">
        <f t="shared" ca="1" si="0"/>
        <v>-4.1363245737949719E-3</v>
      </c>
      <c r="I28" s="116"/>
      <c r="N28" s="116"/>
    </row>
    <row r="29" spans="1:14" ht="13.8" thickBot="1" x14ac:dyDescent="0.3">
      <c r="A29" s="118">
        <v>43496.666666666664</v>
      </c>
      <c r="B29" s="115">
        <v>28.47</v>
      </c>
      <c r="C29" s="116">
        <f ca="1">IFERROR(__xludf.DUMMYFUNCTION("""COMPUTED_VALUE"""),55.51)</f>
        <v>55.51</v>
      </c>
      <c r="D29" s="116">
        <f t="shared" si="0"/>
        <v>-2.0855813280838457E-2</v>
      </c>
      <c r="E29" s="102">
        <f t="shared" ca="1" si="0"/>
        <v>3.6036036425995076E-4</v>
      </c>
      <c r="I29" s="116"/>
      <c r="N29" s="116"/>
    </row>
    <row r="30" spans="1:14" ht="13.8" thickBot="1" x14ac:dyDescent="0.3">
      <c r="A30" s="118">
        <v>43497.666666666664</v>
      </c>
      <c r="B30" s="115">
        <v>28.38</v>
      </c>
      <c r="C30" s="116">
        <f ca="1">IFERROR(__xludf.DUMMYFUNCTION("""COMPUTED_VALUE"""),55.83)</f>
        <v>55.83</v>
      </c>
      <c r="D30" s="116">
        <f t="shared" si="0"/>
        <v>-3.1662295580495493E-3</v>
      </c>
      <c r="E30" s="102">
        <f t="shared" ca="1" si="0"/>
        <v>5.7481746201991308E-3</v>
      </c>
      <c r="I30" s="116"/>
      <c r="N30" s="116"/>
    </row>
    <row r="31" spans="1:14" ht="13.8" thickBot="1" x14ac:dyDescent="0.3">
      <c r="A31" s="118">
        <v>43500.666666666664</v>
      </c>
      <c r="B31" s="115">
        <v>28.88</v>
      </c>
      <c r="C31" s="116">
        <f ca="1">IFERROR(__xludf.DUMMYFUNCTION("""COMPUTED_VALUE"""),55.56)</f>
        <v>55.56</v>
      </c>
      <c r="D31" s="116">
        <f t="shared" si="0"/>
        <v>1.746464229272893E-2</v>
      </c>
      <c r="E31" s="102">
        <f t="shared" ca="1" si="0"/>
        <v>-4.8478414361259525E-3</v>
      </c>
      <c r="I31" s="116"/>
      <c r="N31" s="116"/>
    </row>
    <row r="32" spans="1:14" ht="13.8" thickBot="1" x14ac:dyDescent="0.3">
      <c r="A32" s="118">
        <v>43501.666666666664</v>
      </c>
      <c r="B32" s="115">
        <v>28.78</v>
      </c>
      <c r="C32" s="116">
        <f ca="1">IFERROR(__xludf.DUMMYFUNCTION("""COMPUTED_VALUE"""),55.74)</f>
        <v>55.74</v>
      </c>
      <c r="D32" s="116">
        <f t="shared" si="0"/>
        <v>-3.468612565403633E-3</v>
      </c>
      <c r="E32" s="102">
        <f t="shared" ca="1" si="0"/>
        <v>3.2345041676590976E-3</v>
      </c>
      <c r="I32" s="116"/>
      <c r="N32" s="116"/>
    </row>
    <row r="33" spans="1:14" ht="13.8" thickBot="1" x14ac:dyDescent="0.3">
      <c r="A33" s="118">
        <v>43502.666666666664</v>
      </c>
      <c r="B33" s="115">
        <v>28.73</v>
      </c>
      <c r="C33" s="116">
        <f ca="1">IFERROR(__xludf.DUMMYFUNCTION("""COMPUTED_VALUE"""),55.89)</f>
        <v>55.89</v>
      </c>
      <c r="D33" s="116">
        <f t="shared" si="0"/>
        <v>-1.738828468023611E-3</v>
      </c>
      <c r="E33" s="102">
        <f t="shared" ca="1" si="0"/>
        <v>2.6874512278045339E-3</v>
      </c>
      <c r="I33" s="116"/>
      <c r="N33" s="116"/>
    </row>
    <row r="34" spans="1:14" ht="13.8" thickBot="1" x14ac:dyDescent="0.3">
      <c r="A34" s="118">
        <v>43503.666666666664</v>
      </c>
      <c r="B34" s="115">
        <v>28.24</v>
      </c>
      <c r="C34" s="116">
        <f ca="1">IFERROR(__xludf.DUMMYFUNCTION("""COMPUTED_VALUE"""),56.08)</f>
        <v>56.08</v>
      </c>
      <c r="D34" s="116">
        <f t="shared" si="0"/>
        <v>-1.7202460366156927E-2</v>
      </c>
      <c r="E34" s="102">
        <f t="shared" ca="1" si="0"/>
        <v>3.3937694447278123E-3</v>
      </c>
      <c r="I34" s="116"/>
      <c r="N34" s="116"/>
    </row>
    <row r="35" spans="1:14" ht="13.8" thickBot="1" x14ac:dyDescent="0.3">
      <c r="A35" s="118">
        <v>43504.666666666664</v>
      </c>
      <c r="B35" s="115">
        <v>28.29</v>
      </c>
      <c r="C35" s="116">
        <f ca="1">IFERROR(__xludf.DUMMYFUNCTION("""COMPUTED_VALUE"""),54.69)</f>
        <v>54.69</v>
      </c>
      <c r="D35" s="116">
        <f t="shared" si="0"/>
        <v>1.768972688434591E-3</v>
      </c>
      <c r="E35" s="102">
        <f t="shared" ca="1" si="0"/>
        <v>-2.5098365367653301E-2</v>
      </c>
      <c r="I35" s="116"/>
      <c r="N35" s="116"/>
    </row>
    <row r="36" spans="1:14" ht="13.8" thickBot="1" x14ac:dyDescent="0.3">
      <c r="A36" s="118">
        <v>43507.666666666664</v>
      </c>
      <c r="B36" s="115">
        <v>28.41</v>
      </c>
      <c r="C36" s="116">
        <f ca="1">IFERROR(__xludf.DUMMYFUNCTION("""COMPUTED_VALUE"""),54.16)</f>
        <v>54.16</v>
      </c>
      <c r="D36" s="116">
        <f t="shared" si="0"/>
        <v>4.2328105526207626E-3</v>
      </c>
      <c r="E36" s="102">
        <f t="shared" ca="1" si="0"/>
        <v>-9.7382487546618223E-3</v>
      </c>
      <c r="I36" s="116"/>
      <c r="N36" s="116"/>
    </row>
    <row r="37" spans="1:14" ht="13.8" thickBot="1" x14ac:dyDescent="0.3">
      <c r="A37" s="118">
        <v>43508.666666666664</v>
      </c>
      <c r="B37" s="115">
        <v>28.69</v>
      </c>
      <c r="C37" s="116">
        <f ca="1">IFERROR(__xludf.DUMMYFUNCTION("""COMPUTED_VALUE"""),54.74)</f>
        <v>54.74</v>
      </c>
      <c r="D37" s="116">
        <f t="shared" si="0"/>
        <v>9.8074341271767972E-3</v>
      </c>
      <c r="E37" s="102">
        <f t="shared" ca="1" si="0"/>
        <v>1.0652075008513602E-2</v>
      </c>
      <c r="I37" s="116"/>
      <c r="N37" s="116"/>
    </row>
    <row r="38" spans="1:14" ht="13.8" thickBot="1" x14ac:dyDescent="0.3">
      <c r="A38" s="118">
        <v>43509.666666666664</v>
      </c>
      <c r="B38" s="115">
        <v>28.7</v>
      </c>
      <c r="C38" s="116">
        <f ca="1">IFERROR(__xludf.DUMMYFUNCTION("""COMPUTED_VALUE"""),55.55)</f>
        <v>55.55</v>
      </c>
      <c r="D38" s="116">
        <f t="shared" si="0"/>
        <v>3.4849277230188916E-4</v>
      </c>
      <c r="E38" s="102">
        <f t="shared" ca="1" si="0"/>
        <v>1.468881247310579E-2</v>
      </c>
      <c r="I38" s="116"/>
      <c r="N38" s="116"/>
    </row>
    <row r="39" spans="1:14" ht="13.8" thickBot="1" x14ac:dyDescent="0.3">
      <c r="A39" s="118">
        <v>43510.666666666664</v>
      </c>
      <c r="B39" s="115">
        <v>28.39</v>
      </c>
      <c r="C39" s="116">
        <f ca="1">IFERROR(__xludf.DUMMYFUNCTION("""COMPUTED_VALUE"""),56.02)</f>
        <v>56.02</v>
      </c>
      <c r="D39" s="116">
        <f t="shared" si="0"/>
        <v>-1.0860152280695583E-2</v>
      </c>
      <c r="E39" s="102">
        <f t="shared" ca="1" si="0"/>
        <v>8.4252537463235123E-3</v>
      </c>
      <c r="I39" s="116"/>
      <c r="N39" s="116"/>
    </row>
    <row r="40" spans="1:14" ht="13.8" thickBot="1" x14ac:dyDescent="0.3">
      <c r="A40" s="118">
        <v>43511.666666666664</v>
      </c>
      <c r="B40" s="115">
        <v>29.11</v>
      </c>
      <c r="C40" s="116">
        <f ca="1">IFERROR(__xludf.DUMMYFUNCTION("""COMPUTED_VALUE"""),55.25)</f>
        <v>55.25</v>
      </c>
      <c r="D40" s="116">
        <f t="shared" si="0"/>
        <v>2.5044787272651952E-2</v>
      </c>
      <c r="E40" s="102">
        <f t="shared" ca="1" si="0"/>
        <v>-1.3840429434100344E-2</v>
      </c>
      <c r="I40" s="116"/>
      <c r="N40" s="116"/>
    </row>
    <row r="41" spans="1:14" ht="13.8" thickBot="1" x14ac:dyDescent="0.3">
      <c r="A41" s="118">
        <v>43515.666666666664</v>
      </c>
      <c r="B41" s="115">
        <v>29.13</v>
      </c>
      <c r="C41" s="116">
        <f ca="1">IFERROR(__xludf.DUMMYFUNCTION("""COMPUTED_VALUE"""),56.79)</f>
        <v>56.79</v>
      </c>
      <c r="D41" s="116">
        <f t="shared" si="0"/>
        <v>6.8681321381130621E-4</v>
      </c>
      <c r="E41" s="102">
        <f t="shared" ca="1" si="0"/>
        <v>2.749191349147892E-2</v>
      </c>
      <c r="I41" s="116"/>
      <c r="N41" s="116"/>
    </row>
    <row r="42" spans="1:14" ht="13.8" thickBot="1" x14ac:dyDescent="0.3">
      <c r="A42" s="118">
        <v>43516.666666666664</v>
      </c>
      <c r="B42" s="115">
        <v>29.41</v>
      </c>
      <c r="C42" s="116">
        <f ca="1">IFERROR(__xludf.DUMMYFUNCTION("""COMPUTED_VALUE"""),56.82)</f>
        <v>56.82</v>
      </c>
      <c r="D42" s="116">
        <f t="shared" si="0"/>
        <v>9.5661815945604755E-3</v>
      </c>
      <c r="E42" s="102">
        <f t="shared" ca="1" si="0"/>
        <v>5.281225367007637E-4</v>
      </c>
      <c r="I42" s="116"/>
      <c r="N42" s="116"/>
    </row>
    <row r="43" spans="1:14" ht="13.8" thickBot="1" x14ac:dyDescent="0.3">
      <c r="A43" s="118">
        <v>43517.666666666664</v>
      </c>
      <c r="B43" s="115">
        <v>29.29</v>
      </c>
      <c r="C43" s="116">
        <f ca="1">IFERROR(__xludf.DUMMYFUNCTION("""COMPUTED_VALUE"""),56.33)</f>
        <v>56.33</v>
      </c>
      <c r="D43" s="116">
        <f t="shared" si="0"/>
        <v>-4.0885917262616063E-3</v>
      </c>
      <c r="E43" s="102">
        <f t="shared" ca="1" si="0"/>
        <v>-8.6611235194193666E-3</v>
      </c>
      <c r="I43" s="116"/>
      <c r="N43" s="116"/>
    </row>
    <row r="44" spans="1:14" ht="13.8" thickBot="1" x14ac:dyDescent="0.3">
      <c r="A44" s="118">
        <v>43518.666666666664</v>
      </c>
      <c r="B44" s="115">
        <v>29.08</v>
      </c>
      <c r="C44" s="116">
        <f ca="1">IFERROR(__xludf.DUMMYFUNCTION("""COMPUTED_VALUE"""),56.74)</f>
        <v>56.74</v>
      </c>
      <c r="D44" s="116">
        <f t="shared" si="0"/>
        <v>-7.195508174323558E-3</v>
      </c>
      <c r="E44" s="102">
        <f t="shared" ca="1" si="0"/>
        <v>7.2521764740827001E-3</v>
      </c>
      <c r="I44" s="116"/>
      <c r="N44" s="116"/>
    </row>
    <row r="45" spans="1:14" ht="13.8" thickBot="1" x14ac:dyDescent="0.3">
      <c r="A45" s="118">
        <v>43521.666666666664</v>
      </c>
      <c r="B45" s="115">
        <v>29.27</v>
      </c>
      <c r="C45" s="116">
        <f ca="1">IFERROR(__xludf.DUMMYFUNCTION("""COMPUTED_VALUE"""),56.57)</f>
        <v>56.57</v>
      </c>
      <c r="D45" s="116">
        <f t="shared" si="0"/>
        <v>6.5124480384758949E-3</v>
      </c>
      <c r="E45" s="102">
        <f t="shared" ca="1" si="0"/>
        <v>-3.0006200256409827E-3</v>
      </c>
      <c r="I45" s="116"/>
      <c r="N45" s="116"/>
    </row>
    <row r="46" spans="1:14" ht="13.8" thickBot="1" x14ac:dyDescent="0.3">
      <c r="A46" s="118">
        <v>43522.666666666664</v>
      </c>
      <c r="B46" s="115">
        <v>29.29</v>
      </c>
      <c r="C46" s="116">
        <f ca="1">IFERROR(__xludf.DUMMYFUNCTION("""COMPUTED_VALUE"""),56.66)</f>
        <v>56.66</v>
      </c>
      <c r="D46" s="116">
        <f t="shared" si="0"/>
        <v>6.8306013584763044E-4</v>
      </c>
      <c r="E46" s="102">
        <f t="shared" ca="1" si="0"/>
        <v>1.589685047306015E-3</v>
      </c>
      <c r="I46" s="116"/>
      <c r="N46" s="116"/>
    </row>
    <row r="47" spans="1:14" ht="13.8" thickBot="1" x14ac:dyDescent="0.3">
      <c r="A47" s="118">
        <v>43523.666666666664</v>
      </c>
      <c r="B47" s="115">
        <v>29.53</v>
      </c>
      <c r="C47" s="116">
        <f ca="1">IFERROR(__xludf.DUMMYFUNCTION("""COMPUTED_VALUE"""),57.53)</f>
        <v>57.53</v>
      </c>
      <c r="D47" s="116">
        <f t="shared" si="0"/>
        <v>8.1605349161893576E-3</v>
      </c>
      <c r="E47" s="102">
        <f t="shared" ca="1" si="0"/>
        <v>1.5238056472831605E-2</v>
      </c>
      <c r="I47" s="116"/>
      <c r="N47" s="116"/>
    </row>
    <row r="48" spans="1:14" ht="13.8" thickBot="1" x14ac:dyDescent="0.3">
      <c r="A48" s="118">
        <v>43524.666666666664</v>
      </c>
      <c r="B48" s="115">
        <v>29.08</v>
      </c>
      <c r="C48" s="116">
        <f ca="1">IFERROR(__xludf.DUMMYFUNCTION("""COMPUTED_VALUE"""),56.76)</f>
        <v>56.76</v>
      </c>
      <c r="D48" s="116">
        <f t="shared" si="0"/>
        <v>-1.5356043090512818E-2</v>
      </c>
      <c r="E48" s="102">
        <f t="shared" ca="1" si="0"/>
        <v>-1.3474698583360272E-2</v>
      </c>
      <c r="I48" s="116"/>
      <c r="N48" s="116"/>
    </row>
    <row r="49" spans="1:14" ht="13.8" thickBot="1" x14ac:dyDescent="0.3">
      <c r="A49" s="118">
        <v>43525.666666666664</v>
      </c>
      <c r="B49" s="115">
        <v>29.31</v>
      </c>
      <c r="C49" s="116">
        <f ca="1">IFERROR(__xludf.DUMMYFUNCTION("""COMPUTED_VALUE"""),56.59)</f>
        <v>56.59</v>
      </c>
      <c r="D49" s="116">
        <f t="shared" si="0"/>
        <v>7.8781020574824369E-3</v>
      </c>
      <c r="E49" s="102">
        <f t="shared" ca="1" si="0"/>
        <v>-2.9995611374093491E-3</v>
      </c>
      <c r="I49" s="116"/>
      <c r="N49" s="116"/>
    </row>
    <row r="50" spans="1:14" ht="13.8" thickBot="1" x14ac:dyDescent="0.3">
      <c r="A50" s="118">
        <v>43528.666666666664</v>
      </c>
      <c r="B50" s="115">
        <v>29.03</v>
      </c>
      <c r="C50" s="116">
        <f ca="1">IFERROR(__xludf.DUMMYFUNCTION("""COMPUTED_VALUE"""),56.29)</f>
        <v>56.29</v>
      </c>
      <c r="D50" s="116">
        <f t="shared" si="0"/>
        <v>-9.5989766862624535E-3</v>
      </c>
      <c r="E50" s="102">
        <f t="shared" ca="1" si="0"/>
        <v>-5.3153916784973209E-3</v>
      </c>
      <c r="I50" s="116"/>
      <c r="N50" s="116"/>
    </row>
    <row r="51" spans="1:14" ht="13.8" thickBot="1" x14ac:dyDescent="0.3">
      <c r="A51" s="118">
        <v>43529.666666666664</v>
      </c>
      <c r="B51" s="115">
        <v>29.08</v>
      </c>
      <c r="C51" s="116">
        <f ca="1">IFERROR(__xludf.DUMMYFUNCTION("""COMPUTED_VALUE"""),57.03)</f>
        <v>57.03</v>
      </c>
      <c r="D51" s="116">
        <f t="shared" si="0"/>
        <v>1.7208746287800613E-3</v>
      </c>
      <c r="E51" s="102">
        <f t="shared" ca="1" si="0"/>
        <v>1.3060545692512273E-2</v>
      </c>
      <c r="I51" s="116"/>
      <c r="N51" s="116"/>
    </row>
    <row r="52" spans="1:14" ht="13.8" thickBot="1" x14ac:dyDescent="0.3">
      <c r="A52" s="118">
        <v>43530.666666666664</v>
      </c>
      <c r="B52" s="115">
        <v>28.84</v>
      </c>
      <c r="C52" s="116">
        <f ca="1">IFERROR(__xludf.DUMMYFUNCTION("""COMPUTED_VALUE"""),56.86)</f>
        <v>56.86</v>
      </c>
      <c r="D52" s="116">
        <f t="shared" si="0"/>
        <v>-8.2873402485702692E-3</v>
      </c>
      <c r="E52" s="102">
        <f t="shared" ca="1" si="0"/>
        <v>-2.9853389455937939E-3</v>
      </c>
      <c r="I52" s="116"/>
      <c r="N52" s="116"/>
    </row>
    <row r="53" spans="1:14" ht="13.8" thickBot="1" x14ac:dyDescent="0.3">
      <c r="A53" s="118">
        <v>43531.666666666664</v>
      </c>
      <c r="B53" s="115">
        <v>28.55</v>
      </c>
      <c r="C53" s="116">
        <f ca="1">IFERROR(__xludf.DUMMYFUNCTION("""COMPUTED_VALUE"""),55.31)</f>
        <v>55.31</v>
      </c>
      <c r="D53" s="116">
        <f t="shared" si="0"/>
        <v>-1.0106376314729099E-2</v>
      </c>
      <c r="E53" s="102">
        <f t="shared" ca="1" si="0"/>
        <v>-2.7638382216267063E-2</v>
      </c>
      <c r="I53" s="116"/>
      <c r="N53" s="116"/>
    </row>
    <row r="54" spans="1:14" ht="13.8" thickBot="1" x14ac:dyDescent="0.3">
      <c r="A54" s="118">
        <v>43532.666666666664</v>
      </c>
      <c r="B54" s="115">
        <v>28.65</v>
      </c>
      <c r="C54" s="116">
        <f ca="1">IFERROR(__xludf.DUMMYFUNCTION("""COMPUTED_VALUE"""),55.67)</f>
        <v>55.67</v>
      </c>
      <c r="D54" s="116">
        <f t="shared" si="0"/>
        <v>3.496507058729306E-3</v>
      </c>
      <c r="E54" s="102">
        <f t="shared" ca="1" si="0"/>
        <v>6.4876781888297402E-3</v>
      </c>
      <c r="I54" s="116"/>
      <c r="N54" s="116"/>
    </row>
    <row r="55" spans="1:14" ht="13.8" thickBot="1" x14ac:dyDescent="0.3">
      <c r="A55" s="118">
        <v>43535.666666666664</v>
      </c>
      <c r="B55" s="115">
        <v>28.94</v>
      </c>
      <c r="C55" s="116">
        <f ca="1">IFERROR(__xludf.DUMMYFUNCTION("""COMPUTED_VALUE"""),55.01)</f>
        <v>55.01</v>
      </c>
      <c r="D55" s="116">
        <f t="shared" si="0"/>
        <v>1.00712780425894E-2</v>
      </c>
      <c r="E55" s="102">
        <f t="shared" ca="1" si="0"/>
        <v>-1.1926415308049804E-2</v>
      </c>
      <c r="I55" s="116"/>
      <c r="N55" s="116"/>
    </row>
    <row r="56" spans="1:14" ht="13.8" thickBot="1" x14ac:dyDescent="0.3">
      <c r="A56" s="118">
        <v>43536.666666666664</v>
      </c>
      <c r="B56" s="115">
        <v>28.94</v>
      </c>
      <c r="C56" s="116">
        <f ca="1">IFERROR(__xludf.DUMMYFUNCTION("""COMPUTED_VALUE"""),54.93)</f>
        <v>54.93</v>
      </c>
      <c r="D56" s="116">
        <f t="shared" si="0"/>
        <v>0</v>
      </c>
      <c r="E56" s="102">
        <f t="shared" ca="1" si="0"/>
        <v>-1.4553395328376693E-3</v>
      </c>
      <c r="I56" s="116"/>
      <c r="N56" s="116"/>
    </row>
    <row r="57" spans="1:14" ht="13.8" thickBot="1" x14ac:dyDescent="0.3">
      <c r="A57" s="118">
        <v>43537.666666666664</v>
      </c>
      <c r="B57" s="115">
        <v>29.29</v>
      </c>
      <c r="C57" s="116">
        <f ca="1">IFERROR(__xludf.DUMMYFUNCTION("""COMPUTED_VALUE"""),55.74)</f>
        <v>55.74</v>
      </c>
      <c r="D57" s="116">
        <f t="shared" si="0"/>
        <v>1.2021439636304126E-2</v>
      </c>
      <c r="E57" s="102">
        <f t="shared" ca="1" si="0"/>
        <v>1.4638374699273263E-2</v>
      </c>
      <c r="I57" s="116"/>
      <c r="N57" s="116"/>
    </row>
    <row r="58" spans="1:14" ht="13.8" thickBot="1" x14ac:dyDescent="0.3">
      <c r="A58" s="118">
        <v>43538.666666666664</v>
      </c>
      <c r="B58" s="115">
        <v>29.46</v>
      </c>
      <c r="C58" s="116">
        <f ca="1">IFERROR(__xludf.DUMMYFUNCTION("""COMPUTED_VALUE"""),55.07)</f>
        <v>55.07</v>
      </c>
      <c r="D58" s="116">
        <f t="shared" si="0"/>
        <v>5.7872501948421371E-3</v>
      </c>
      <c r="E58" s="102">
        <f t="shared" ca="1" si="0"/>
        <v>-1.2092918779412055E-2</v>
      </c>
      <c r="I58" s="116"/>
      <c r="N58" s="116"/>
    </row>
    <row r="59" spans="1:14" ht="13.8" thickBot="1" x14ac:dyDescent="0.3">
      <c r="A59" s="118">
        <v>43539.666666666664</v>
      </c>
      <c r="B59" s="115">
        <v>29.3</v>
      </c>
      <c r="C59" s="116">
        <f ca="1">IFERROR(__xludf.DUMMYFUNCTION("""COMPUTED_VALUE"""),56.4)</f>
        <v>56.4</v>
      </c>
      <c r="D59" s="116">
        <f t="shared" si="0"/>
        <v>-5.4458950114626391E-3</v>
      </c>
      <c r="E59" s="102">
        <f t="shared" ca="1" si="0"/>
        <v>2.3864055229623093E-2</v>
      </c>
      <c r="I59" s="116"/>
      <c r="N59" s="116"/>
    </row>
    <row r="60" spans="1:14" ht="13.8" thickBot="1" x14ac:dyDescent="0.3">
      <c r="A60" s="118">
        <v>43542.666666666664</v>
      </c>
      <c r="B60" s="115">
        <v>29.82</v>
      </c>
      <c r="C60" s="116">
        <f ca="1">IFERROR(__xludf.DUMMYFUNCTION("""COMPUTED_VALUE"""),56.73)</f>
        <v>56.73</v>
      </c>
      <c r="D60" s="116">
        <f t="shared" si="0"/>
        <v>1.7591793313570733E-2</v>
      </c>
      <c r="E60" s="102">
        <f t="shared" ca="1" si="0"/>
        <v>5.8340128344626548E-3</v>
      </c>
      <c r="I60" s="116"/>
      <c r="N60" s="116"/>
    </row>
    <row r="61" spans="1:14" ht="13.8" thickBot="1" x14ac:dyDescent="0.3">
      <c r="A61" s="118">
        <v>43543.666666666664</v>
      </c>
      <c r="B61" s="115">
        <v>29.65</v>
      </c>
      <c r="C61" s="116">
        <f ca="1">IFERROR(__xludf.DUMMYFUNCTION("""COMPUTED_VALUE"""),57.38)</f>
        <v>57.38</v>
      </c>
      <c r="D61" s="116">
        <f t="shared" si="0"/>
        <v>-5.7171838928579194E-3</v>
      </c>
      <c r="E61" s="102">
        <f t="shared" ca="1" si="0"/>
        <v>1.1392639214742989E-2</v>
      </c>
      <c r="I61" s="116"/>
      <c r="N61" s="116"/>
    </row>
    <row r="62" spans="1:14" ht="13.8" thickBot="1" x14ac:dyDescent="0.3">
      <c r="A62" s="118">
        <v>43544.666666666664</v>
      </c>
      <c r="B62" s="115">
        <v>28.64</v>
      </c>
      <c r="C62" s="116">
        <f ca="1">IFERROR(__xludf.DUMMYFUNCTION("""COMPUTED_VALUE"""),58.48)</f>
        <v>58.48</v>
      </c>
      <c r="D62" s="116">
        <f t="shared" si="0"/>
        <v>-3.4657783351289481E-2</v>
      </c>
      <c r="E62" s="102">
        <f t="shared" ca="1" si="0"/>
        <v>1.8989004888304222E-2</v>
      </c>
      <c r="I62" s="116"/>
      <c r="N62" s="116"/>
    </row>
    <row r="63" spans="1:14" ht="13.8" thickBot="1" x14ac:dyDescent="0.3">
      <c r="A63" s="118">
        <v>43545.666666666664</v>
      </c>
      <c r="B63" s="115">
        <v>28.18</v>
      </c>
      <c r="C63" s="116">
        <f ca="1">IFERROR(__xludf.DUMMYFUNCTION("""COMPUTED_VALUE"""),57.21)</f>
        <v>57.21</v>
      </c>
      <c r="D63" s="116">
        <f t="shared" si="0"/>
        <v>-1.619183562191074E-2</v>
      </c>
      <c r="E63" s="102">
        <f t="shared" ca="1" si="0"/>
        <v>-2.195610716108564E-2</v>
      </c>
      <c r="I63" s="116"/>
      <c r="N63" s="116"/>
    </row>
    <row r="64" spans="1:14" ht="13.8" thickBot="1" x14ac:dyDescent="0.3">
      <c r="A64" s="118">
        <v>43546.666666666664</v>
      </c>
      <c r="B64" s="115">
        <v>27.01</v>
      </c>
      <c r="C64" s="116">
        <f ca="1">IFERROR(__xludf.DUMMYFUNCTION("""COMPUTED_VALUE"""),56.03)</f>
        <v>56.03</v>
      </c>
      <c r="D64" s="116">
        <f t="shared" si="0"/>
        <v>-4.2405338666009901E-2</v>
      </c>
      <c r="E64" s="102">
        <f t="shared" ca="1" si="0"/>
        <v>-2.0841446703244202E-2</v>
      </c>
      <c r="I64" s="116"/>
      <c r="N64" s="116"/>
    </row>
    <row r="65" spans="1:14" ht="13.8" thickBot="1" x14ac:dyDescent="0.3">
      <c r="A65" s="118">
        <v>43549.666666666664</v>
      </c>
      <c r="B65" s="115">
        <v>26.84</v>
      </c>
      <c r="C65" s="116">
        <f ca="1">IFERROR(__xludf.DUMMYFUNCTION("""COMPUTED_VALUE"""),53.69)</f>
        <v>53.69</v>
      </c>
      <c r="D65" s="116">
        <f t="shared" si="0"/>
        <v>-6.3138557010432774E-3</v>
      </c>
      <c r="E65" s="102">
        <f t="shared" ca="1" si="0"/>
        <v>-4.2660497142715061E-2</v>
      </c>
      <c r="I65" s="116"/>
      <c r="N65" s="116"/>
    </row>
    <row r="66" spans="1:14" ht="13.8" thickBot="1" x14ac:dyDescent="0.3">
      <c r="A66" s="118">
        <v>43550.666666666664</v>
      </c>
      <c r="B66" s="115">
        <v>27.21</v>
      </c>
      <c r="C66" s="116">
        <f ca="1">IFERROR(__xludf.DUMMYFUNCTION("""COMPUTED_VALUE"""),53.67)</f>
        <v>53.67</v>
      </c>
      <c r="D66" s="116">
        <f t="shared" si="0"/>
        <v>1.3691240691673812E-2</v>
      </c>
      <c r="E66" s="102">
        <f t="shared" ca="1" si="0"/>
        <v>-3.7257824574058455E-4</v>
      </c>
      <c r="I66" s="116"/>
      <c r="N66" s="116"/>
    </row>
    <row r="67" spans="1:14" ht="13.8" thickBot="1" x14ac:dyDescent="0.3">
      <c r="A67" s="118">
        <v>43551.666666666664</v>
      </c>
      <c r="B67" s="115">
        <v>27.03</v>
      </c>
      <c r="C67" s="116">
        <f ca="1">IFERROR(__xludf.DUMMYFUNCTION("""COMPUTED_VALUE"""),54.22)</f>
        <v>54.22</v>
      </c>
      <c r="D67" s="116">
        <f t="shared" si="0"/>
        <v>-6.6371925067987298E-3</v>
      </c>
      <c r="E67" s="102">
        <f t="shared" ca="1" si="0"/>
        <v>1.0195657881782019E-2</v>
      </c>
      <c r="I67" s="116"/>
      <c r="N67" s="116"/>
    </row>
    <row r="68" spans="1:14" ht="13.8" thickBot="1" x14ac:dyDescent="0.3">
      <c r="A68" s="118">
        <v>43552.666666666664</v>
      </c>
      <c r="B68" s="115">
        <v>27.33</v>
      </c>
      <c r="C68" s="116">
        <f ca="1">IFERROR(__xludf.DUMMYFUNCTION("""COMPUTED_VALUE"""),54.19)</f>
        <v>54.19</v>
      </c>
      <c r="D68" s="116">
        <f t="shared" si="0"/>
        <v>1.1037639651620313E-2</v>
      </c>
      <c r="E68" s="102">
        <f t="shared" ca="1" si="0"/>
        <v>-5.5345449249661564E-4</v>
      </c>
      <c r="I68" s="116"/>
      <c r="N68" s="116"/>
    </row>
    <row r="69" spans="1:14" ht="13.8" thickBot="1" x14ac:dyDescent="0.3">
      <c r="A69" s="118">
        <v>43553.666666666664</v>
      </c>
      <c r="B69" s="115">
        <v>27.59</v>
      </c>
      <c r="C69" s="116">
        <f ca="1">IFERROR(__xludf.DUMMYFUNCTION("""COMPUTED_VALUE"""),54.33)</f>
        <v>54.33</v>
      </c>
      <c r="D69" s="116">
        <f t="shared" si="0"/>
        <v>9.4683882892181073E-3</v>
      </c>
      <c r="E69" s="102">
        <f t="shared" ca="1" si="0"/>
        <v>2.5801709854089442E-3</v>
      </c>
      <c r="I69" s="116"/>
      <c r="N69" s="116"/>
    </row>
    <row r="70" spans="1:14" ht="13.8" thickBot="1" x14ac:dyDescent="0.3">
      <c r="A70" s="118">
        <v>43832.666666666664</v>
      </c>
      <c r="B70" s="115">
        <v>35.64</v>
      </c>
      <c r="C70" s="116">
        <f ca="1">IFERROR(__xludf.DUMMYFUNCTION("""COMPUTED_VALUE"""),71.65)</f>
        <v>71.650000000000006</v>
      </c>
      <c r="D70" s="116">
        <f t="shared" ref="D70:E133" si="1">LN(B70/B69)</f>
        <v>0.2560152143734139</v>
      </c>
      <c r="E70" s="102">
        <f t="shared" ca="1" si="1"/>
        <v>0.2767165937107493</v>
      </c>
      <c r="I70" s="116"/>
      <c r="N70" s="116"/>
    </row>
    <row r="71" spans="1:14" ht="13.8" thickBot="1" x14ac:dyDescent="0.3">
      <c r="A71" s="118">
        <v>43833.666666666664</v>
      </c>
      <c r="B71" s="115">
        <v>34.9</v>
      </c>
      <c r="C71" s="116">
        <f ca="1">IFERROR(__xludf.DUMMYFUNCTION("""COMPUTED_VALUE"""),70.93)</f>
        <v>70.930000000000007</v>
      </c>
      <c r="D71" s="116">
        <f t="shared" si="1"/>
        <v>-2.0981773394227153E-2</v>
      </c>
      <c r="E71" s="102">
        <f t="shared" ca="1" si="1"/>
        <v>-1.0099679060185498E-2</v>
      </c>
      <c r="F71" s="118"/>
      <c r="G71" s="115"/>
      <c r="H71" s="116"/>
      <c r="I71" s="116"/>
      <c r="K71" s="118"/>
      <c r="L71" s="115"/>
      <c r="M71" s="116"/>
      <c r="N71" s="116"/>
    </row>
    <row r="72" spans="1:14" ht="13.8" thickBot="1" x14ac:dyDescent="0.3">
      <c r="A72" s="118">
        <v>43836.666666666664</v>
      </c>
      <c r="B72" s="115">
        <v>34.85</v>
      </c>
      <c r="C72" s="116">
        <f ca="1">IFERROR(__xludf.DUMMYFUNCTION("""COMPUTED_VALUE"""),70.99)</f>
        <v>70.989999999999995</v>
      </c>
      <c r="D72" s="116">
        <f t="shared" si="1"/>
        <v>-1.4336920018484744E-3</v>
      </c>
      <c r="E72" s="102">
        <f t="shared" ca="1" si="1"/>
        <v>8.4554683729886986E-4</v>
      </c>
      <c r="F72" s="118"/>
      <c r="G72" s="115"/>
      <c r="H72" s="116"/>
      <c r="I72" s="116"/>
      <c r="K72" s="118"/>
      <c r="L72" s="115"/>
      <c r="M72" s="116"/>
      <c r="N72" s="116"/>
    </row>
    <row r="73" spans="1:14" ht="13.8" thickBot="1" x14ac:dyDescent="0.3">
      <c r="A73" s="118">
        <v>43837.666666666664</v>
      </c>
      <c r="B73" s="115">
        <v>34.619999999999997</v>
      </c>
      <c r="C73" s="116">
        <f ca="1">IFERROR(__xludf.DUMMYFUNCTION("""COMPUTED_VALUE"""),71.22)</f>
        <v>71.22</v>
      </c>
      <c r="D73" s="116">
        <f t="shared" si="1"/>
        <v>-6.6215874584698011E-3</v>
      </c>
      <c r="E73" s="102">
        <f t="shared" ca="1" si="1"/>
        <v>3.2346557983371832E-3</v>
      </c>
      <c r="F73" s="118"/>
      <c r="G73" s="115"/>
      <c r="H73" s="116"/>
      <c r="I73" s="116"/>
      <c r="K73" s="118"/>
      <c r="L73" s="115"/>
      <c r="M73" s="116"/>
      <c r="N73" s="116"/>
    </row>
    <row r="74" spans="1:14" ht="13.8" thickBot="1" x14ac:dyDescent="0.3">
      <c r="A74" s="118">
        <v>43838.666666666664</v>
      </c>
      <c r="B74" s="115">
        <v>34.97</v>
      </c>
      <c r="C74" s="116">
        <f ca="1">IFERROR(__xludf.DUMMYFUNCTION("""COMPUTED_VALUE"""),72.08)</f>
        <v>72.08</v>
      </c>
      <c r="D74" s="116">
        <f t="shared" si="1"/>
        <v>1.0059001327221269E-2</v>
      </c>
      <c r="E74" s="102">
        <f t="shared" ca="1" si="1"/>
        <v>1.2002935450450771E-2</v>
      </c>
      <c r="F74" s="118"/>
      <c r="G74" s="115"/>
      <c r="H74" s="116"/>
      <c r="I74" s="116"/>
      <c r="K74" s="118"/>
      <c r="L74" s="115"/>
      <c r="M74" s="116"/>
      <c r="N74" s="116"/>
    </row>
    <row r="75" spans="1:14" ht="13.8" thickBot="1" x14ac:dyDescent="0.3">
      <c r="A75" s="118">
        <v>43839.666666666664</v>
      </c>
      <c r="B75" s="115">
        <v>35.03</v>
      </c>
      <c r="C75" s="116">
        <f ca="1">IFERROR(__xludf.DUMMYFUNCTION("""COMPUTED_VALUE"""),71.55)</f>
        <v>71.55</v>
      </c>
      <c r="D75" s="116">
        <f t="shared" si="1"/>
        <v>1.7142861341109266E-3</v>
      </c>
      <c r="E75" s="102">
        <f t="shared" ca="1" si="1"/>
        <v>-7.3801072976225337E-3</v>
      </c>
      <c r="F75" s="118"/>
      <c r="G75" s="115"/>
      <c r="H75" s="116"/>
      <c r="I75" s="116"/>
      <c r="K75" s="118"/>
      <c r="L75" s="115"/>
      <c r="M75" s="116"/>
      <c r="N75" s="116"/>
    </row>
    <row r="76" spans="1:14" ht="13.8" thickBot="1" x14ac:dyDescent="0.3">
      <c r="A76" s="118">
        <v>43840.666666666664</v>
      </c>
      <c r="B76" s="115">
        <v>34.74</v>
      </c>
      <c r="C76" s="116">
        <f ca="1">IFERROR(__xludf.DUMMYFUNCTION("""COMPUTED_VALUE"""),71.55)</f>
        <v>71.55</v>
      </c>
      <c r="D76" s="116">
        <f t="shared" si="1"/>
        <v>-8.3130763964365684E-3</v>
      </c>
      <c r="E76" s="119">
        <f t="shared" ca="1" si="1"/>
        <v>0</v>
      </c>
      <c r="F76" s="118"/>
      <c r="G76" s="115"/>
      <c r="H76" s="116"/>
      <c r="I76" s="116"/>
      <c r="K76" s="118"/>
      <c r="L76" s="115"/>
      <c r="M76" s="116"/>
      <c r="N76" s="116"/>
    </row>
    <row r="77" spans="1:14" ht="13.8" thickBot="1" x14ac:dyDescent="0.3">
      <c r="A77" s="118">
        <v>43843.666666666664</v>
      </c>
      <c r="B77" s="115">
        <v>35.06</v>
      </c>
      <c r="C77" s="116">
        <f ca="1">IFERROR(__xludf.DUMMYFUNCTION("""COMPUTED_VALUE"""),74.27)</f>
        <v>74.27</v>
      </c>
      <c r="D77" s="116">
        <f t="shared" si="1"/>
        <v>9.1691186801295468E-3</v>
      </c>
      <c r="E77" s="102">
        <f t="shared" ca="1" si="1"/>
        <v>3.7310595678745125E-2</v>
      </c>
      <c r="F77" s="118"/>
      <c r="G77" s="115"/>
      <c r="H77" s="116"/>
      <c r="I77" s="116"/>
      <c r="K77" s="118"/>
      <c r="L77" s="115"/>
      <c r="M77" s="116"/>
      <c r="N77" s="116"/>
    </row>
    <row r="78" spans="1:14" ht="13.8" thickBot="1" x14ac:dyDescent="0.3">
      <c r="A78" s="118">
        <v>43844.666666666664</v>
      </c>
      <c r="B78" s="115">
        <v>35.32</v>
      </c>
      <c r="C78" s="116">
        <f ca="1">IFERROR(__xludf.DUMMYFUNCTION("""COMPUTED_VALUE"""),72.82)</f>
        <v>72.819999999999993</v>
      </c>
      <c r="D78" s="116">
        <f t="shared" si="1"/>
        <v>7.388496242670857E-3</v>
      </c>
      <c r="E78" s="102">
        <f t="shared" ca="1" si="1"/>
        <v>-1.9716458933917717E-2</v>
      </c>
      <c r="F78" s="118"/>
      <c r="G78" s="115"/>
      <c r="H78" s="116"/>
      <c r="I78" s="116"/>
      <c r="K78" s="118"/>
      <c r="L78" s="115"/>
      <c r="M78" s="116"/>
      <c r="N78" s="116"/>
    </row>
    <row r="79" spans="1:14" ht="13.8" thickBot="1" x14ac:dyDescent="0.3">
      <c r="A79" s="118">
        <v>43845.666666666664</v>
      </c>
      <c r="B79" s="115">
        <v>34.67</v>
      </c>
      <c r="C79" s="116">
        <f ca="1">IFERROR(__xludf.DUMMYFUNCTION("""COMPUTED_VALUE"""),72.91)</f>
        <v>72.91</v>
      </c>
      <c r="D79" s="116">
        <f t="shared" si="1"/>
        <v>-1.857461603882711E-2</v>
      </c>
      <c r="E79" s="102">
        <f t="shared" ca="1" si="1"/>
        <v>1.2351610710515859E-3</v>
      </c>
      <c r="F79" s="118"/>
      <c r="G79" s="115"/>
      <c r="H79" s="116"/>
      <c r="I79" s="116"/>
      <c r="K79" s="118"/>
      <c r="L79" s="115"/>
      <c r="M79" s="116"/>
      <c r="N79" s="116"/>
    </row>
    <row r="80" spans="1:14" ht="13.8" thickBot="1" x14ac:dyDescent="0.3">
      <c r="A80" s="118">
        <v>43846.666666666664</v>
      </c>
      <c r="B80" s="115">
        <v>34.72</v>
      </c>
      <c r="C80" s="116">
        <f ca="1">IFERROR(__xludf.DUMMYFUNCTION("""COMPUTED_VALUE"""),73.03)</f>
        <v>73.03</v>
      </c>
      <c r="D80" s="116">
        <f t="shared" si="1"/>
        <v>1.4411300952172363E-3</v>
      </c>
      <c r="E80" s="102">
        <f t="shared" ca="1" si="1"/>
        <v>1.6445118136795315E-3</v>
      </c>
      <c r="F80" s="118"/>
      <c r="G80" s="115"/>
      <c r="H80" s="116"/>
      <c r="I80" s="116"/>
      <c r="K80" s="118"/>
      <c r="L80" s="115"/>
      <c r="M80" s="116"/>
      <c r="N80" s="116"/>
    </row>
    <row r="81" spans="1:14" ht="13.8" thickBot="1" x14ac:dyDescent="0.3">
      <c r="A81" s="118">
        <v>43847.666666666664</v>
      </c>
      <c r="B81" s="115">
        <v>34.71</v>
      </c>
      <c r="C81" s="116">
        <f ca="1">IFERROR(__xludf.DUMMYFUNCTION("""COMPUTED_VALUE"""),72.87)</f>
        <v>72.87</v>
      </c>
      <c r="D81" s="116">
        <f t="shared" si="1"/>
        <v>-2.8805991845451477E-4</v>
      </c>
      <c r="E81" s="102">
        <f t="shared" ca="1" si="1"/>
        <v>-2.1932839498275398E-3</v>
      </c>
      <c r="F81" s="118"/>
      <c r="G81" s="115"/>
      <c r="H81" s="116"/>
      <c r="I81" s="116"/>
      <c r="K81" s="118"/>
      <c r="L81" s="115"/>
      <c r="M81" s="116"/>
      <c r="N81" s="116"/>
    </row>
    <row r="82" spans="1:14" ht="13.8" thickBot="1" x14ac:dyDescent="0.3">
      <c r="A82" s="118">
        <v>43851.666666666664</v>
      </c>
      <c r="B82" s="115">
        <v>34.26</v>
      </c>
      <c r="C82" s="116">
        <f ca="1">IFERROR(__xludf.DUMMYFUNCTION("""COMPUTED_VALUE"""),72.57)</f>
        <v>72.569999999999993</v>
      </c>
      <c r="D82" s="116">
        <f t="shared" si="1"/>
        <v>-1.3049336977721098E-2</v>
      </c>
      <c r="E82" s="102">
        <f t="shared" ca="1" si="1"/>
        <v>-4.1254183921454425E-3</v>
      </c>
      <c r="F82" s="118"/>
      <c r="G82" s="115"/>
      <c r="H82" s="116"/>
      <c r="I82" s="116"/>
      <c r="K82" s="118"/>
      <c r="L82" s="115"/>
      <c r="M82" s="116"/>
      <c r="N82" s="116"/>
    </row>
    <row r="83" spans="1:14" ht="13.8" thickBot="1" x14ac:dyDescent="0.3">
      <c r="A83" s="118">
        <v>43852.666666666664</v>
      </c>
      <c r="B83" s="115">
        <v>34.36</v>
      </c>
      <c r="C83" s="116">
        <f ca="1">IFERROR(__xludf.DUMMYFUNCTION("""COMPUTED_VALUE"""),72.16)</f>
        <v>72.16</v>
      </c>
      <c r="D83" s="116">
        <f t="shared" si="1"/>
        <v>2.9146042200808488E-3</v>
      </c>
      <c r="E83" s="102">
        <f t="shared" ca="1" si="1"/>
        <v>-5.6657375356773077E-3</v>
      </c>
      <c r="F83" s="118"/>
      <c r="G83" s="115"/>
      <c r="H83" s="116"/>
      <c r="I83" s="116"/>
      <c r="K83" s="118"/>
      <c r="L83" s="115"/>
      <c r="M83" s="116"/>
      <c r="N83" s="116"/>
    </row>
    <row r="84" spans="1:14" ht="13.8" thickBot="1" x14ac:dyDescent="0.3">
      <c r="A84" s="118">
        <v>43853.666666666664</v>
      </c>
      <c r="B84" s="115">
        <v>34.119999999999997</v>
      </c>
      <c r="C84" s="116">
        <f ca="1">IFERROR(__xludf.DUMMYFUNCTION("""COMPUTED_VALUE"""),71.61)</f>
        <v>71.61</v>
      </c>
      <c r="D84" s="116">
        <f t="shared" si="1"/>
        <v>-7.0093744925762771E-3</v>
      </c>
      <c r="E84" s="102">
        <f t="shared" ca="1" si="1"/>
        <v>-7.6511467355197503E-3</v>
      </c>
      <c r="F84" s="118"/>
      <c r="G84" s="115"/>
      <c r="H84" s="116"/>
      <c r="I84" s="116"/>
      <c r="K84" s="118"/>
      <c r="L84" s="115"/>
      <c r="M84" s="116"/>
      <c r="N84" s="116"/>
    </row>
    <row r="85" spans="1:14" ht="13.8" thickBot="1" x14ac:dyDescent="0.3">
      <c r="A85" s="118">
        <v>43854.666666666664</v>
      </c>
      <c r="B85" s="115">
        <v>33.54</v>
      </c>
      <c r="C85" s="116">
        <f ca="1">IFERROR(__xludf.DUMMYFUNCTION("""COMPUTED_VALUE"""),71.07)</f>
        <v>71.069999999999993</v>
      </c>
      <c r="D85" s="116">
        <f t="shared" si="1"/>
        <v>-1.7144966228415534E-2</v>
      </c>
      <c r="E85" s="102">
        <f t="shared" ca="1" si="1"/>
        <v>-7.5694221800447223E-3</v>
      </c>
      <c r="F85" s="118"/>
      <c r="G85" s="115"/>
      <c r="H85" s="116"/>
      <c r="I85" s="116"/>
      <c r="K85" s="118"/>
      <c r="L85" s="115"/>
      <c r="M85" s="116"/>
      <c r="N85" s="116"/>
    </row>
    <row r="86" spans="1:14" ht="13.8" thickBot="1" x14ac:dyDescent="0.3">
      <c r="A86" s="118">
        <v>43857.666666666664</v>
      </c>
      <c r="B86" s="115">
        <v>32.85</v>
      </c>
      <c r="C86" s="116">
        <f ca="1">IFERROR(__xludf.DUMMYFUNCTION("""COMPUTED_VALUE"""),69.16)</f>
        <v>69.16</v>
      </c>
      <c r="D86" s="116">
        <f t="shared" si="1"/>
        <v>-2.0787011464443242E-2</v>
      </c>
      <c r="E86" s="102">
        <f t="shared" ca="1" si="1"/>
        <v>-2.7242646023713953E-2</v>
      </c>
      <c r="F86" s="118"/>
      <c r="G86" s="115"/>
      <c r="H86" s="116"/>
      <c r="I86" s="116"/>
      <c r="K86" s="118"/>
      <c r="L86" s="115"/>
      <c r="M86" s="116"/>
      <c r="N86" s="116"/>
    </row>
    <row r="87" spans="1:14" ht="13.8" thickBot="1" x14ac:dyDescent="0.3">
      <c r="A87" s="118">
        <v>43858.666666666664</v>
      </c>
      <c r="B87" s="115">
        <v>33.24</v>
      </c>
      <c r="C87" s="116">
        <f ca="1">IFERROR(__xludf.DUMMYFUNCTION("""COMPUTED_VALUE"""),70.57)</f>
        <v>70.569999999999993</v>
      </c>
      <c r="D87" s="116">
        <f t="shared" si="1"/>
        <v>1.1802225056627912E-2</v>
      </c>
      <c r="E87" s="102">
        <f t="shared" ca="1" si="1"/>
        <v>2.0182464197649099E-2</v>
      </c>
      <c r="F87" s="118"/>
      <c r="G87" s="115"/>
      <c r="H87" s="116"/>
      <c r="I87" s="116"/>
      <c r="K87" s="118"/>
      <c r="L87" s="115"/>
      <c r="M87" s="116"/>
      <c r="N87" s="116"/>
    </row>
    <row r="88" spans="1:14" ht="13.8" thickBot="1" x14ac:dyDescent="0.3">
      <c r="A88" s="118">
        <v>43859.666666666664</v>
      </c>
      <c r="B88" s="115">
        <v>33.01</v>
      </c>
      <c r="C88" s="116">
        <f ca="1">IFERROR(__xludf.DUMMYFUNCTION("""COMPUTED_VALUE"""),70.42)</f>
        <v>70.42</v>
      </c>
      <c r="D88" s="116">
        <f t="shared" si="1"/>
        <v>-6.9434241221459332E-3</v>
      </c>
      <c r="E88" s="102">
        <f t="shared" ca="1" si="1"/>
        <v>-2.1278112858323507E-3</v>
      </c>
      <c r="F88" s="118"/>
      <c r="G88" s="115"/>
      <c r="H88" s="116"/>
      <c r="I88" s="116"/>
      <c r="K88" s="118"/>
      <c r="L88" s="115"/>
      <c r="M88" s="116"/>
      <c r="N88" s="116"/>
    </row>
    <row r="89" spans="1:14" ht="13.8" thickBot="1" x14ac:dyDescent="0.3">
      <c r="A89" s="118">
        <v>43860.666666666664</v>
      </c>
      <c r="B89" s="115">
        <v>33.479999999999997</v>
      </c>
      <c r="C89" s="116">
        <f ca="1">IFERROR(__xludf.DUMMYFUNCTION("""COMPUTED_VALUE"""),68.74)</f>
        <v>68.739999999999995</v>
      </c>
      <c r="D89" s="116">
        <f t="shared" si="1"/>
        <v>1.4137699756172949E-2</v>
      </c>
      <c r="E89" s="102">
        <f t="shared" ca="1" si="1"/>
        <v>-2.4146042305218711E-2</v>
      </c>
      <c r="F89" s="118"/>
      <c r="G89" s="115"/>
      <c r="H89" s="116"/>
      <c r="I89" s="116"/>
      <c r="K89" s="118"/>
      <c r="L89" s="115"/>
      <c r="M89" s="116"/>
      <c r="N89" s="116"/>
    </row>
    <row r="90" spans="1:14" ht="13.8" thickBot="1" x14ac:dyDescent="0.3">
      <c r="A90" s="118">
        <v>43861.666666666664</v>
      </c>
      <c r="B90" s="115">
        <v>32.83</v>
      </c>
      <c r="C90" s="116">
        <f ca="1">IFERROR(__xludf.DUMMYFUNCTION("""COMPUTED_VALUE"""),67.8)</f>
        <v>67.8</v>
      </c>
      <c r="D90" s="116">
        <f t="shared" si="1"/>
        <v>-1.9605514107773277E-2</v>
      </c>
      <c r="E90" s="102">
        <f t="shared" ca="1" si="1"/>
        <v>-1.3769076475337936E-2</v>
      </c>
      <c r="F90" s="118"/>
      <c r="G90" s="115"/>
      <c r="H90" s="116"/>
      <c r="I90" s="116"/>
      <c r="K90" s="118"/>
      <c r="L90" s="115"/>
      <c r="M90" s="116"/>
      <c r="N90" s="116"/>
    </row>
    <row r="91" spans="1:14" ht="13.8" thickBot="1" x14ac:dyDescent="0.3">
      <c r="A91" s="118">
        <v>43864.666666666664</v>
      </c>
      <c r="B91" s="115">
        <v>32.97</v>
      </c>
      <c r="C91" s="116">
        <f ca="1">IFERROR(__xludf.DUMMYFUNCTION("""COMPUTED_VALUE"""),68.1)</f>
        <v>68.099999999999994</v>
      </c>
      <c r="D91" s="116">
        <f t="shared" si="1"/>
        <v>4.255325570138491E-3</v>
      </c>
      <c r="E91" s="102">
        <f t="shared" ca="1" si="1"/>
        <v>4.4150182091166933E-3</v>
      </c>
      <c r="F91" s="118"/>
      <c r="G91" s="115"/>
      <c r="H91" s="116"/>
      <c r="I91" s="116"/>
      <c r="K91" s="118"/>
      <c r="L91" s="115"/>
      <c r="M91" s="116"/>
      <c r="N91" s="116"/>
    </row>
    <row r="92" spans="1:14" ht="13.8" thickBot="1" x14ac:dyDescent="0.3">
      <c r="A92" s="118">
        <v>43865.666666666664</v>
      </c>
      <c r="B92" s="115">
        <v>33.619999999999997</v>
      </c>
      <c r="C92" s="116">
        <f ca="1">IFERROR(__xludf.DUMMYFUNCTION("""COMPUTED_VALUE"""),69.67)</f>
        <v>69.67</v>
      </c>
      <c r="D92" s="116">
        <f t="shared" si="1"/>
        <v>1.9523070896829829E-2</v>
      </c>
      <c r="E92" s="102">
        <f t="shared" ca="1" si="1"/>
        <v>2.2792595886560879E-2</v>
      </c>
      <c r="F92" s="118"/>
      <c r="G92" s="115"/>
      <c r="H92" s="116"/>
      <c r="I92" s="116"/>
      <c r="K92" s="118"/>
      <c r="L92" s="115"/>
      <c r="M92" s="116"/>
      <c r="N92" s="116"/>
    </row>
    <row r="93" spans="1:14" ht="13.8" thickBot="1" x14ac:dyDescent="0.3">
      <c r="A93" s="118">
        <v>43866.666666666664</v>
      </c>
      <c r="B93" s="115">
        <v>34.71</v>
      </c>
      <c r="C93" s="116">
        <f ca="1">IFERROR(__xludf.DUMMYFUNCTION("""COMPUTED_VALUE"""),71.25)</f>
        <v>71.25</v>
      </c>
      <c r="D93" s="116">
        <f t="shared" si="1"/>
        <v>3.1906701893225455E-2</v>
      </c>
      <c r="E93" s="102">
        <f t="shared" ca="1" si="1"/>
        <v>2.2425010106732274E-2</v>
      </c>
      <c r="F93" s="118"/>
      <c r="G93" s="115"/>
      <c r="H93" s="116"/>
      <c r="I93" s="116"/>
      <c r="K93" s="118"/>
      <c r="L93" s="115"/>
      <c r="M93" s="116"/>
      <c r="N93" s="116"/>
    </row>
    <row r="94" spans="1:14" ht="13.8" thickBot="1" x14ac:dyDescent="0.3">
      <c r="A94" s="118">
        <v>43867.666666666664</v>
      </c>
      <c r="B94" s="115">
        <v>34.67</v>
      </c>
      <c r="C94" s="116">
        <f ca="1">IFERROR(__xludf.DUMMYFUNCTION("""COMPUTED_VALUE"""),71.57)</f>
        <v>71.569999999999993</v>
      </c>
      <c r="D94" s="116">
        <f t="shared" si="1"/>
        <v>-1.1530701767628101E-3</v>
      </c>
      <c r="E94" s="102">
        <f t="shared" ca="1" si="1"/>
        <v>4.4811726017462191E-3</v>
      </c>
      <c r="F94" s="118"/>
      <c r="G94" s="115"/>
      <c r="H94" s="116"/>
      <c r="I94" s="116"/>
      <c r="K94" s="118"/>
      <c r="L94" s="115"/>
      <c r="M94" s="116"/>
      <c r="N94" s="116"/>
    </row>
    <row r="95" spans="1:14" ht="13.8" thickBot="1" x14ac:dyDescent="0.3">
      <c r="A95" s="118">
        <v>43868.666666666664</v>
      </c>
      <c r="B95" s="115">
        <v>34.61</v>
      </c>
      <c r="C95" s="116">
        <f ca="1">IFERROR(__xludf.DUMMYFUNCTION("""COMPUTED_VALUE"""),72.05)</f>
        <v>72.05</v>
      </c>
      <c r="D95" s="116">
        <f t="shared" si="1"/>
        <v>-1.7321020496792808E-3</v>
      </c>
      <c r="E95" s="102">
        <f t="shared" ca="1" si="1"/>
        <v>6.6843306950249608E-3</v>
      </c>
      <c r="F95" s="118"/>
      <c r="G95" s="115"/>
      <c r="H95" s="116"/>
      <c r="I95" s="116"/>
      <c r="K95" s="118"/>
      <c r="L95" s="115"/>
      <c r="M95" s="116"/>
      <c r="N95" s="116"/>
    </row>
    <row r="96" spans="1:14" ht="13.8" thickBot="1" x14ac:dyDescent="0.3">
      <c r="A96" s="118">
        <v>43871.666666666664</v>
      </c>
      <c r="B96" s="115">
        <v>34.69</v>
      </c>
      <c r="C96" s="116">
        <f ca="1">IFERROR(__xludf.DUMMYFUNCTION("""COMPUTED_VALUE"""),71.75)</f>
        <v>71.75</v>
      </c>
      <c r="D96" s="116">
        <f t="shared" si="1"/>
        <v>2.3088033344053115E-3</v>
      </c>
      <c r="E96" s="102">
        <f t="shared" ca="1" si="1"/>
        <v>-4.1724678058005608E-3</v>
      </c>
      <c r="F96" s="118"/>
      <c r="G96" s="115"/>
      <c r="H96" s="116"/>
      <c r="I96" s="116"/>
      <c r="K96" s="118"/>
      <c r="L96" s="115"/>
      <c r="M96" s="116"/>
      <c r="N96" s="116"/>
    </row>
    <row r="97" spans="1:14" ht="13.8" thickBot="1" x14ac:dyDescent="0.3">
      <c r="A97" s="118">
        <v>43872.666666666664</v>
      </c>
      <c r="B97" s="115">
        <v>34.770000000000003</v>
      </c>
      <c r="C97" s="116">
        <f ca="1">IFERROR(__xludf.DUMMYFUNCTION("""COMPUTED_VALUE"""),72.19)</f>
        <v>72.19</v>
      </c>
      <c r="D97" s="116">
        <f t="shared" si="1"/>
        <v>2.3034850381118471E-3</v>
      </c>
      <c r="E97" s="102">
        <f t="shared" ca="1" si="1"/>
        <v>6.113677511339035E-3</v>
      </c>
      <c r="F97" s="118"/>
      <c r="G97" s="115"/>
      <c r="H97" s="116"/>
      <c r="I97" s="116"/>
      <c r="K97" s="118"/>
      <c r="L97" s="115"/>
      <c r="M97" s="116"/>
      <c r="N97" s="116"/>
    </row>
    <row r="98" spans="1:14" ht="13.8" thickBot="1" x14ac:dyDescent="0.3">
      <c r="A98" s="118">
        <v>43873.666666666664</v>
      </c>
      <c r="B98" s="115">
        <v>34.92</v>
      </c>
      <c r="C98" s="116">
        <f ca="1">IFERROR(__xludf.DUMMYFUNCTION("""COMPUTED_VALUE"""),73.17)</f>
        <v>73.17</v>
      </c>
      <c r="D98" s="116">
        <f t="shared" si="1"/>
        <v>4.3047849516313933E-3</v>
      </c>
      <c r="E98" s="102">
        <f t="shared" ca="1" si="1"/>
        <v>1.3483968744868954E-2</v>
      </c>
      <c r="F98" s="118"/>
      <c r="G98" s="115"/>
      <c r="H98" s="116"/>
      <c r="I98" s="116"/>
      <c r="K98" s="118"/>
      <c r="L98" s="115"/>
      <c r="M98" s="116"/>
      <c r="N98" s="116"/>
    </row>
    <row r="99" spans="1:14" ht="13.8" thickBot="1" x14ac:dyDescent="0.3">
      <c r="A99" s="118">
        <v>43874.666666666664</v>
      </c>
      <c r="B99" s="115">
        <v>34.909999999999997</v>
      </c>
      <c r="C99" s="116">
        <f ca="1">IFERROR(__xludf.DUMMYFUNCTION("""COMPUTED_VALUE"""),72.88)</f>
        <v>72.88</v>
      </c>
      <c r="D99" s="116">
        <f t="shared" si="1"/>
        <v>-2.8640985445690047E-4</v>
      </c>
      <c r="E99" s="102">
        <f t="shared" ca="1" si="1"/>
        <v>-3.9712479442357822E-3</v>
      </c>
      <c r="F99" s="118"/>
      <c r="G99" s="115"/>
      <c r="H99" s="116"/>
      <c r="I99" s="116"/>
      <c r="K99" s="118"/>
      <c r="L99" s="115"/>
      <c r="M99" s="116"/>
      <c r="N99" s="116"/>
    </row>
    <row r="100" spans="1:14" ht="13.8" thickBot="1" x14ac:dyDescent="0.3">
      <c r="A100" s="118">
        <v>43875.666666666664</v>
      </c>
      <c r="B100" s="115">
        <v>34.85</v>
      </c>
      <c r="C100" s="116">
        <f ca="1">IFERROR(__xludf.DUMMYFUNCTION("""COMPUTED_VALUE"""),72.75)</f>
        <v>72.75</v>
      </c>
      <c r="D100" s="116">
        <f t="shared" si="1"/>
        <v>-1.7201839104116524E-3</v>
      </c>
      <c r="E100" s="102">
        <f t="shared" ca="1" si="1"/>
        <v>-1.7853469001008957E-3</v>
      </c>
      <c r="F100" s="118"/>
      <c r="G100" s="115"/>
      <c r="H100" s="116"/>
      <c r="I100" s="116"/>
      <c r="K100" s="118"/>
      <c r="L100" s="115"/>
      <c r="M100" s="116"/>
      <c r="N100" s="116"/>
    </row>
    <row r="101" spans="1:14" ht="13.8" thickBot="1" x14ac:dyDescent="0.3">
      <c r="A101" s="118">
        <v>43879.666666666664</v>
      </c>
      <c r="B101" s="115">
        <v>34.270000000000003</v>
      </c>
      <c r="C101" s="116">
        <f ca="1">IFERROR(__xludf.DUMMYFUNCTION("""COMPUTED_VALUE"""),73.12)</f>
        <v>73.12</v>
      </c>
      <c r="D101" s="116">
        <f t="shared" si="1"/>
        <v>-1.6782801320015389E-2</v>
      </c>
      <c r="E101" s="102">
        <f t="shared" ca="1" si="1"/>
        <v>5.0730210942927885E-3</v>
      </c>
      <c r="F101" s="118"/>
      <c r="G101" s="115"/>
      <c r="H101" s="116"/>
      <c r="I101" s="116"/>
      <c r="K101" s="118"/>
      <c r="L101" s="115"/>
      <c r="M101" s="116"/>
      <c r="N101" s="116"/>
    </row>
    <row r="102" spans="1:14" ht="13.8" thickBot="1" x14ac:dyDescent="0.3">
      <c r="A102" s="118">
        <v>43880.666666666664</v>
      </c>
      <c r="B102" s="115">
        <v>34.72</v>
      </c>
      <c r="C102" s="116">
        <f ca="1">IFERROR(__xludf.DUMMYFUNCTION("""COMPUTED_VALUE"""),71.79)</f>
        <v>71.790000000000006</v>
      </c>
      <c r="D102" s="116">
        <f t="shared" si="1"/>
        <v>1.3045553905631896E-2</v>
      </c>
      <c r="E102" s="102">
        <f t="shared" ca="1" si="1"/>
        <v>-1.8356736557502924E-2</v>
      </c>
      <c r="F102" s="118"/>
      <c r="G102" s="115"/>
      <c r="H102" s="116"/>
      <c r="I102" s="116"/>
      <c r="K102" s="118"/>
      <c r="L102" s="115"/>
      <c r="M102" s="116"/>
      <c r="N102" s="116"/>
    </row>
    <row r="103" spans="1:14" ht="13.8" thickBot="1" x14ac:dyDescent="0.3">
      <c r="A103" s="118">
        <v>43881.666666666664</v>
      </c>
      <c r="B103" s="115">
        <v>34.85</v>
      </c>
      <c r="C103" s="116">
        <f ca="1">IFERROR(__xludf.DUMMYFUNCTION("""COMPUTED_VALUE"""),72.43)</f>
        <v>72.430000000000007</v>
      </c>
      <c r="D103" s="116">
        <f t="shared" si="1"/>
        <v>3.7372474143835851E-3</v>
      </c>
      <c r="E103" s="102">
        <f t="shared" ca="1" si="1"/>
        <v>8.8753876188430239E-3</v>
      </c>
      <c r="F103" s="118"/>
      <c r="G103" s="115"/>
      <c r="H103" s="116"/>
      <c r="I103" s="116"/>
      <c r="K103" s="118"/>
      <c r="L103" s="115"/>
      <c r="M103" s="116"/>
      <c r="N103" s="116"/>
    </row>
    <row r="104" spans="1:14" ht="13.8" thickBot="1" x14ac:dyDescent="0.3">
      <c r="A104" s="118">
        <v>43882.666666666664</v>
      </c>
      <c r="B104" s="115">
        <v>34.36</v>
      </c>
      <c r="C104" s="116">
        <f ca="1">IFERROR(__xludf.DUMMYFUNCTION("""COMPUTED_VALUE"""),71.82)</f>
        <v>71.819999999999993</v>
      </c>
      <c r="D104" s="116">
        <f t="shared" si="1"/>
        <v>-1.4160040090478361E-2</v>
      </c>
      <c r="E104" s="102">
        <f t="shared" ca="1" si="1"/>
        <v>-8.4575894092980778E-3</v>
      </c>
      <c r="F104" s="118"/>
      <c r="G104" s="115"/>
      <c r="H104" s="116"/>
      <c r="I104" s="116"/>
      <c r="K104" s="118"/>
      <c r="L104" s="115"/>
      <c r="M104" s="116"/>
      <c r="N104" s="116"/>
    </row>
    <row r="105" spans="1:14" ht="13.8" thickBot="1" x14ac:dyDescent="0.3">
      <c r="A105" s="118">
        <v>43885.666666666664</v>
      </c>
      <c r="B105" s="115">
        <v>32.729999999999997</v>
      </c>
      <c r="C105" s="116">
        <f ca="1">IFERROR(__xludf.DUMMYFUNCTION("""COMPUTED_VALUE"""),70.87)</f>
        <v>70.87</v>
      </c>
      <c r="D105" s="116">
        <f t="shared" si="1"/>
        <v>-4.8601008602965588E-2</v>
      </c>
      <c r="E105" s="102">
        <f t="shared" ca="1" si="1"/>
        <v>-1.331577597577195E-2</v>
      </c>
      <c r="F105" s="118"/>
      <c r="G105" s="115"/>
      <c r="H105" s="116"/>
      <c r="I105" s="116"/>
      <c r="K105" s="118"/>
      <c r="L105" s="115"/>
      <c r="M105" s="116"/>
      <c r="N105" s="116"/>
    </row>
    <row r="106" spans="1:14" ht="13.8" thickBot="1" x14ac:dyDescent="0.3">
      <c r="A106" s="118">
        <v>43886.666666666664</v>
      </c>
      <c r="B106" s="115">
        <v>31.08</v>
      </c>
      <c r="C106" s="116">
        <f ca="1">IFERROR(__xludf.DUMMYFUNCTION("""COMPUTED_VALUE"""),67.3)</f>
        <v>67.3</v>
      </c>
      <c r="D106" s="116">
        <f t="shared" si="1"/>
        <v>-5.1727563013642383E-2</v>
      </c>
      <c r="E106" s="102">
        <f t="shared" ca="1" si="1"/>
        <v>-5.1686976171482657E-2</v>
      </c>
      <c r="F106" s="118"/>
      <c r="G106" s="115"/>
      <c r="H106" s="116"/>
      <c r="I106" s="116"/>
      <c r="K106" s="118"/>
      <c r="L106" s="115"/>
      <c r="M106" s="116"/>
      <c r="N106" s="116"/>
    </row>
    <row r="107" spans="1:14" ht="13.8" thickBot="1" x14ac:dyDescent="0.3">
      <c r="A107" s="118">
        <v>43887.666666666664</v>
      </c>
      <c r="B107" s="115">
        <v>30.63</v>
      </c>
      <c r="C107" s="116">
        <f ca="1">IFERROR(__xludf.DUMMYFUNCTION("""COMPUTED_VALUE"""),65.94)</f>
        <v>65.94</v>
      </c>
      <c r="D107" s="116">
        <f t="shared" si="1"/>
        <v>-1.458460465476284E-2</v>
      </c>
      <c r="E107" s="102">
        <f t="shared" ca="1" si="1"/>
        <v>-2.0414999007097166E-2</v>
      </c>
      <c r="F107" s="118"/>
      <c r="G107" s="115"/>
      <c r="H107" s="116"/>
      <c r="I107" s="116"/>
      <c r="K107" s="118"/>
      <c r="L107" s="115"/>
      <c r="M107" s="116"/>
      <c r="N107" s="116"/>
    </row>
    <row r="108" spans="1:14" ht="13.8" thickBot="1" x14ac:dyDescent="0.3">
      <c r="A108" s="118">
        <v>43888.666666666664</v>
      </c>
      <c r="B108" s="115">
        <v>29.13</v>
      </c>
      <c r="C108" s="116">
        <f ca="1">IFERROR(__xludf.DUMMYFUNCTION("""COMPUTED_VALUE"""),64.42)</f>
        <v>64.42</v>
      </c>
      <c r="D108" s="116">
        <f t="shared" si="1"/>
        <v>-5.0211349873340624E-2</v>
      </c>
      <c r="E108" s="102">
        <f t="shared" ca="1" si="1"/>
        <v>-2.3321093740532126E-2</v>
      </c>
      <c r="F108" s="118"/>
      <c r="G108" s="115"/>
      <c r="H108" s="116"/>
      <c r="I108" s="116"/>
      <c r="K108" s="118"/>
      <c r="L108" s="115"/>
      <c r="M108" s="116"/>
      <c r="N108" s="116"/>
    </row>
    <row r="109" spans="1:14" ht="13.8" thickBot="1" x14ac:dyDescent="0.3">
      <c r="A109" s="118">
        <v>43889.666666666664</v>
      </c>
      <c r="B109" s="115">
        <v>28.5</v>
      </c>
      <c r="C109" s="116">
        <f ca="1">IFERROR(__xludf.DUMMYFUNCTION("""COMPUTED_VALUE"""),59.94)</f>
        <v>59.94</v>
      </c>
      <c r="D109" s="116">
        <f t="shared" si="1"/>
        <v>-2.18644836967384E-2</v>
      </c>
      <c r="E109" s="102">
        <f t="shared" ca="1" si="1"/>
        <v>-7.208008201453564E-2</v>
      </c>
      <c r="F109" s="118"/>
      <c r="G109" s="115"/>
      <c r="H109" s="116"/>
      <c r="I109" s="116"/>
      <c r="K109" s="118"/>
      <c r="L109" s="115"/>
      <c r="M109" s="116"/>
      <c r="N109" s="116"/>
    </row>
    <row r="110" spans="1:14" ht="13.8" thickBot="1" x14ac:dyDescent="0.3">
      <c r="A110" s="118">
        <v>43892.666666666664</v>
      </c>
      <c r="B110" s="115">
        <v>29.37</v>
      </c>
      <c r="C110" s="116">
        <f ca="1">IFERROR(__xludf.DUMMYFUNCTION("""COMPUTED_VALUE"""),57.62)</f>
        <v>57.62</v>
      </c>
      <c r="D110" s="116">
        <f t="shared" si="1"/>
        <v>3.0069657935923914E-2</v>
      </c>
      <c r="E110" s="102">
        <f t="shared" ca="1" si="1"/>
        <v>-3.9474332232134743E-2</v>
      </c>
      <c r="F110" s="118"/>
      <c r="G110" s="115"/>
      <c r="H110" s="116"/>
      <c r="I110" s="116"/>
      <c r="K110" s="118"/>
      <c r="L110" s="115"/>
      <c r="M110" s="116"/>
      <c r="N110" s="116"/>
    </row>
    <row r="111" spans="1:14" ht="13.8" thickBot="1" x14ac:dyDescent="0.3">
      <c r="A111" s="118">
        <v>43893.666666666664</v>
      </c>
      <c r="B111" s="115">
        <v>27.75</v>
      </c>
      <c r="C111" s="116">
        <f ca="1">IFERROR(__xludf.DUMMYFUNCTION("""COMPUTED_VALUE"""),58.33)</f>
        <v>58.33</v>
      </c>
      <c r="D111" s="116">
        <f t="shared" si="1"/>
        <v>-5.6737905018085184E-2</v>
      </c>
      <c r="E111" s="102">
        <f t="shared" ca="1" si="1"/>
        <v>1.2246811109163824E-2</v>
      </c>
      <c r="F111" s="118"/>
      <c r="G111" s="115"/>
      <c r="H111" s="116"/>
      <c r="I111" s="116"/>
      <c r="K111" s="118"/>
      <c r="L111" s="115"/>
      <c r="M111" s="116"/>
      <c r="N111" s="116"/>
    </row>
    <row r="112" spans="1:14" ht="13.8" thickBot="1" x14ac:dyDescent="0.3">
      <c r="A112" s="118">
        <v>43894.666666666664</v>
      </c>
      <c r="B112" s="115">
        <v>28.39</v>
      </c>
      <c r="C112" s="116">
        <f ca="1">IFERROR(__xludf.DUMMYFUNCTION("""COMPUTED_VALUE"""),59.27)</f>
        <v>59.27</v>
      </c>
      <c r="D112" s="116">
        <f t="shared" si="1"/>
        <v>2.280113029243629E-2</v>
      </c>
      <c r="E112" s="102">
        <f t="shared" ca="1" si="1"/>
        <v>1.5986735034200728E-2</v>
      </c>
      <c r="F112" s="118"/>
      <c r="G112" s="115"/>
      <c r="H112" s="116"/>
      <c r="I112" s="116"/>
      <c r="K112" s="118"/>
      <c r="L112" s="115"/>
      <c r="M112" s="116"/>
      <c r="N112" s="116"/>
    </row>
    <row r="113" spans="1:14" ht="13.8" thickBot="1" x14ac:dyDescent="0.3">
      <c r="A113" s="118">
        <v>43895.666666666664</v>
      </c>
      <c r="B113" s="115">
        <v>26.78</v>
      </c>
      <c r="C113" s="116">
        <f ca="1">IFERROR(__xludf.DUMMYFUNCTION("""COMPUTED_VALUE"""),58.6)</f>
        <v>58.6</v>
      </c>
      <c r="D113" s="116">
        <f t="shared" si="1"/>
        <v>-5.8381630221853352E-2</v>
      </c>
      <c r="E113" s="102">
        <f t="shared" ca="1" si="1"/>
        <v>-1.1368579216779934E-2</v>
      </c>
      <c r="F113" s="118"/>
      <c r="G113" s="115"/>
      <c r="H113" s="116"/>
      <c r="I113" s="116"/>
      <c r="K113" s="118"/>
      <c r="L113" s="115"/>
      <c r="M113" s="116"/>
      <c r="N113" s="116"/>
    </row>
    <row r="114" spans="1:14" ht="13.8" thickBot="1" x14ac:dyDescent="0.3">
      <c r="A114" s="118">
        <v>43896.666666666664</v>
      </c>
      <c r="B114" s="115">
        <v>25.71</v>
      </c>
      <c r="C114" s="116">
        <f ca="1">IFERROR(__xludf.DUMMYFUNCTION("""COMPUTED_VALUE"""),57.88)</f>
        <v>57.88</v>
      </c>
      <c r="D114" s="116">
        <f t="shared" si="1"/>
        <v>-4.0775318985228341E-2</v>
      </c>
      <c r="E114" s="102">
        <f t="shared" ca="1" si="1"/>
        <v>-1.2362794819683757E-2</v>
      </c>
      <c r="F114" s="118"/>
      <c r="G114" s="115"/>
      <c r="H114" s="116"/>
      <c r="I114" s="116"/>
      <c r="K114" s="118"/>
      <c r="L114" s="115"/>
      <c r="M114" s="116"/>
      <c r="N114" s="116"/>
    </row>
    <row r="115" spans="1:14" ht="13.8" thickBot="1" x14ac:dyDescent="0.3">
      <c r="A115" s="118">
        <v>43899.666666666664</v>
      </c>
      <c r="B115" s="115">
        <v>21.93</v>
      </c>
      <c r="C115" s="116">
        <f ca="1">IFERROR(__xludf.DUMMYFUNCTION("""COMPUTED_VALUE"""),53.85)</f>
        <v>53.85</v>
      </c>
      <c r="D115" s="116">
        <f t="shared" si="1"/>
        <v>-0.15902445884800132</v>
      </c>
      <c r="E115" s="102">
        <f t="shared" ca="1" si="1"/>
        <v>-7.2169498160885567E-2</v>
      </c>
      <c r="F115" s="118"/>
      <c r="G115" s="115"/>
      <c r="H115" s="116"/>
      <c r="I115" s="116"/>
      <c r="K115" s="118"/>
      <c r="L115" s="115"/>
      <c r="M115" s="116"/>
      <c r="N115" s="116"/>
    </row>
    <row r="116" spans="1:14" ht="13.8" thickBot="1" x14ac:dyDescent="0.3">
      <c r="A116" s="118">
        <v>43900.666666666664</v>
      </c>
      <c r="B116" s="115">
        <v>23.61</v>
      </c>
      <c r="C116" s="116">
        <f ca="1">IFERROR(__xludf.DUMMYFUNCTION("""COMPUTED_VALUE"""),46.74)</f>
        <v>46.74</v>
      </c>
      <c r="D116" s="116">
        <f t="shared" si="1"/>
        <v>7.3814788667624615E-2</v>
      </c>
      <c r="E116" s="102">
        <f t="shared" ca="1" si="1"/>
        <v>-0.1416020744916856</v>
      </c>
      <c r="F116" s="118"/>
      <c r="G116" s="115"/>
      <c r="H116" s="116"/>
      <c r="I116" s="116"/>
      <c r="K116" s="118"/>
      <c r="L116" s="115"/>
      <c r="M116" s="116"/>
      <c r="N116" s="116"/>
    </row>
    <row r="117" spans="1:14" ht="13.8" thickBot="1" x14ac:dyDescent="0.3">
      <c r="A117" s="118">
        <v>43901.666666666664</v>
      </c>
      <c r="B117" s="115">
        <v>22.67</v>
      </c>
      <c r="C117" s="116">
        <f ca="1">IFERROR(__xludf.DUMMYFUNCTION("""COMPUTED_VALUE"""),46.12)</f>
        <v>46.12</v>
      </c>
      <c r="D117" s="116">
        <f t="shared" si="1"/>
        <v>-4.0627886577983795E-2</v>
      </c>
      <c r="E117" s="102">
        <f t="shared" ca="1" si="1"/>
        <v>-1.3353633709853752E-2</v>
      </c>
      <c r="F117" s="118"/>
      <c r="G117" s="115"/>
      <c r="H117" s="116"/>
      <c r="I117" s="116"/>
      <c r="K117" s="118"/>
      <c r="L117" s="115"/>
      <c r="M117" s="116"/>
      <c r="N117" s="116"/>
    </row>
    <row r="118" spans="1:14" ht="13.8" thickBot="1" x14ac:dyDescent="0.3">
      <c r="A118" s="118">
        <v>43902.666666666664</v>
      </c>
      <c r="B118" s="115">
        <v>20.51</v>
      </c>
      <c r="C118" s="116">
        <f ca="1">IFERROR(__xludf.DUMMYFUNCTION("""COMPUTED_VALUE"""),47.45)</f>
        <v>47.45</v>
      </c>
      <c r="D118" s="116">
        <f t="shared" si="1"/>
        <v>-0.10012989243514835</v>
      </c>
      <c r="E118" s="102">
        <f t="shared" ca="1" si="1"/>
        <v>2.8429829655078731E-2</v>
      </c>
      <c r="F118" s="118"/>
      <c r="G118" s="115"/>
      <c r="H118" s="116"/>
      <c r="I118" s="116"/>
      <c r="K118" s="118"/>
      <c r="L118" s="115"/>
      <c r="M118" s="116"/>
      <c r="N118" s="116"/>
    </row>
    <row r="119" spans="1:14" ht="13.8" thickBot="1" x14ac:dyDescent="0.3">
      <c r="A119" s="118">
        <v>43903.666666666664</v>
      </c>
      <c r="B119" s="115">
        <v>24.16</v>
      </c>
      <c r="C119" s="116">
        <f ca="1">IFERROR(__xludf.DUMMYFUNCTION("""COMPUTED_VALUE"""),39.8)</f>
        <v>39.799999999999997</v>
      </c>
      <c r="D119" s="116">
        <f t="shared" si="1"/>
        <v>0.16378580098232493</v>
      </c>
      <c r="E119" s="102">
        <f t="shared" ca="1" si="1"/>
        <v>-0.17580961276554502</v>
      </c>
      <c r="F119" s="118"/>
      <c r="G119" s="115"/>
      <c r="H119" s="116"/>
      <c r="I119" s="116"/>
      <c r="K119" s="118"/>
      <c r="L119" s="115"/>
      <c r="M119" s="116"/>
      <c r="N119" s="116"/>
    </row>
    <row r="120" spans="1:14" ht="13.8" thickBot="1" x14ac:dyDescent="0.3">
      <c r="A120" s="118">
        <v>43906.666666666664</v>
      </c>
      <c r="B120" s="115">
        <v>20.440000000000001</v>
      </c>
      <c r="C120" s="116">
        <f ca="1">IFERROR(__xludf.DUMMYFUNCTION("""COMPUTED_VALUE"""),41.44)</f>
        <v>41.44</v>
      </c>
      <c r="D120" s="116">
        <f t="shared" si="1"/>
        <v>-0.16720460773111046</v>
      </c>
      <c r="E120" s="102">
        <f t="shared" ca="1" si="1"/>
        <v>4.0379685660835579E-2</v>
      </c>
      <c r="F120" s="118"/>
      <c r="G120" s="115"/>
      <c r="H120" s="116"/>
      <c r="I120" s="116"/>
      <c r="K120" s="118"/>
      <c r="L120" s="115"/>
      <c r="M120" s="116"/>
      <c r="N120" s="116"/>
    </row>
    <row r="121" spans="1:14" ht="13.8" thickBot="1" x14ac:dyDescent="0.3">
      <c r="A121" s="118">
        <v>43907.666666666664</v>
      </c>
      <c r="B121" s="115">
        <v>21.98</v>
      </c>
      <c r="C121" s="116">
        <f ca="1">IFERROR(__xludf.DUMMYFUNCTION("""COMPUTED_VALUE"""),38.03)</f>
        <v>38.03</v>
      </c>
      <c r="D121" s="116">
        <f t="shared" si="1"/>
        <v>7.2639183639971489E-2</v>
      </c>
      <c r="E121" s="102">
        <f t="shared" ca="1" si="1"/>
        <v>-8.5871276011059261E-2</v>
      </c>
      <c r="F121" s="118"/>
      <c r="G121" s="115"/>
      <c r="H121" s="116"/>
      <c r="I121" s="116"/>
      <c r="K121" s="118"/>
      <c r="L121" s="115"/>
      <c r="M121" s="116"/>
      <c r="N121" s="116"/>
    </row>
    <row r="122" spans="1:14" ht="13.8" thickBot="1" x14ac:dyDescent="0.3">
      <c r="A122" s="118">
        <v>43908.666666666664</v>
      </c>
      <c r="B122" s="115">
        <v>20.79</v>
      </c>
      <c r="C122" s="116">
        <f ca="1">IFERROR(__xludf.DUMMYFUNCTION("""COMPUTED_VALUE"""),38.37)</f>
        <v>38.369999999999997</v>
      </c>
      <c r="D122" s="116">
        <f t="shared" si="1"/>
        <v>-5.5660847105553857E-2</v>
      </c>
      <c r="E122" s="102">
        <f t="shared" ca="1" si="1"/>
        <v>8.9005823186926788E-3</v>
      </c>
      <c r="F122" s="118"/>
      <c r="G122" s="115"/>
      <c r="H122" s="116"/>
      <c r="I122" s="116"/>
      <c r="K122" s="118"/>
      <c r="L122" s="115"/>
      <c r="M122" s="116"/>
      <c r="N122" s="116"/>
    </row>
    <row r="123" spans="1:14" ht="13.8" thickBot="1" x14ac:dyDescent="0.3">
      <c r="A123" s="118">
        <v>43909.666666666664</v>
      </c>
      <c r="B123" s="115">
        <v>21.2</v>
      </c>
      <c r="C123" s="116">
        <f ca="1">IFERROR(__xludf.DUMMYFUNCTION("""COMPUTED_VALUE"""),32.28)</f>
        <v>32.28</v>
      </c>
      <c r="D123" s="116">
        <f t="shared" si="1"/>
        <v>1.9529079808045295E-2</v>
      </c>
      <c r="E123" s="102">
        <f t="shared" ca="1" si="1"/>
        <v>-0.17282806085711291</v>
      </c>
      <c r="F123" s="118"/>
      <c r="G123" s="115"/>
      <c r="H123" s="116"/>
      <c r="I123" s="116"/>
      <c r="K123" s="118"/>
      <c r="L123" s="115"/>
      <c r="M123" s="116"/>
      <c r="N123" s="116"/>
    </row>
    <row r="124" spans="1:14" ht="13.8" thickBot="1" x14ac:dyDescent="0.3">
      <c r="A124" s="118">
        <v>43910.666666666664</v>
      </c>
      <c r="B124" s="115">
        <v>19.670000000000002</v>
      </c>
      <c r="C124" s="116">
        <f ca="1">IFERROR(__xludf.DUMMYFUNCTION("""COMPUTED_VALUE"""),32)</f>
        <v>32</v>
      </c>
      <c r="D124" s="116">
        <f t="shared" si="1"/>
        <v>-7.4906549276998954E-2</v>
      </c>
      <c r="E124" s="102">
        <f t="shared" ca="1" si="1"/>
        <v>-8.7119406020215676E-3</v>
      </c>
      <c r="F124" s="118"/>
      <c r="G124" s="115"/>
      <c r="H124" s="116"/>
      <c r="I124" s="116"/>
      <c r="K124" s="118"/>
      <c r="L124" s="115"/>
      <c r="M124" s="116"/>
      <c r="N124" s="116"/>
    </row>
    <row r="125" spans="1:14" ht="13.8" thickBot="1" x14ac:dyDescent="0.3">
      <c r="A125" s="118">
        <v>43913.666666666664</v>
      </c>
      <c r="B125" s="115">
        <v>18.079999999999998</v>
      </c>
      <c r="C125" s="116">
        <f ca="1">IFERROR(__xludf.DUMMYFUNCTION("""COMPUTED_VALUE"""),36.46)</f>
        <v>36.46</v>
      </c>
      <c r="D125" s="116">
        <f t="shared" si="1"/>
        <v>-8.4288277436937453E-2</v>
      </c>
      <c r="E125" s="102">
        <f t="shared" ca="1" si="1"/>
        <v>0.13047986645079046</v>
      </c>
      <c r="F125" s="118"/>
      <c r="G125" s="115"/>
      <c r="H125" s="116"/>
      <c r="I125" s="116"/>
      <c r="K125" s="118"/>
      <c r="L125" s="115"/>
      <c r="M125" s="116"/>
      <c r="N125" s="116"/>
    </row>
    <row r="126" spans="1:14" ht="13.8" thickBot="1" x14ac:dyDescent="0.3">
      <c r="A126" s="118">
        <v>43914.666666666664</v>
      </c>
      <c r="B126" s="115">
        <v>21.03</v>
      </c>
      <c r="C126" s="116">
        <f ca="1">IFERROR(__xludf.DUMMYFUNCTION("""COMPUTED_VALUE"""),32.78)</f>
        <v>32.78</v>
      </c>
      <c r="D126" s="116">
        <f t="shared" si="1"/>
        <v>0.15114363475057818</v>
      </c>
      <c r="E126" s="102">
        <f t="shared" ca="1" si="1"/>
        <v>-0.10639719593483341</v>
      </c>
      <c r="F126" s="118"/>
      <c r="G126" s="115"/>
      <c r="H126" s="116"/>
      <c r="I126" s="116"/>
      <c r="K126" s="118"/>
      <c r="L126" s="115"/>
      <c r="M126" s="116"/>
      <c r="N126" s="116"/>
    </row>
    <row r="127" spans="1:14" ht="13.8" thickBot="1" x14ac:dyDescent="0.3">
      <c r="A127" s="118">
        <v>43915.666666666664</v>
      </c>
      <c r="B127" s="115">
        <v>21.1</v>
      </c>
      <c r="C127" s="116">
        <f ca="1">IFERROR(__xludf.DUMMYFUNCTION("""COMPUTED_VALUE"""),37.09)</f>
        <v>37.090000000000003</v>
      </c>
      <c r="D127" s="116">
        <f t="shared" si="1"/>
        <v>3.3230507674123539E-3</v>
      </c>
      <c r="E127" s="102">
        <f t="shared" ca="1" si="1"/>
        <v>0.12352881818581578</v>
      </c>
      <c r="F127" s="118"/>
      <c r="G127" s="115"/>
      <c r="H127" s="116"/>
      <c r="I127" s="116"/>
      <c r="K127" s="118"/>
      <c r="L127" s="115"/>
      <c r="M127" s="116"/>
      <c r="N127" s="116"/>
    </row>
    <row r="128" spans="1:14" ht="13.8" thickBot="1" x14ac:dyDescent="0.3">
      <c r="A128" s="118">
        <v>43916.666666666664</v>
      </c>
      <c r="B128" s="115">
        <v>22.72</v>
      </c>
      <c r="C128" s="116">
        <f ca="1">IFERROR(__xludf.DUMMYFUNCTION("""COMPUTED_VALUE"""),38.81)</f>
        <v>38.81</v>
      </c>
      <c r="D128" s="116">
        <f t="shared" si="1"/>
        <v>7.3972553370929603E-2</v>
      </c>
      <c r="E128" s="102">
        <f t="shared" ca="1" si="1"/>
        <v>4.5330553879315554E-2</v>
      </c>
      <c r="F128" s="118"/>
      <c r="G128" s="115"/>
      <c r="H128" s="116"/>
      <c r="I128" s="116"/>
      <c r="K128" s="118"/>
      <c r="L128" s="115"/>
      <c r="M128" s="116"/>
      <c r="N128" s="116"/>
    </row>
    <row r="129" spans="1:14" ht="13.8" thickBot="1" x14ac:dyDescent="0.3">
      <c r="A129" s="118">
        <v>43917.666666666664</v>
      </c>
      <c r="B129" s="115">
        <v>21.6</v>
      </c>
      <c r="C129" s="116">
        <f ca="1">IFERROR(__xludf.DUMMYFUNCTION("""COMPUTED_VALUE"""),41.63)</f>
        <v>41.63</v>
      </c>
      <c r="D129" s="116">
        <f t="shared" si="1"/>
        <v>-5.0552279162831212E-2</v>
      </c>
      <c r="E129" s="102">
        <f t="shared" ca="1" si="1"/>
        <v>7.014311582606915E-2</v>
      </c>
      <c r="F129" s="118"/>
      <c r="G129" s="115"/>
      <c r="H129" s="116"/>
      <c r="I129" s="116"/>
      <c r="K129" s="118"/>
      <c r="L129" s="115"/>
      <c r="M129" s="116"/>
      <c r="N129" s="116"/>
    </row>
    <row r="130" spans="1:14" ht="13.8" thickBot="1" x14ac:dyDescent="0.3">
      <c r="A130" s="118">
        <v>43920.666666666664</v>
      </c>
      <c r="B130" s="115">
        <v>22.04</v>
      </c>
      <c r="C130" s="116">
        <f ca="1">IFERROR(__xludf.DUMMYFUNCTION("""COMPUTED_VALUE"""),40.25)</f>
        <v>40.25</v>
      </c>
      <c r="D130" s="116">
        <f t="shared" si="1"/>
        <v>2.0165669594594419E-2</v>
      </c>
      <c r="E130" s="102">
        <f t="shared" ca="1" si="1"/>
        <v>-3.3711057342311723E-2</v>
      </c>
      <c r="F130" s="118"/>
      <c r="G130" s="115"/>
      <c r="H130" s="116"/>
      <c r="I130" s="116"/>
      <c r="K130" s="118"/>
      <c r="L130" s="115"/>
      <c r="M130" s="116"/>
      <c r="N130" s="116"/>
    </row>
    <row r="131" spans="1:14" ht="13.8" thickBot="1" x14ac:dyDescent="0.3">
      <c r="A131" s="118">
        <v>43921.666666666664</v>
      </c>
      <c r="B131" s="115">
        <v>21.23</v>
      </c>
      <c r="C131" s="116">
        <f ca="1">IFERROR(__xludf.DUMMYFUNCTION("""COMPUTED_VALUE"""),39.59)</f>
        <v>39.590000000000003</v>
      </c>
      <c r="D131" s="116">
        <f t="shared" si="1"/>
        <v>-3.7443708569548949E-2</v>
      </c>
      <c r="E131" s="102">
        <f t="shared" ca="1" si="1"/>
        <v>-1.6533442746533029E-2</v>
      </c>
      <c r="F131" s="118"/>
      <c r="G131" s="115"/>
      <c r="H131" s="116"/>
      <c r="I131" s="116"/>
      <c r="K131" s="118"/>
      <c r="L131" s="115"/>
      <c r="M131" s="116"/>
      <c r="N131" s="116"/>
    </row>
    <row r="132" spans="1:14" ht="13.8" thickBot="1" x14ac:dyDescent="0.3">
      <c r="A132" s="118">
        <v>44200.666666666664</v>
      </c>
      <c r="B132" s="115">
        <v>30.03</v>
      </c>
      <c r="C132" s="116">
        <f ca="1">IFERROR(__xludf.DUMMYFUNCTION("""COMPUTED_VALUE"""),53.73)</f>
        <v>53.73</v>
      </c>
      <c r="D132" s="116">
        <f t="shared" si="1"/>
        <v>0.34678160628007415</v>
      </c>
      <c r="E132" s="102">
        <f t="shared" ca="1" si="1"/>
        <v>0.30539494362269065</v>
      </c>
      <c r="F132" s="118"/>
      <c r="G132" s="115"/>
      <c r="H132" s="116"/>
      <c r="I132" s="116"/>
      <c r="K132" s="118"/>
      <c r="L132" s="115"/>
      <c r="M132" s="116"/>
      <c r="N132" s="116"/>
    </row>
    <row r="133" spans="1:14" ht="13.8" thickBot="1" x14ac:dyDescent="0.3">
      <c r="A133" s="118">
        <v>44201.666666666664</v>
      </c>
      <c r="B133" s="115">
        <v>30.26</v>
      </c>
      <c r="C133" s="116">
        <f ca="1">IFERROR(__xludf.DUMMYFUNCTION("""COMPUTED_VALUE"""),54.68)</f>
        <v>54.68</v>
      </c>
      <c r="D133" s="116">
        <f t="shared" si="1"/>
        <v>7.6298263649710249E-3</v>
      </c>
      <c r="E133" s="102">
        <f t="shared" ca="1" si="1"/>
        <v>1.7526507115018658E-2</v>
      </c>
      <c r="F133" s="118"/>
      <c r="G133" s="115"/>
      <c r="H133" s="116"/>
      <c r="I133" s="116"/>
      <c r="K133" s="118"/>
      <c r="L133" s="115"/>
      <c r="M133" s="116"/>
      <c r="N133" s="116"/>
    </row>
    <row r="134" spans="1:14" ht="13.8" thickBot="1" x14ac:dyDescent="0.3">
      <c r="A134" s="118">
        <v>44202.666666666664</v>
      </c>
      <c r="B134" s="115">
        <v>32.15</v>
      </c>
      <c r="C134" s="116">
        <f ca="1">IFERROR(__xludf.DUMMYFUNCTION("""COMPUTED_VALUE"""),52.98)</f>
        <v>52.98</v>
      </c>
      <c r="D134" s="116">
        <f t="shared" ref="D134:E192" si="2">LN(B134/B133)</f>
        <v>6.0585742323418436E-2</v>
      </c>
      <c r="E134" s="102">
        <f t="shared" ca="1" si="2"/>
        <v>-3.1583528011825186E-2</v>
      </c>
      <c r="F134" s="118"/>
      <c r="G134" s="115"/>
      <c r="H134" s="116"/>
      <c r="I134" s="116"/>
      <c r="K134" s="118"/>
      <c r="L134" s="115"/>
      <c r="M134" s="116"/>
      <c r="N134" s="116"/>
    </row>
    <row r="135" spans="1:14" ht="13.8" thickBot="1" x14ac:dyDescent="0.3">
      <c r="A135" s="118">
        <v>44203.666666666664</v>
      </c>
      <c r="B135" s="115">
        <v>32.86</v>
      </c>
      <c r="C135" s="116">
        <f ca="1">IFERROR(__xludf.DUMMYFUNCTION("""COMPUTED_VALUE"""),53.94)</f>
        <v>53.94</v>
      </c>
      <c r="D135" s="116">
        <f t="shared" si="2"/>
        <v>2.1843661925493751E-2</v>
      </c>
      <c r="E135" s="102">
        <f t="shared" ca="1" si="2"/>
        <v>1.795783386766036E-2</v>
      </c>
      <c r="F135" s="118"/>
      <c r="G135" s="115"/>
      <c r="H135" s="116"/>
      <c r="I135" s="116"/>
      <c r="K135" s="118"/>
      <c r="L135" s="115"/>
      <c r="M135" s="116"/>
      <c r="N135" s="116"/>
    </row>
    <row r="136" spans="1:14" ht="13.8" thickBot="1" x14ac:dyDescent="0.3">
      <c r="A136" s="118">
        <v>44204.666666666664</v>
      </c>
      <c r="B136" s="115">
        <v>32.53</v>
      </c>
      <c r="C136" s="116">
        <f ca="1">IFERROR(__xludf.DUMMYFUNCTION("""COMPUTED_VALUE"""),55.03)</f>
        <v>55.03</v>
      </c>
      <c r="D136" s="116">
        <f t="shared" si="2"/>
        <v>-1.009337212386186E-2</v>
      </c>
      <c r="E136" s="102">
        <f t="shared" ca="1" si="2"/>
        <v>2.0006173360083649E-2</v>
      </c>
      <c r="F136" s="118"/>
      <c r="G136" s="115"/>
      <c r="H136" s="116"/>
      <c r="I136" s="116"/>
      <c r="K136" s="118"/>
      <c r="L136" s="115"/>
      <c r="M136" s="116"/>
      <c r="N136" s="116"/>
    </row>
    <row r="137" spans="1:14" ht="13.8" thickBot="1" x14ac:dyDescent="0.3">
      <c r="A137" s="118">
        <v>44207.666666666664</v>
      </c>
      <c r="B137" s="115">
        <v>33.07</v>
      </c>
      <c r="C137" s="116">
        <f ca="1">IFERROR(__xludf.DUMMYFUNCTION("""COMPUTED_VALUE"""),54.48)</f>
        <v>54.48</v>
      </c>
      <c r="D137" s="116">
        <f t="shared" si="2"/>
        <v>1.6463786508441363E-2</v>
      </c>
      <c r="E137" s="102">
        <f t="shared" ca="1" si="2"/>
        <v>-1.0044829230410585E-2</v>
      </c>
      <c r="F137" s="118"/>
      <c r="G137" s="115"/>
      <c r="H137" s="116"/>
      <c r="I137" s="116"/>
      <c r="K137" s="118"/>
      <c r="L137" s="115"/>
      <c r="M137" s="116"/>
      <c r="N137" s="116"/>
    </row>
    <row r="138" spans="1:14" ht="13.8" thickBot="1" x14ac:dyDescent="0.3">
      <c r="A138" s="118">
        <v>44208.666666666664</v>
      </c>
      <c r="B138" s="115">
        <v>33.659999999999997</v>
      </c>
      <c r="C138" s="116">
        <f ca="1">IFERROR(__xludf.DUMMYFUNCTION("""COMPUTED_VALUE"""),56.39)</f>
        <v>56.39</v>
      </c>
      <c r="D138" s="116">
        <f t="shared" si="2"/>
        <v>1.7683661768958525E-2</v>
      </c>
      <c r="E138" s="102">
        <f t="shared" ca="1" si="2"/>
        <v>3.4458175977833953E-2</v>
      </c>
      <c r="F138" s="118"/>
      <c r="G138" s="115"/>
      <c r="H138" s="116"/>
      <c r="I138" s="116"/>
      <c r="K138" s="118"/>
      <c r="L138" s="115"/>
      <c r="M138" s="116"/>
      <c r="N138" s="116"/>
    </row>
    <row r="139" spans="1:14" ht="13.8" thickBot="1" x14ac:dyDescent="0.3">
      <c r="A139" s="118">
        <v>44209.666666666664</v>
      </c>
      <c r="B139" s="115">
        <v>33.46</v>
      </c>
      <c r="C139" s="116">
        <f ca="1">IFERROR(__xludf.DUMMYFUNCTION("""COMPUTED_VALUE"""),54.32)</f>
        <v>54.32</v>
      </c>
      <c r="D139" s="116">
        <f t="shared" si="2"/>
        <v>-5.9594932039819222E-3</v>
      </c>
      <c r="E139" s="102">
        <f t="shared" ca="1" si="2"/>
        <v>-3.7399354568650053E-2</v>
      </c>
      <c r="F139" s="118"/>
      <c r="G139" s="115"/>
      <c r="H139" s="116"/>
      <c r="I139" s="116"/>
      <c r="K139" s="118"/>
      <c r="L139" s="115"/>
      <c r="M139" s="116"/>
      <c r="N139" s="116"/>
    </row>
    <row r="140" spans="1:14" ht="13.8" thickBot="1" x14ac:dyDescent="0.3">
      <c r="A140" s="118">
        <v>44210.666666666664</v>
      </c>
      <c r="B140" s="115">
        <v>33.99</v>
      </c>
      <c r="C140" s="116">
        <f ca="1">IFERROR(__xludf.DUMMYFUNCTION("""COMPUTED_VALUE"""),52.83)</f>
        <v>52.83</v>
      </c>
      <c r="D140" s="116">
        <f t="shared" si="2"/>
        <v>1.5715668149346808E-2</v>
      </c>
      <c r="E140" s="102">
        <f t="shared" ca="1" si="2"/>
        <v>-2.7813272074216237E-2</v>
      </c>
      <c r="F140" s="118"/>
      <c r="G140" s="115"/>
      <c r="H140" s="116"/>
      <c r="I140" s="116"/>
      <c r="K140" s="118"/>
      <c r="L140" s="115"/>
      <c r="M140" s="116"/>
      <c r="N140" s="116"/>
    </row>
    <row r="141" spans="1:14" ht="13.8" thickBot="1" x14ac:dyDescent="0.3">
      <c r="A141" s="118">
        <v>44211.666666666664</v>
      </c>
      <c r="B141" s="115">
        <v>33.01</v>
      </c>
      <c r="C141" s="116">
        <f ca="1">IFERROR(__xludf.DUMMYFUNCTION("""COMPUTED_VALUE"""),52.8)</f>
        <v>52.8</v>
      </c>
      <c r="D141" s="116">
        <f t="shared" si="2"/>
        <v>-2.9255817842923099E-2</v>
      </c>
      <c r="E141" s="102">
        <f t="shared" ca="1" si="2"/>
        <v>-5.6802046400867439E-4</v>
      </c>
      <c r="F141" s="118"/>
      <c r="G141" s="115"/>
      <c r="H141" s="116"/>
      <c r="I141" s="116"/>
      <c r="K141" s="118"/>
      <c r="L141" s="115"/>
      <c r="M141" s="116"/>
      <c r="N141" s="116"/>
    </row>
    <row r="142" spans="1:14" ht="13.8" thickBot="1" x14ac:dyDescent="0.3">
      <c r="A142" s="118">
        <v>44215.666666666664</v>
      </c>
      <c r="B142" s="115">
        <v>32.770000000000003</v>
      </c>
      <c r="C142" s="116">
        <f ca="1">IFERROR(__xludf.DUMMYFUNCTION("""COMPUTED_VALUE"""),52.13)</f>
        <v>52.13</v>
      </c>
      <c r="D142" s="116">
        <f t="shared" si="2"/>
        <v>-7.29708315437823E-3</v>
      </c>
      <c r="E142" s="102">
        <f t="shared" ca="1" si="2"/>
        <v>-1.2770591932201128E-2</v>
      </c>
      <c r="F142" s="118"/>
      <c r="G142" s="115"/>
      <c r="H142" s="116"/>
      <c r="I142" s="116"/>
      <c r="K142" s="118"/>
      <c r="L142" s="115"/>
      <c r="M142" s="116"/>
      <c r="N142" s="116"/>
    </row>
    <row r="143" spans="1:14" ht="13.8" thickBot="1" x14ac:dyDescent="0.3">
      <c r="A143" s="118">
        <v>44216.666666666664</v>
      </c>
      <c r="B143" s="115">
        <v>32.340000000000003</v>
      </c>
      <c r="C143" s="116">
        <f ca="1">IFERROR(__xludf.DUMMYFUNCTION("""COMPUTED_VALUE"""),51.21)</f>
        <v>51.21</v>
      </c>
      <c r="D143" s="116">
        <f t="shared" si="2"/>
        <v>-1.3208608561762427E-2</v>
      </c>
      <c r="E143" s="102">
        <f t="shared" ca="1" si="2"/>
        <v>-1.7805773305555647E-2</v>
      </c>
      <c r="F143" s="118"/>
      <c r="G143" s="115"/>
      <c r="H143" s="116"/>
      <c r="I143" s="116"/>
      <c r="K143" s="118"/>
      <c r="L143" s="115"/>
      <c r="M143" s="116"/>
      <c r="N143" s="116"/>
    </row>
    <row r="144" spans="1:14" ht="13.8" thickBot="1" x14ac:dyDescent="0.3">
      <c r="A144" s="118">
        <v>44217.666666666664</v>
      </c>
      <c r="B144" s="115">
        <v>31.77</v>
      </c>
      <c r="C144" s="116">
        <f ca="1">IFERROR(__xludf.DUMMYFUNCTION("""COMPUTED_VALUE"""),49.81)</f>
        <v>49.81</v>
      </c>
      <c r="D144" s="116">
        <f t="shared" si="2"/>
        <v>-1.7782405867536148E-2</v>
      </c>
      <c r="E144" s="102">
        <f t="shared" ca="1" si="2"/>
        <v>-2.7719058389266905E-2</v>
      </c>
      <c r="F144" s="118"/>
      <c r="G144" s="115"/>
      <c r="H144" s="116"/>
      <c r="I144" s="116"/>
      <c r="K144" s="118"/>
      <c r="L144" s="115"/>
      <c r="M144" s="116"/>
      <c r="N144" s="116"/>
    </row>
    <row r="145" spans="1:14" ht="13.8" thickBot="1" x14ac:dyDescent="0.3">
      <c r="A145" s="118">
        <v>44218.666666666664</v>
      </c>
      <c r="B145" s="115">
        <v>31.55</v>
      </c>
      <c r="C145" s="116">
        <f ca="1">IFERROR(__xludf.DUMMYFUNCTION("""COMPUTED_VALUE"""),48.95)</f>
        <v>48.95</v>
      </c>
      <c r="D145" s="116">
        <f t="shared" si="2"/>
        <v>-6.9488592942025798E-3</v>
      </c>
      <c r="E145" s="102">
        <f t="shared" ca="1" si="2"/>
        <v>-1.7416398108672671E-2</v>
      </c>
      <c r="F145" s="118"/>
      <c r="G145" s="115"/>
      <c r="H145" s="116"/>
      <c r="I145" s="116"/>
      <c r="K145" s="118"/>
      <c r="L145" s="115"/>
      <c r="M145" s="116"/>
      <c r="N145" s="116"/>
    </row>
    <row r="146" spans="1:14" ht="13.8" thickBot="1" x14ac:dyDescent="0.3">
      <c r="A146" s="118">
        <v>44221.666666666664</v>
      </c>
      <c r="B146" s="115">
        <v>31.16</v>
      </c>
      <c r="C146" s="116">
        <f ca="1">IFERROR(__xludf.DUMMYFUNCTION("""COMPUTED_VALUE"""),49.73)</f>
        <v>49.73</v>
      </c>
      <c r="D146" s="116">
        <f t="shared" si="2"/>
        <v>-1.2438367984674653E-2</v>
      </c>
      <c r="E146" s="102">
        <f t="shared" ca="1" si="2"/>
        <v>1.5809003750127591E-2</v>
      </c>
      <c r="F146" s="118"/>
      <c r="G146" s="115"/>
      <c r="H146" s="116"/>
      <c r="I146" s="116"/>
      <c r="K146" s="118"/>
      <c r="L146" s="115"/>
      <c r="M146" s="116"/>
      <c r="N146" s="116"/>
    </row>
    <row r="147" spans="1:14" ht="13.8" thickBot="1" x14ac:dyDescent="0.3">
      <c r="A147" s="118">
        <v>44222.666666666664</v>
      </c>
      <c r="B147" s="115">
        <v>30.94</v>
      </c>
      <c r="C147" s="116">
        <f ca="1">IFERROR(__xludf.DUMMYFUNCTION("""COMPUTED_VALUE"""),49.33)</f>
        <v>49.33</v>
      </c>
      <c r="D147" s="116">
        <f t="shared" si="2"/>
        <v>-7.0853758576273759E-3</v>
      </c>
      <c r="E147" s="102">
        <f t="shared" ca="1" si="2"/>
        <v>-8.0759574810002378E-3</v>
      </c>
      <c r="F147" s="118"/>
      <c r="G147" s="115"/>
      <c r="H147" s="116"/>
      <c r="I147" s="116"/>
      <c r="K147" s="118"/>
      <c r="L147" s="115"/>
      <c r="M147" s="116"/>
      <c r="N147" s="116"/>
    </row>
    <row r="148" spans="1:14" ht="13.8" thickBot="1" x14ac:dyDescent="0.3">
      <c r="A148" s="118">
        <v>44223.666666666664</v>
      </c>
      <c r="B148" s="115">
        <v>29.83</v>
      </c>
      <c r="C148" s="116">
        <f ca="1">IFERROR(__xludf.DUMMYFUNCTION("""COMPUTED_VALUE"""),49.75)</f>
        <v>49.75</v>
      </c>
      <c r="D148" s="116">
        <f t="shared" si="2"/>
        <v>-3.6535246618263011E-2</v>
      </c>
      <c r="E148" s="102">
        <f t="shared" ca="1" si="2"/>
        <v>8.4780483589550152E-3</v>
      </c>
      <c r="F148" s="118"/>
      <c r="G148" s="115"/>
      <c r="H148" s="116"/>
      <c r="I148" s="116"/>
      <c r="K148" s="118"/>
      <c r="L148" s="115"/>
      <c r="M148" s="116"/>
      <c r="N148" s="116"/>
    </row>
    <row r="149" spans="1:14" ht="13.8" thickBot="1" x14ac:dyDescent="0.3">
      <c r="A149" s="118">
        <v>44224.666666666664</v>
      </c>
      <c r="B149" s="115">
        <v>30.32</v>
      </c>
      <c r="C149" s="116">
        <f ca="1">IFERROR(__xludf.DUMMYFUNCTION("""COMPUTED_VALUE"""),48.5)</f>
        <v>48.5</v>
      </c>
      <c r="D149" s="116">
        <f t="shared" si="2"/>
        <v>1.6292962247513917E-2</v>
      </c>
      <c r="E149" s="102">
        <f t="shared" ca="1" si="2"/>
        <v>-2.5446665661164262E-2</v>
      </c>
      <c r="F149" s="118"/>
      <c r="G149" s="115"/>
      <c r="H149" s="116"/>
      <c r="I149" s="116"/>
      <c r="K149" s="118"/>
      <c r="L149" s="115"/>
      <c r="M149" s="116"/>
      <c r="N149" s="116"/>
    </row>
    <row r="150" spans="1:14" ht="13.8" thickBot="1" x14ac:dyDescent="0.3">
      <c r="A150" s="118">
        <v>44225.666666666664</v>
      </c>
      <c r="B150" s="115">
        <v>29.65</v>
      </c>
      <c r="C150" s="116">
        <f ca="1">IFERROR(__xludf.DUMMYFUNCTION("""COMPUTED_VALUE"""),47.89)</f>
        <v>47.89</v>
      </c>
      <c r="D150" s="116">
        <f t="shared" si="2"/>
        <v>-2.2345435330436553E-2</v>
      </c>
      <c r="E150" s="102">
        <f t="shared" ca="1" si="2"/>
        <v>-1.2657083588919517E-2</v>
      </c>
      <c r="F150" s="118"/>
      <c r="G150" s="115"/>
      <c r="H150" s="116"/>
      <c r="I150" s="116"/>
      <c r="K150" s="118"/>
      <c r="L150" s="115"/>
      <c r="M150" s="116"/>
      <c r="N150" s="116"/>
    </row>
    <row r="151" spans="1:14" ht="13.8" thickBot="1" x14ac:dyDescent="0.3">
      <c r="A151" s="118">
        <v>44228.666666666664</v>
      </c>
      <c r="B151" s="115">
        <v>29.96</v>
      </c>
      <c r="C151" s="116">
        <f ca="1">IFERROR(__xludf.DUMMYFUNCTION("""COMPUTED_VALUE"""),49.76)</f>
        <v>49.76</v>
      </c>
      <c r="D151" s="116">
        <f t="shared" si="2"/>
        <v>1.0401033205284353E-2</v>
      </c>
      <c r="E151" s="102">
        <f t="shared" ca="1" si="2"/>
        <v>3.8304734076405979E-2</v>
      </c>
      <c r="F151" s="118"/>
      <c r="G151" s="115"/>
      <c r="H151" s="116"/>
      <c r="I151" s="116"/>
      <c r="K151" s="118"/>
      <c r="L151" s="115"/>
      <c r="M151" s="116"/>
      <c r="N151" s="116"/>
    </row>
    <row r="152" spans="1:14" ht="13.8" thickBot="1" x14ac:dyDescent="0.3">
      <c r="A152" s="118">
        <v>44229.666666666664</v>
      </c>
      <c r="B152" s="115">
        <v>31.03</v>
      </c>
      <c r="C152" s="116">
        <f ca="1">IFERROR(__xludf.DUMMYFUNCTION("""COMPUTED_VALUE"""),49.89)</f>
        <v>49.89</v>
      </c>
      <c r="D152" s="116">
        <f t="shared" si="2"/>
        <v>3.5091319811270193E-2</v>
      </c>
      <c r="E152" s="102">
        <f t="shared" ca="1" si="2"/>
        <v>2.6091334420219555E-3</v>
      </c>
      <c r="F152" s="118"/>
      <c r="G152" s="115"/>
      <c r="H152" s="116"/>
      <c r="I152" s="116"/>
      <c r="K152" s="118"/>
      <c r="L152" s="115"/>
      <c r="M152" s="116"/>
      <c r="N152" s="116"/>
    </row>
    <row r="153" spans="1:14" ht="13.8" thickBot="1" x14ac:dyDescent="0.3">
      <c r="A153" s="118">
        <v>44230.666666666664</v>
      </c>
      <c r="B153" s="115">
        <v>31.58</v>
      </c>
      <c r="C153" s="116">
        <f ca="1">IFERROR(__xludf.DUMMYFUNCTION("""COMPUTED_VALUE"""),51.72)</f>
        <v>51.72</v>
      </c>
      <c r="D153" s="116">
        <f t="shared" si="2"/>
        <v>1.7569530367207077E-2</v>
      </c>
      <c r="E153" s="102">
        <f t="shared" ca="1" si="2"/>
        <v>3.6023972030710595E-2</v>
      </c>
      <c r="F153" s="118"/>
      <c r="G153" s="115"/>
      <c r="H153" s="116"/>
      <c r="I153" s="116"/>
      <c r="K153" s="118"/>
      <c r="L153" s="115"/>
      <c r="M153" s="116"/>
      <c r="N153" s="116"/>
    </row>
    <row r="154" spans="1:14" ht="13.8" thickBot="1" x14ac:dyDescent="0.3">
      <c r="A154" s="118">
        <v>44231.666666666664</v>
      </c>
      <c r="B154" s="115">
        <v>32.5</v>
      </c>
      <c r="C154" s="116">
        <f ca="1">IFERROR(__xludf.DUMMYFUNCTION("""COMPUTED_VALUE"""),52.31)</f>
        <v>52.31</v>
      </c>
      <c r="D154" s="116">
        <f t="shared" si="2"/>
        <v>2.8716080508195845E-2</v>
      </c>
      <c r="E154" s="102">
        <f t="shared" ca="1" si="2"/>
        <v>1.134300347886308E-2</v>
      </c>
      <c r="F154" s="118"/>
      <c r="G154" s="115"/>
      <c r="H154" s="116"/>
      <c r="I154" s="116"/>
      <c r="K154" s="118"/>
      <c r="L154" s="115"/>
      <c r="M154" s="116"/>
      <c r="N154" s="116"/>
    </row>
    <row r="155" spans="1:14" ht="13.8" thickBot="1" x14ac:dyDescent="0.3">
      <c r="A155" s="118">
        <v>44232.666666666664</v>
      </c>
      <c r="B155" s="115">
        <v>32.369999999999997</v>
      </c>
      <c r="C155" s="116">
        <f ca="1">IFERROR(__xludf.DUMMYFUNCTION("""COMPUTED_VALUE"""),52.4)</f>
        <v>52.4</v>
      </c>
      <c r="D155" s="116">
        <f t="shared" si="2"/>
        <v>-4.0080213975389337E-3</v>
      </c>
      <c r="E155" s="102">
        <f t="shared" ca="1" si="2"/>
        <v>1.7190339444767295E-3</v>
      </c>
      <c r="F155" s="118"/>
      <c r="G155" s="115"/>
      <c r="H155" s="116"/>
      <c r="I155" s="116"/>
      <c r="K155" s="118"/>
      <c r="L155" s="115"/>
      <c r="M155" s="116"/>
      <c r="N155" s="116"/>
    </row>
    <row r="156" spans="1:14" ht="13.8" thickBot="1" x14ac:dyDescent="0.3">
      <c r="A156" s="118">
        <v>44235.666666666664</v>
      </c>
      <c r="B156" s="115">
        <v>33.090000000000003</v>
      </c>
      <c r="C156" s="116">
        <f ca="1">IFERROR(__xludf.DUMMYFUNCTION("""COMPUTED_VALUE"""),52.13)</f>
        <v>52.13</v>
      </c>
      <c r="D156" s="116">
        <f t="shared" si="2"/>
        <v>2.1999053995367997E-2</v>
      </c>
      <c r="E156" s="102">
        <f t="shared" ca="1" si="2"/>
        <v>-5.1659925469818247E-3</v>
      </c>
      <c r="F156" s="118"/>
      <c r="G156" s="115"/>
      <c r="H156" s="116"/>
      <c r="I156" s="116"/>
      <c r="K156" s="118"/>
      <c r="L156" s="115"/>
      <c r="M156" s="116"/>
      <c r="N156" s="116"/>
    </row>
    <row r="157" spans="1:14" ht="13.8" thickBot="1" x14ac:dyDescent="0.3">
      <c r="A157" s="118">
        <v>44236.666666666664</v>
      </c>
      <c r="B157" s="115">
        <v>32.950000000000003</v>
      </c>
      <c r="C157" s="116">
        <f ca="1">IFERROR(__xludf.DUMMYFUNCTION("""COMPUTED_VALUE"""),52.49)</f>
        <v>52.49</v>
      </c>
      <c r="D157" s="116">
        <f t="shared" si="2"/>
        <v>-4.239860985004589E-3</v>
      </c>
      <c r="E157" s="102">
        <f t="shared" ca="1" si="2"/>
        <v>6.8820764841938152E-3</v>
      </c>
      <c r="F157" s="118"/>
      <c r="G157" s="115"/>
      <c r="H157" s="116"/>
      <c r="I157" s="116"/>
      <c r="K157" s="118"/>
      <c r="L157" s="115"/>
      <c r="M157" s="116"/>
      <c r="N157" s="116"/>
    </row>
    <row r="158" spans="1:14" ht="13.8" thickBot="1" x14ac:dyDescent="0.3">
      <c r="A158" s="118">
        <v>44237.666666666664</v>
      </c>
      <c r="B158" s="115">
        <v>32.979999999999997</v>
      </c>
      <c r="C158" s="116">
        <f ca="1">IFERROR(__xludf.DUMMYFUNCTION("""COMPUTED_VALUE"""),52.05)</f>
        <v>52.05</v>
      </c>
      <c r="D158" s="116">
        <f t="shared" si="2"/>
        <v>9.1005618293652825E-4</v>
      </c>
      <c r="E158" s="102">
        <f t="shared" ca="1" si="2"/>
        <v>-8.4178802032306259E-3</v>
      </c>
      <c r="F158" s="118"/>
      <c r="G158" s="115"/>
      <c r="H158" s="116"/>
      <c r="I158" s="116"/>
      <c r="K158" s="118"/>
      <c r="L158" s="115"/>
      <c r="M158" s="116"/>
      <c r="N158" s="116"/>
    </row>
    <row r="159" spans="1:14" ht="13.8" thickBot="1" x14ac:dyDescent="0.3">
      <c r="A159" s="118">
        <v>44238.666666666664</v>
      </c>
      <c r="B159" s="115">
        <v>32.880000000000003</v>
      </c>
      <c r="C159" s="116">
        <f ca="1">IFERROR(__xludf.DUMMYFUNCTION("""COMPUTED_VALUE"""),52.58)</f>
        <v>52.58</v>
      </c>
      <c r="D159" s="116">
        <f t="shared" si="2"/>
        <v>-3.0367469434735548E-3</v>
      </c>
      <c r="E159" s="102">
        <f t="shared" ca="1" si="2"/>
        <v>1.0131024240757366E-2</v>
      </c>
      <c r="F159" s="118"/>
      <c r="G159" s="115"/>
      <c r="H159" s="116"/>
      <c r="I159" s="116"/>
      <c r="K159" s="118"/>
      <c r="L159" s="115"/>
      <c r="M159" s="116"/>
      <c r="N159" s="116"/>
    </row>
    <row r="160" spans="1:14" ht="13.8" thickBot="1" x14ac:dyDescent="0.3">
      <c r="A160" s="118">
        <v>44239.666666666664</v>
      </c>
      <c r="B160" s="115">
        <v>33.369999999999997</v>
      </c>
      <c r="C160" s="116">
        <f ca="1">IFERROR(__xludf.DUMMYFUNCTION("""COMPUTED_VALUE"""),52.91)</f>
        <v>52.91</v>
      </c>
      <c r="D160" s="116">
        <f t="shared" si="2"/>
        <v>1.4792722575303251E-2</v>
      </c>
      <c r="E160" s="102">
        <f t="shared" ca="1" si="2"/>
        <v>6.2565376143051375E-3</v>
      </c>
      <c r="F160" s="118"/>
      <c r="G160" s="115"/>
      <c r="H160" s="116"/>
      <c r="I160" s="116"/>
      <c r="K160" s="118"/>
      <c r="L160" s="115"/>
      <c r="M160" s="116"/>
      <c r="N160" s="116"/>
    </row>
    <row r="161" spans="1:14" ht="13.8" thickBot="1" x14ac:dyDescent="0.3">
      <c r="A161" s="118">
        <v>44243.666666666664</v>
      </c>
      <c r="B161" s="115">
        <v>34.270000000000003</v>
      </c>
      <c r="C161" s="116">
        <f ca="1">IFERROR(__xludf.DUMMYFUNCTION("""COMPUTED_VALUE"""),52.74)</f>
        <v>52.74</v>
      </c>
      <c r="D161" s="116">
        <f t="shared" si="2"/>
        <v>2.6613043123234977E-2</v>
      </c>
      <c r="E161" s="102">
        <f t="shared" ca="1" si="2"/>
        <v>-3.2181759908996204E-3</v>
      </c>
      <c r="F161" s="118"/>
      <c r="G161" s="115"/>
      <c r="H161" s="116"/>
      <c r="I161" s="116"/>
      <c r="K161" s="118"/>
      <c r="L161" s="115"/>
      <c r="M161" s="116"/>
      <c r="N161" s="116"/>
    </row>
    <row r="162" spans="1:14" ht="13.8" thickBot="1" x14ac:dyDescent="0.3">
      <c r="A162" s="118">
        <v>44244.666666666664</v>
      </c>
      <c r="B162" s="115">
        <v>34.409999999999997</v>
      </c>
      <c r="C162" s="116">
        <f ca="1">IFERROR(__xludf.DUMMYFUNCTION("""COMPUTED_VALUE"""),53.54)</f>
        <v>53.54</v>
      </c>
      <c r="D162" s="116">
        <f t="shared" si="2"/>
        <v>4.0768839228712654E-3</v>
      </c>
      <c r="E162" s="102">
        <f t="shared" ca="1" si="2"/>
        <v>1.5054857167065871E-2</v>
      </c>
      <c r="F162" s="118"/>
      <c r="G162" s="115"/>
      <c r="H162" s="116"/>
      <c r="I162" s="116"/>
      <c r="K162" s="118"/>
      <c r="L162" s="115"/>
      <c r="M162" s="116"/>
      <c r="N162" s="116"/>
    </row>
    <row r="163" spans="1:14" ht="13.8" thickBot="1" x14ac:dyDescent="0.3">
      <c r="A163" s="118">
        <v>44245.666666666664</v>
      </c>
      <c r="B163" s="115">
        <v>34.19</v>
      </c>
      <c r="C163" s="116">
        <f ca="1">IFERROR(__xludf.DUMMYFUNCTION("""COMPUTED_VALUE"""),52.55)</f>
        <v>52.55</v>
      </c>
      <c r="D163" s="116">
        <f t="shared" si="2"/>
        <v>-6.4140161581791007E-3</v>
      </c>
      <c r="E163" s="102">
        <f t="shared" ca="1" si="2"/>
        <v>-1.8663940769246379E-2</v>
      </c>
      <c r="F163" s="118"/>
      <c r="G163" s="115"/>
      <c r="H163" s="116"/>
      <c r="I163" s="116"/>
      <c r="K163" s="118"/>
      <c r="L163" s="115"/>
      <c r="M163" s="116"/>
      <c r="N163" s="116"/>
    </row>
    <row r="164" spans="1:14" ht="13.8" thickBot="1" x14ac:dyDescent="0.3">
      <c r="A164" s="118">
        <v>44246.666666666664</v>
      </c>
      <c r="B164" s="115">
        <v>34.54</v>
      </c>
      <c r="C164" s="116">
        <f ca="1">IFERROR(__xludf.DUMMYFUNCTION("""COMPUTED_VALUE"""),53.17)</f>
        <v>53.17</v>
      </c>
      <c r="D164" s="116">
        <f t="shared" si="2"/>
        <v>1.0184869067322584E-2</v>
      </c>
      <c r="E164" s="102">
        <f t="shared" ca="1" si="2"/>
        <v>1.1729230193287093E-2</v>
      </c>
      <c r="F164" s="118"/>
      <c r="G164" s="115"/>
      <c r="H164" s="116"/>
      <c r="I164" s="116"/>
      <c r="K164" s="118"/>
      <c r="L164" s="115"/>
      <c r="M164" s="116"/>
      <c r="N164" s="116"/>
    </row>
    <row r="165" spans="1:14" ht="13.8" thickBot="1" x14ac:dyDescent="0.3">
      <c r="A165" s="118">
        <v>44249.666666666664</v>
      </c>
      <c r="B165" s="115">
        <v>35.15</v>
      </c>
      <c r="C165" s="116">
        <f ca="1">IFERROR(__xludf.DUMMYFUNCTION("""COMPUTED_VALUE"""),54.97)</f>
        <v>54.97</v>
      </c>
      <c r="D165" s="116">
        <f t="shared" si="2"/>
        <v>1.7506545538141415E-2</v>
      </c>
      <c r="E165" s="102">
        <f t="shared" ca="1" si="2"/>
        <v>3.3293254356321744E-2</v>
      </c>
      <c r="F165" s="118"/>
      <c r="G165" s="115"/>
      <c r="H165" s="116"/>
      <c r="I165" s="116"/>
      <c r="K165" s="118"/>
      <c r="L165" s="115"/>
      <c r="M165" s="116"/>
      <c r="N165" s="116"/>
    </row>
    <row r="166" spans="1:14" ht="13.8" thickBot="1" x14ac:dyDescent="0.3">
      <c r="A166" s="118">
        <v>44250.666666666664</v>
      </c>
      <c r="B166" s="115">
        <v>35.520000000000003</v>
      </c>
      <c r="C166" s="116">
        <f ca="1">IFERROR(__xludf.DUMMYFUNCTION("""COMPUTED_VALUE"""),54.41)</f>
        <v>54.41</v>
      </c>
      <c r="D166" s="116">
        <f t="shared" si="2"/>
        <v>1.0471299867295437E-2</v>
      </c>
      <c r="E166" s="102">
        <f t="shared" ca="1" si="2"/>
        <v>-1.0239621374735058E-2</v>
      </c>
      <c r="F166" s="118"/>
      <c r="G166" s="115"/>
      <c r="H166" s="116"/>
      <c r="I166" s="116"/>
      <c r="K166" s="118"/>
      <c r="L166" s="115"/>
      <c r="M166" s="116"/>
      <c r="N166" s="116"/>
    </row>
    <row r="167" spans="1:14" ht="13.8" thickBot="1" x14ac:dyDescent="0.3">
      <c r="A167" s="118">
        <v>44251.666666666664</v>
      </c>
      <c r="B167" s="115">
        <v>36.380000000000003</v>
      </c>
      <c r="C167" s="116">
        <f ca="1">IFERROR(__xludf.DUMMYFUNCTION("""COMPUTED_VALUE"""),56.02)</f>
        <v>56.02</v>
      </c>
      <c r="D167" s="116">
        <f t="shared" si="2"/>
        <v>2.3923254966006936E-2</v>
      </c>
      <c r="E167" s="102">
        <f t="shared" ca="1" si="2"/>
        <v>2.9160809334128662E-2</v>
      </c>
      <c r="F167" s="118"/>
      <c r="G167" s="115"/>
      <c r="H167" s="116"/>
      <c r="I167" s="116"/>
      <c r="K167" s="118"/>
      <c r="L167" s="115"/>
      <c r="M167" s="116"/>
      <c r="N167" s="116"/>
    </row>
    <row r="168" spans="1:14" ht="13.8" thickBot="1" x14ac:dyDescent="0.3">
      <c r="A168" s="118">
        <v>44252.666666666664</v>
      </c>
      <c r="B168" s="115">
        <v>35.93</v>
      </c>
      <c r="C168" s="116">
        <f ca="1">IFERROR(__xludf.DUMMYFUNCTION("""COMPUTED_VALUE"""),56.11)</f>
        <v>56.11</v>
      </c>
      <c r="D168" s="116">
        <f t="shared" si="2"/>
        <v>-1.2446571964548864E-2</v>
      </c>
      <c r="E168" s="102">
        <f t="shared" ca="1" si="2"/>
        <v>1.60527993091809E-3</v>
      </c>
      <c r="F168" s="118"/>
      <c r="G168" s="115"/>
      <c r="H168" s="116"/>
      <c r="I168" s="116"/>
      <c r="K168" s="118"/>
      <c r="L168" s="115"/>
      <c r="M168" s="116"/>
      <c r="N168" s="116"/>
    </row>
    <row r="169" spans="1:14" ht="13.8" thickBot="1" x14ac:dyDescent="0.3">
      <c r="A169" s="118">
        <v>44253.666666666664</v>
      </c>
      <c r="B169" s="115">
        <v>34.71</v>
      </c>
      <c r="C169" s="116">
        <f ca="1">IFERROR(__xludf.DUMMYFUNCTION("""COMPUTED_VALUE"""),55.09)</f>
        <v>55.09</v>
      </c>
      <c r="D169" s="116">
        <f t="shared" si="2"/>
        <v>-3.4544771251732449E-2</v>
      </c>
      <c r="E169" s="102">
        <f t="shared" ca="1" si="2"/>
        <v>-1.8345838278255429E-2</v>
      </c>
      <c r="F169" s="118"/>
      <c r="G169" s="115"/>
      <c r="H169" s="116"/>
      <c r="I169" s="116"/>
      <c r="K169" s="118"/>
      <c r="L169" s="115"/>
      <c r="M169" s="116"/>
      <c r="N169" s="116"/>
    </row>
    <row r="170" spans="1:14" ht="13.8" thickBot="1" x14ac:dyDescent="0.3">
      <c r="A170" s="118">
        <v>44256.666666666664</v>
      </c>
      <c r="B170" s="115">
        <v>35.79</v>
      </c>
      <c r="C170" s="116">
        <f ca="1">IFERROR(__xludf.DUMMYFUNCTION("""COMPUTED_VALUE"""),56.87)</f>
        <v>56.87</v>
      </c>
      <c r="D170" s="116">
        <f t="shared" si="2"/>
        <v>3.0640694904239481E-2</v>
      </c>
      <c r="E170" s="102">
        <f t="shared" ca="1" si="2"/>
        <v>3.1799749834083048E-2</v>
      </c>
      <c r="F170" s="118"/>
      <c r="G170" s="115"/>
      <c r="H170" s="116"/>
      <c r="I170" s="116"/>
      <c r="K170" s="118"/>
      <c r="L170" s="115"/>
      <c r="M170" s="116"/>
      <c r="N170" s="116"/>
    </row>
    <row r="171" spans="1:14" ht="13.8" thickBot="1" x14ac:dyDescent="0.3">
      <c r="A171" s="118">
        <v>44257.666666666664</v>
      </c>
      <c r="B171" s="115">
        <v>35.53</v>
      </c>
      <c r="C171" s="116">
        <f ca="1">IFERROR(__xludf.DUMMYFUNCTION("""COMPUTED_VALUE"""),57.48)</f>
        <v>57.48</v>
      </c>
      <c r="D171" s="116">
        <f t="shared" si="2"/>
        <v>-7.2911147449986136E-3</v>
      </c>
      <c r="E171" s="102">
        <f t="shared" ca="1" si="2"/>
        <v>1.0669099892115797E-2</v>
      </c>
      <c r="F171" s="118"/>
      <c r="G171" s="115"/>
      <c r="H171" s="116"/>
      <c r="I171" s="116"/>
      <c r="K171" s="118"/>
      <c r="L171" s="115"/>
      <c r="M171" s="116"/>
      <c r="N171" s="116"/>
    </row>
    <row r="172" spans="1:14" ht="13.8" thickBot="1" x14ac:dyDescent="0.3">
      <c r="A172" s="118">
        <v>44258.666666666664</v>
      </c>
      <c r="B172" s="115">
        <v>36.42</v>
      </c>
      <c r="C172" s="116">
        <f ca="1">IFERROR(__xludf.DUMMYFUNCTION("""COMPUTED_VALUE"""),58.79)</f>
        <v>58.79</v>
      </c>
      <c r="D172" s="116">
        <f t="shared" si="2"/>
        <v>2.4740664266526186E-2</v>
      </c>
      <c r="E172" s="102">
        <f t="shared" ca="1" si="2"/>
        <v>2.2534711203339358E-2</v>
      </c>
      <c r="F172" s="118"/>
      <c r="G172" s="115"/>
      <c r="H172" s="116"/>
      <c r="I172" s="116"/>
      <c r="K172" s="118"/>
      <c r="L172" s="115"/>
      <c r="M172" s="116"/>
      <c r="N172" s="116"/>
    </row>
    <row r="173" spans="1:14" ht="13.8" thickBot="1" x14ac:dyDescent="0.3">
      <c r="A173" s="118">
        <v>44259.666666666664</v>
      </c>
      <c r="B173" s="115">
        <v>36.5</v>
      </c>
      <c r="C173" s="116">
        <f ca="1">IFERROR(__xludf.DUMMYFUNCTION("""COMPUTED_VALUE"""),57.62)</f>
        <v>57.62</v>
      </c>
      <c r="D173" s="116">
        <f t="shared" si="2"/>
        <v>2.1941862889839612E-3</v>
      </c>
      <c r="E173" s="102">
        <f t="shared" ca="1" si="2"/>
        <v>-2.0102042757781213E-2</v>
      </c>
      <c r="F173" s="118"/>
      <c r="G173" s="115"/>
      <c r="H173" s="116"/>
      <c r="I173" s="116"/>
      <c r="K173" s="118"/>
      <c r="L173" s="115"/>
      <c r="M173" s="116"/>
      <c r="N173" s="116"/>
    </row>
    <row r="174" spans="1:14" ht="13.8" thickBot="1" x14ac:dyDescent="0.3">
      <c r="A174" s="118">
        <v>44260.666666666664</v>
      </c>
      <c r="B174" s="115">
        <v>36.93</v>
      </c>
      <c r="C174" s="116">
        <f ca="1">IFERROR(__xludf.DUMMYFUNCTION("""COMPUTED_VALUE"""),57.74)</f>
        <v>57.74</v>
      </c>
      <c r="D174" s="116">
        <f t="shared" si="2"/>
        <v>1.1711968276025955E-2</v>
      </c>
      <c r="E174" s="102">
        <f t="shared" ca="1" si="2"/>
        <v>2.0804445784067768E-3</v>
      </c>
      <c r="F174" s="118"/>
      <c r="G174" s="115"/>
      <c r="H174" s="116"/>
      <c r="I174" s="116"/>
      <c r="K174" s="118"/>
      <c r="L174" s="115"/>
      <c r="M174" s="116"/>
      <c r="N174" s="116"/>
    </row>
    <row r="175" spans="1:14" ht="13.8" thickBot="1" x14ac:dyDescent="0.3">
      <c r="A175" s="118">
        <v>44263.666666666664</v>
      </c>
      <c r="B175" s="115">
        <v>37.130000000000003</v>
      </c>
      <c r="C175" s="116">
        <f ca="1">IFERROR(__xludf.DUMMYFUNCTION("""COMPUTED_VALUE"""),60.77)</f>
        <v>60.77</v>
      </c>
      <c r="D175" s="116">
        <f t="shared" si="2"/>
        <v>5.4010393245168932E-3</v>
      </c>
      <c r="E175" s="102">
        <f t="shared" ca="1" si="2"/>
        <v>5.1146071912474819E-2</v>
      </c>
      <c r="F175" s="118"/>
      <c r="G175" s="115"/>
      <c r="H175" s="116"/>
      <c r="I175" s="116"/>
      <c r="K175" s="118"/>
      <c r="L175" s="115"/>
      <c r="M175" s="116"/>
      <c r="N175" s="116"/>
    </row>
    <row r="176" spans="1:14" ht="13.8" thickBot="1" x14ac:dyDescent="0.3">
      <c r="A176" s="118">
        <v>44264.666666666664</v>
      </c>
      <c r="B176" s="115">
        <v>36.32</v>
      </c>
      <c r="C176" s="116">
        <f ca="1">IFERROR(__xludf.DUMMYFUNCTION("""COMPUTED_VALUE"""),60.34)</f>
        <v>60.34</v>
      </c>
      <c r="D176" s="116">
        <f t="shared" si="2"/>
        <v>-2.2056714455896177E-2</v>
      </c>
      <c r="E176" s="102">
        <f t="shared" ca="1" si="2"/>
        <v>-7.1010124163488498E-3</v>
      </c>
      <c r="F176" s="118"/>
      <c r="G176" s="115"/>
      <c r="H176" s="116"/>
      <c r="I176" s="116"/>
      <c r="K176" s="118"/>
      <c r="L176" s="115"/>
      <c r="M176" s="116"/>
      <c r="N176" s="116"/>
    </row>
    <row r="177" spans="1:14" ht="13.8" thickBot="1" x14ac:dyDescent="0.3">
      <c r="A177" s="118">
        <v>44265.666666666664</v>
      </c>
      <c r="B177" s="115">
        <v>37.369999999999997</v>
      </c>
      <c r="C177" s="116">
        <f ca="1">IFERROR(__xludf.DUMMYFUNCTION("""COMPUTED_VALUE"""),61.13)</f>
        <v>61.13</v>
      </c>
      <c r="D177" s="116">
        <f t="shared" si="2"/>
        <v>2.8499689764299865E-2</v>
      </c>
      <c r="E177" s="102">
        <f t="shared" ca="1" si="2"/>
        <v>1.3007510309719E-2</v>
      </c>
      <c r="F177" s="118"/>
      <c r="G177" s="115"/>
      <c r="H177" s="116"/>
      <c r="I177" s="116"/>
      <c r="K177" s="118"/>
      <c r="L177" s="115"/>
      <c r="M177" s="116"/>
      <c r="N177" s="116"/>
    </row>
    <row r="178" spans="1:14" ht="13.8" thickBot="1" x14ac:dyDescent="0.3">
      <c r="A178" s="118">
        <v>44266.666666666664</v>
      </c>
      <c r="B178" s="115">
        <v>37.24</v>
      </c>
      <c r="C178" s="116">
        <f ca="1">IFERROR(__xludf.DUMMYFUNCTION("""COMPUTED_VALUE"""),61.84)</f>
        <v>61.84</v>
      </c>
      <c r="D178" s="116">
        <f t="shared" si="2"/>
        <v>-3.4847910885260438E-3</v>
      </c>
      <c r="E178" s="102">
        <f t="shared" ca="1" si="2"/>
        <v>1.1547660238532537E-2</v>
      </c>
      <c r="F178" s="118"/>
      <c r="G178" s="115"/>
      <c r="H178" s="116"/>
      <c r="I178" s="116"/>
      <c r="K178" s="118"/>
      <c r="L178" s="115"/>
      <c r="M178" s="116"/>
      <c r="N178" s="116"/>
    </row>
    <row r="179" spans="1:14" ht="13.8" thickBot="1" x14ac:dyDescent="0.3">
      <c r="A179" s="118">
        <v>44267.666666666664</v>
      </c>
      <c r="B179" s="115">
        <v>37.94</v>
      </c>
      <c r="C179" s="116">
        <f ca="1">IFERROR(__xludf.DUMMYFUNCTION("""COMPUTED_VALUE"""),62.5)</f>
        <v>62.5</v>
      </c>
      <c r="D179" s="116">
        <f t="shared" si="2"/>
        <v>1.8622512098001635E-2</v>
      </c>
      <c r="E179" s="102">
        <f t="shared" ca="1" si="2"/>
        <v>1.0616152463189213E-2</v>
      </c>
      <c r="F179" s="118"/>
      <c r="G179" s="115"/>
      <c r="H179" s="116"/>
      <c r="I179" s="116"/>
      <c r="K179" s="118"/>
      <c r="L179" s="115"/>
      <c r="M179" s="116"/>
      <c r="N179" s="116"/>
    </row>
    <row r="180" spans="1:14" ht="13.8" thickBot="1" x14ac:dyDescent="0.3">
      <c r="A180" s="118">
        <v>44270.666666666664</v>
      </c>
      <c r="B180" s="115">
        <v>37.75</v>
      </c>
      <c r="C180" s="116">
        <f ca="1">IFERROR(__xludf.DUMMYFUNCTION("""COMPUTED_VALUE"""),61.74)</f>
        <v>61.74</v>
      </c>
      <c r="D180" s="116">
        <f t="shared" si="2"/>
        <v>-5.0204888118344166E-3</v>
      </c>
      <c r="E180" s="102">
        <f t="shared" ca="1" si="2"/>
        <v>-1.2234537668342522E-2</v>
      </c>
      <c r="F180" s="118"/>
      <c r="G180" s="115"/>
      <c r="H180" s="116"/>
      <c r="I180" s="116"/>
      <c r="K180" s="118"/>
      <c r="L180" s="115"/>
      <c r="M180" s="116"/>
      <c r="N180" s="116"/>
    </row>
    <row r="181" spans="1:14" ht="13.8" thickBot="1" x14ac:dyDescent="0.3">
      <c r="A181" s="118">
        <v>44271.666666666664</v>
      </c>
      <c r="B181" s="115">
        <v>37.64</v>
      </c>
      <c r="C181" s="116">
        <f ca="1">IFERROR(__xludf.DUMMYFUNCTION("""COMPUTED_VALUE"""),61.52)</f>
        <v>61.52</v>
      </c>
      <c r="D181" s="116">
        <f t="shared" si="2"/>
        <v>-2.9181609778547589E-3</v>
      </c>
      <c r="E181" s="102">
        <f t="shared" ca="1" si="2"/>
        <v>-3.5696938766246397E-3</v>
      </c>
      <c r="F181" s="118"/>
      <c r="G181" s="115"/>
      <c r="H181" s="116"/>
      <c r="I181" s="116"/>
      <c r="K181" s="118"/>
      <c r="L181" s="115"/>
      <c r="M181" s="116"/>
      <c r="N181" s="116"/>
    </row>
    <row r="182" spans="1:14" ht="13.8" thickBot="1" x14ac:dyDescent="0.3">
      <c r="A182" s="118">
        <v>44272.666666666664</v>
      </c>
      <c r="B182" s="115">
        <v>37.950000000000003</v>
      </c>
      <c r="C182" s="116">
        <f ca="1">IFERROR(__xludf.DUMMYFUNCTION("""COMPUTED_VALUE"""),61.58)</f>
        <v>61.58</v>
      </c>
      <c r="D182" s="116">
        <f t="shared" si="2"/>
        <v>8.2021891244601804E-3</v>
      </c>
      <c r="E182" s="102">
        <f t="shared" ca="1" si="2"/>
        <v>9.7481729896562472E-4</v>
      </c>
      <c r="F182" s="118"/>
      <c r="G182" s="115"/>
      <c r="H182" s="116"/>
      <c r="I182" s="116"/>
      <c r="K182" s="118"/>
      <c r="L182" s="115"/>
      <c r="M182" s="116"/>
      <c r="N182" s="116"/>
    </row>
    <row r="183" spans="1:14" ht="13.8" thickBot="1" x14ac:dyDescent="0.3">
      <c r="A183" s="118">
        <v>44273.666666666664</v>
      </c>
      <c r="B183" s="115">
        <v>38.94</v>
      </c>
      <c r="C183" s="116">
        <f ca="1">IFERROR(__xludf.DUMMYFUNCTION("""COMPUTED_VALUE"""),63.53)</f>
        <v>63.53</v>
      </c>
      <c r="D183" s="116">
        <f t="shared" si="2"/>
        <v>2.5752496102414549E-2</v>
      </c>
      <c r="E183" s="102">
        <f t="shared" ca="1" si="2"/>
        <v>3.1175092782087688E-2</v>
      </c>
      <c r="F183" s="118"/>
      <c r="G183" s="115"/>
      <c r="H183" s="116"/>
      <c r="I183" s="116"/>
      <c r="K183" s="118"/>
      <c r="L183" s="115"/>
      <c r="M183" s="116"/>
      <c r="N183" s="116"/>
    </row>
    <row r="184" spans="1:14" ht="13.8" thickBot="1" x14ac:dyDescent="0.3">
      <c r="A184" s="118">
        <v>44274.666666666664</v>
      </c>
      <c r="B184" s="115">
        <v>38.53</v>
      </c>
      <c r="C184" s="116">
        <f ca="1">IFERROR(__xludf.DUMMYFUNCTION("""COMPUTED_VALUE"""),61.51)</f>
        <v>61.51</v>
      </c>
      <c r="D184" s="116">
        <f t="shared" si="2"/>
        <v>-1.0584841305987285E-2</v>
      </c>
      <c r="E184" s="102">
        <f t="shared" ca="1" si="2"/>
        <v>-3.2312472058165016E-2</v>
      </c>
      <c r="F184" s="118"/>
      <c r="G184" s="115"/>
      <c r="H184" s="116"/>
      <c r="I184" s="116"/>
      <c r="K184" s="118"/>
      <c r="L184" s="115"/>
      <c r="M184" s="116"/>
      <c r="N184" s="116"/>
    </row>
    <row r="185" spans="1:14" ht="13.8" thickBot="1" x14ac:dyDescent="0.3">
      <c r="A185" s="118">
        <v>44277.666666666664</v>
      </c>
      <c r="B185" s="115">
        <v>37.659999999999997</v>
      </c>
      <c r="C185" s="116">
        <f ca="1">IFERROR(__xludf.DUMMYFUNCTION("""COMPUTED_VALUE"""),60.3)</f>
        <v>60.3</v>
      </c>
      <c r="D185" s="116">
        <f t="shared" si="2"/>
        <v>-2.2838635409060035E-2</v>
      </c>
      <c r="E185" s="102">
        <f t="shared" ca="1" si="2"/>
        <v>-1.9867659487137136E-2</v>
      </c>
      <c r="F185" s="118"/>
      <c r="G185" s="115"/>
      <c r="H185" s="116"/>
      <c r="I185" s="116"/>
      <c r="K185" s="118"/>
      <c r="L185" s="115"/>
      <c r="M185" s="116"/>
      <c r="N185" s="116"/>
    </row>
    <row r="186" spans="1:14" ht="13.8" thickBot="1" x14ac:dyDescent="0.3">
      <c r="A186" s="118">
        <v>44278.666666666664</v>
      </c>
      <c r="B186" s="115">
        <v>36.9</v>
      </c>
      <c r="C186" s="116">
        <f ca="1">IFERROR(__xludf.DUMMYFUNCTION("""COMPUTED_VALUE"""),60.52)</f>
        <v>60.52</v>
      </c>
      <c r="D186" s="116">
        <f t="shared" si="2"/>
        <v>-2.0386972182524835E-2</v>
      </c>
      <c r="E186" s="102">
        <f t="shared" ca="1" si="2"/>
        <v>3.6417851870154607E-3</v>
      </c>
      <c r="F186" s="118"/>
      <c r="G186" s="115"/>
      <c r="H186" s="116"/>
      <c r="I186" s="116"/>
      <c r="K186" s="118"/>
      <c r="L186" s="115"/>
      <c r="M186" s="116"/>
      <c r="N186" s="116"/>
    </row>
    <row r="187" spans="1:14" ht="13.8" thickBot="1" x14ac:dyDescent="0.3">
      <c r="A187" s="118">
        <v>44279.666666666664</v>
      </c>
      <c r="B187" s="115">
        <v>36.9</v>
      </c>
      <c r="C187" s="116">
        <f ca="1">IFERROR(__xludf.DUMMYFUNCTION("""COMPUTED_VALUE"""),60.56)</f>
        <v>60.56</v>
      </c>
      <c r="D187" s="116">
        <f t="shared" si="2"/>
        <v>0</v>
      </c>
      <c r="E187" s="102">
        <f t="shared" ca="1" si="2"/>
        <v>6.6072020903824706E-4</v>
      </c>
      <c r="F187" s="118"/>
      <c r="G187" s="115"/>
      <c r="H187" s="116"/>
      <c r="I187" s="116"/>
      <c r="K187" s="118"/>
      <c r="L187" s="115"/>
      <c r="M187" s="116"/>
      <c r="N187" s="116"/>
    </row>
    <row r="188" spans="1:14" ht="13.8" thickBot="1" x14ac:dyDescent="0.3">
      <c r="A188" s="118">
        <v>44280.666666666664</v>
      </c>
      <c r="B188" s="115">
        <v>37.659999999999997</v>
      </c>
      <c r="C188" s="116">
        <f ca="1">IFERROR(__xludf.DUMMYFUNCTION("""COMPUTED_VALUE"""),60.36)</f>
        <v>60.36</v>
      </c>
      <c r="D188" s="116">
        <f t="shared" si="2"/>
        <v>2.03869721825247E-2</v>
      </c>
      <c r="E188" s="102">
        <f t="shared" ca="1" si="2"/>
        <v>-3.3079752295452482E-3</v>
      </c>
      <c r="F188" s="118"/>
      <c r="G188" s="115"/>
      <c r="H188" s="116"/>
      <c r="I188" s="116"/>
      <c r="K188" s="118"/>
      <c r="L188" s="115"/>
      <c r="M188" s="116"/>
      <c r="N188" s="116"/>
    </row>
    <row r="189" spans="1:14" ht="13.8" thickBot="1" x14ac:dyDescent="0.3">
      <c r="A189" s="118">
        <v>44281.666666666664</v>
      </c>
      <c r="B189" s="115">
        <v>38.68</v>
      </c>
      <c r="C189" s="116">
        <f ca="1">IFERROR(__xludf.DUMMYFUNCTION("""COMPUTED_VALUE"""),61.39)</f>
        <v>61.39</v>
      </c>
      <c r="D189" s="116">
        <f t="shared" si="2"/>
        <v>2.6724147356087292E-2</v>
      </c>
      <c r="E189" s="102">
        <f t="shared" ca="1" si="2"/>
        <v>1.6920321539756797E-2</v>
      </c>
      <c r="F189" s="118"/>
      <c r="G189" s="115"/>
      <c r="H189" s="116"/>
      <c r="I189" s="116"/>
      <c r="K189" s="118"/>
      <c r="L189" s="115"/>
      <c r="M189" s="116"/>
      <c r="N189" s="116"/>
    </row>
    <row r="190" spans="1:14" ht="13.8" thickBot="1" x14ac:dyDescent="0.3">
      <c r="A190" s="118">
        <v>44284.666666666664</v>
      </c>
      <c r="B190" s="115">
        <v>38.31</v>
      </c>
      <c r="C190" s="116">
        <f ca="1">IFERROR(__xludf.DUMMYFUNCTION("""COMPUTED_VALUE"""),59.94)</f>
        <v>59.94</v>
      </c>
      <c r="D190" s="116">
        <f t="shared" si="2"/>
        <v>-9.6117118725358632E-3</v>
      </c>
      <c r="E190" s="102">
        <f t="shared" ca="1" si="2"/>
        <v>-2.3902893550887861E-2</v>
      </c>
      <c r="F190" s="118"/>
      <c r="G190" s="115"/>
      <c r="H190" s="116"/>
      <c r="I190" s="116"/>
      <c r="K190" s="118"/>
      <c r="L190" s="115"/>
      <c r="M190" s="116"/>
      <c r="N190" s="116"/>
    </row>
    <row r="191" spans="1:14" ht="13.8" thickBot="1" x14ac:dyDescent="0.3">
      <c r="A191" s="118">
        <v>44285.666666666664</v>
      </c>
      <c r="B191" s="115">
        <v>38.99</v>
      </c>
      <c r="C191" s="116">
        <f ca="1">IFERROR(__xludf.DUMMYFUNCTION("""COMPUTED_VALUE"""),62.18)</f>
        <v>62.18</v>
      </c>
      <c r="D191" s="116">
        <f t="shared" si="2"/>
        <v>1.7594244281948258E-2</v>
      </c>
      <c r="E191" s="102">
        <f t="shared" ca="1" si="2"/>
        <v>3.6689342742090646E-2</v>
      </c>
      <c r="F191" s="118"/>
      <c r="G191" s="115"/>
      <c r="H191" s="116"/>
      <c r="I191" s="116"/>
      <c r="K191" s="118"/>
      <c r="L191" s="115"/>
      <c r="M191" s="116"/>
      <c r="N191" s="116"/>
    </row>
    <row r="192" spans="1:14" ht="13.8" thickBot="1" x14ac:dyDescent="0.3">
      <c r="A192" s="118">
        <v>44286.666666666664</v>
      </c>
      <c r="B192" s="115">
        <v>38.69</v>
      </c>
      <c r="C192" s="116">
        <f ca="1">IFERROR(__xludf.DUMMYFUNCTION("""COMPUTED_VALUE"""),61.82)</f>
        <v>61.82</v>
      </c>
      <c r="D192" s="116">
        <f t="shared" si="2"/>
        <v>-7.7240342820844403E-3</v>
      </c>
      <c r="E192" s="102">
        <f t="shared" ca="1" si="2"/>
        <v>-5.8064679266374491E-3</v>
      </c>
      <c r="F192" s="118"/>
      <c r="G192" s="115"/>
      <c r="H192" s="116"/>
      <c r="I192" s="116"/>
      <c r="K192" s="118"/>
      <c r="L192" s="115"/>
      <c r="M192" s="116"/>
      <c r="N192" s="116"/>
    </row>
    <row r="193" spans="1:14" ht="13.8" thickBot="1" x14ac:dyDescent="0.3">
      <c r="A193" s="118"/>
      <c r="B193" s="115"/>
      <c r="C193" s="116"/>
      <c r="D193" s="116"/>
      <c r="F193" s="118"/>
      <c r="G193" s="115"/>
      <c r="H193" s="116"/>
      <c r="I193" s="116"/>
      <c r="K193" s="118"/>
      <c r="L193" s="115"/>
      <c r="M193" s="116"/>
      <c r="N193" s="116"/>
    </row>
    <row r="194" spans="1:14" ht="13.8" thickBot="1" x14ac:dyDescent="0.3">
      <c r="A194" s="118"/>
      <c r="B194" s="115"/>
      <c r="C194" s="116"/>
      <c r="D194" s="116"/>
      <c r="F194" s="118"/>
      <c r="G194" s="115"/>
      <c r="H194" s="116"/>
      <c r="I194" s="116"/>
      <c r="K194" s="118"/>
      <c r="L194" s="115"/>
      <c r="M194" s="116"/>
      <c r="N194" s="116"/>
    </row>
    <row r="195" spans="1:14" ht="13.8" thickBot="1" x14ac:dyDescent="0.3">
      <c r="A195" s="118"/>
      <c r="B195" s="115"/>
      <c r="C195" s="116"/>
      <c r="D195" s="116"/>
      <c r="F195" s="118"/>
      <c r="G195" s="115"/>
      <c r="H195" s="116"/>
      <c r="I195" s="116"/>
      <c r="K195" s="118"/>
      <c r="L195" s="115"/>
      <c r="M195" s="116"/>
      <c r="N195" s="116"/>
    </row>
    <row r="196" spans="1:14" ht="13.8" thickBot="1" x14ac:dyDescent="0.3">
      <c r="A196" s="118"/>
      <c r="B196" s="115"/>
      <c r="C196" s="116"/>
      <c r="D196" s="116"/>
      <c r="F196" s="118"/>
      <c r="G196" s="115"/>
      <c r="H196" s="116"/>
      <c r="I196" s="116"/>
      <c r="K196" s="118"/>
      <c r="L196" s="115"/>
      <c r="M196" s="116"/>
      <c r="N196" s="116"/>
    </row>
    <row r="197" spans="1:14" ht="13.8" thickBot="1" x14ac:dyDescent="0.3">
      <c r="A197" s="118"/>
      <c r="B197" s="115"/>
      <c r="C197" s="116"/>
      <c r="D197" s="116"/>
      <c r="F197" s="118"/>
      <c r="G197" s="115"/>
      <c r="H197" s="116"/>
      <c r="I197" s="116"/>
      <c r="K197" s="118"/>
      <c r="L197" s="115"/>
      <c r="M197" s="116"/>
      <c r="N197" s="116"/>
    </row>
    <row r="198" spans="1:14" ht="13.8" thickBot="1" x14ac:dyDescent="0.3">
      <c r="A198" s="118"/>
      <c r="B198" s="115"/>
      <c r="C198" s="116"/>
      <c r="D198" s="116"/>
      <c r="F198" s="118"/>
      <c r="G198" s="115"/>
      <c r="H198" s="116"/>
      <c r="I198" s="116"/>
      <c r="K198" s="118"/>
      <c r="L198" s="115"/>
      <c r="M198" s="116"/>
      <c r="N198" s="116"/>
    </row>
    <row r="199" spans="1:14" ht="13.8" thickBot="1" x14ac:dyDescent="0.3">
      <c r="A199" s="118"/>
      <c r="B199" s="115"/>
      <c r="C199" s="116"/>
      <c r="D199" s="116"/>
      <c r="F199" s="118"/>
      <c r="G199" s="115"/>
      <c r="H199" s="116"/>
      <c r="I199" s="116"/>
      <c r="K199" s="118"/>
      <c r="L199" s="115"/>
      <c r="M199" s="116"/>
      <c r="N199" s="116"/>
    </row>
    <row r="200" spans="1:14" ht="13.8" thickBot="1" x14ac:dyDescent="0.3">
      <c r="A200" s="118"/>
      <c r="B200" s="115"/>
      <c r="C200" s="116"/>
      <c r="D200" s="116"/>
      <c r="F200" s="118"/>
      <c r="G200" s="115"/>
      <c r="H200" s="116"/>
      <c r="I200" s="116"/>
      <c r="K200" s="118"/>
      <c r="L200" s="115"/>
      <c r="M200" s="116"/>
      <c r="N200" s="116"/>
    </row>
    <row r="201" spans="1:14" ht="13.8" thickBot="1" x14ac:dyDescent="0.3">
      <c r="A201" s="118"/>
      <c r="B201" s="115"/>
      <c r="C201" s="116"/>
      <c r="D201" s="116"/>
      <c r="F201" s="118"/>
      <c r="G201" s="115"/>
      <c r="H201" s="116"/>
      <c r="I201" s="116"/>
      <c r="K201" s="118"/>
      <c r="L201" s="115"/>
      <c r="M201" s="116"/>
      <c r="N201" s="116"/>
    </row>
    <row r="202" spans="1:14" ht="13.8" thickBot="1" x14ac:dyDescent="0.3">
      <c r="A202" s="118"/>
      <c r="B202" s="115"/>
      <c r="C202" s="116"/>
      <c r="D202" s="116"/>
      <c r="F202" s="118"/>
      <c r="G202" s="115"/>
      <c r="H202" s="116"/>
      <c r="I202" s="116"/>
      <c r="K202" s="118"/>
      <c r="L202" s="115"/>
      <c r="M202" s="116"/>
      <c r="N202" s="116"/>
    </row>
    <row r="203" spans="1:14" ht="13.8" thickBot="1" x14ac:dyDescent="0.3">
      <c r="A203" s="118"/>
      <c r="B203" s="115"/>
      <c r="C203" s="116"/>
      <c r="D203" s="116"/>
      <c r="F203" s="118"/>
      <c r="G203" s="115"/>
      <c r="H203" s="116"/>
      <c r="I203" s="116"/>
      <c r="K203" s="118"/>
      <c r="L203" s="115"/>
      <c r="M203" s="116"/>
      <c r="N203" s="116"/>
    </row>
    <row r="204" spans="1:14" ht="13.8" thickBot="1" x14ac:dyDescent="0.3">
      <c r="A204" s="118"/>
      <c r="B204" s="115"/>
      <c r="C204" s="116"/>
      <c r="D204" s="116"/>
      <c r="F204" s="118"/>
      <c r="G204" s="115"/>
      <c r="H204" s="116"/>
      <c r="I204" s="116"/>
      <c r="K204" s="118"/>
      <c r="L204" s="115"/>
      <c r="M204" s="116"/>
      <c r="N204" s="116"/>
    </row>
    <row r="205" spans="1:14" ht="13.8" thickBot="1" x14ac:dyDescent="0.3">
      <c r="A205" s="118"/>
      <c r="B205" s="115"/>
      <c r="C205" s="116"/>
      <c r="D205" s="116"/>
      <c r="F205" s="118"/>
      <c r="G205" s="115"/>
      <c r="H205" s="116"/>
      <c r="I205" s="116"/>
      <c r="K205" s="118"/>
      <c r="L205" s="115"/>
      <c r="M205" s="116"/>
      <c r="N205" s="116"/>
    </row>
    <row r="206" spans="1:14" ht="13.8" thickBot="1" x14ac:dyDescent="0.3">
      <c r="A206" s="118"/>
      <c r="B206" s="115"/>
      <c r="C206" s="116"/>
      <c r="D206" s="116"/>
      <c r="F206" s="118"/>
      <c r="G206" s="115"/>
      <c r="H206" s="116"/>
      <c r="I206" s="116"/>
      <c r="K206" s="118"/>
      <c r="L206" s="115"/>
      <c r="M206" s="116"/>
      <c r="N206" s="116"/>
    </row>
    <row r="207" spans="1:14" ht="13.8" thickBot="1" x14ac:dyDescent="0.3">
      <c r="A207" s="118"/>
      <c r="B207" s="115"/>
      <c r="C207" s="116"/>
      <c r="D207" s="116"/>
      <c r="F207" s="118"/>
      <c r="G207" s="115"/>
      <c r="H207" s="116"/>
      <c r="I207" s="116"/>
      <c r="K207" s="118"/>
      <c r="L207" s="115"/>
      <c r="M207" s="116"/>
      <c r="N207" s="116"/>
    </row>
    <row r="208" spans="1:14" ht="13.8" thickBot="1" x14ac:dyDescent="0.3">
      <c r="A208" s="118"/>
      <c r="B208" s="115"/>
      <c r="C208" s="116"/>
      <c r="D208" s="116"/>
      <c r="F208" s="118"/>
      <c r="G208" s="115"/>
      <c r="H208" s="116"/>
      <c r="I208" s="116"/>
      <c r="K208" s="118"/>
      <c r="L208" s="115"/>
      <c r="M208" s="116"/>
      <c r="N208" s="116"/>
    </row>
    <row r="209" spans="1:14" ht="13.8" thickBot="1" x14ac:dyDescent="0.3">
      <c r="A209" s="118"/>
      <c r="B209" s="115"/>
      <c r="C209" s="116"/>
      <c r="D209" s="116"/>
      <c r="F209" s="118"/>
      <c r="G209" s="115"/>
      <c r="H209" s="116"/>
      <c r="I209" s="116"/>
      <c r="K209" s="118"/>
      <c r="L209" s="115"/>
      <c r="M209" s="116"/>
      <c r="N209" s="116"/>
    </row>
    <row r="210" spans="1:14" ht="13.8" thickBot="1" x14ac:dyDescent="0.3">
      <c r="A210" s="118"/>
      <c r="B210" s="115"/>
      <c r="C210" s="116"/>
      <c r="D210" s="116"/>
      <c r="F210" s="118"/>
      <c r="G210" s="115"/>
      <c r="H210" s="116"/>
      <c r="I210" s="116"/>
      <c r="K210" s="118"/>
      <c r="L210" s="115"/>
      <c r="M210" s="116"/>
      <c r="N210" s="116"/>
    </row>
    <row r="211" spans="1:14" ht="13.8" thickBot="1" x14ac:dyDescent="0.3">
      <c r="A211" s="118"/>
      <c r="B211" s="115"/>
      <c r="C211" s="116"/>
      <c r="D211" s="116"/>
      <c r="F211" s="118"/>
      <c r="G211" s="115"/>
      <c r="H211" s="116"/>
      <c r="I211" s="116"/>
      <c r="K211" s="118"/>
      <c r="L211" s="115"/>
      <c r="M211" s="116"/>
      <c r="N211" s="116"/>
    </row>
    <row r="212" spans="1:14" ht="13.8" thickBot="1" x14ac:dyDescent="0.3">
      <c r="A212" s="118"/>
      <c r="B212" s="115"/>
      <c r="C212" s="116"/>
      <c r="D212" s="116"/>
      <c r="F212" s="118"/>
      <c r="G212" s="115"/>
      <c r="H212" s="116"/>
      <c r="I212" s="116"/>
      <c r="K212" s="118"/>
      <c r="L212" s="115"/>
      <c r="M212" s="116"/>
      <c r="N212" s="116"/>
    </row>
    <row r="213" spans="1:14" ht="13.8" thickBot="1" x14ac:dyDescent="0.3">
      <c r="A213" s="118"/>
      <c r="B213" s="115"/>
      <c r="C213" s="116"/>
      <c r="D213" s="116"/>
      <c r="F213" s="118"/>
      <c r="G213" s="115"/>
      <c r="H213" s="116"/>
      <c r="I213" s="116"/>
      <c r="K213" s="118"/>
      <c r="L213" s="115"/>
      <c r="M213" s="116"/>
      <c r="N213" s="116"/>
    </row>
    <row r="214" spans="1:14" ht="13.8" thickBot="1" x14ac:dyDescent="0.3">
      <c r="A214" s="118"/>
      <c r="B214" s="115"/>
      <c r="C214" s="116"/>
      <c r="D214" s="116"/>
      <c r="F214" s="118"/>
      <c r="G214" s="115"/>
      <c r="H214" s="116"/>
      <c r="I214" s="116"/>
      <c r="K214" s="118"/>
      <c r="L214" s="115"/>
      <c r="M214" s="116"/>
      <c r="N214" s="116"/>
    </row>
    <row r="215" spans="1:14" ht="13.8" thickBot="1" x14ac:dyDescent="0.3">
      <c r="A215" s="118"/>
      <c r="B215" s="115"/>
      <c r="C215" s="116"/>
      <c r="D215" s="116"/>
      <c r="F215" s="118"/>
      <c r="G215" s="115"/>
      <c r="H215" s="116"/>
      <c r="I215" s="116"/>
      <c r="K215" s="118"/>
      <c r="L215" s="115"/>
      <c r="M215" s="116"/>
      <c r="N215" s="116"/>
    </row>
    <row r="216" spans="1:14" ht="13.8" thickBot="1" x14ac:dyDescent="0.3">
      <c r="A216" s="118"/>
      <c r="B216" s="115"/>
      <c r="C216" s="116"/>
      <c r="D216" s="116"/>
      <c r="F216" s="118"/>
      <c r="G216" s="115"/>
      <c r="H216" s="116"/>
      <c r="I216" s="116"/>
      <c r="K216" s="118"/>
      <c r="L216" s="115"/>
      <c r="M216" s="116"/>
      <c r="N216" s="116"/>
    </row>
    <row r="217" spans="1:14" ht="13.8" thickBot="1" x14ac:dyDescent="0.3">
      <c r="A217" s="118"/>
      <c r="B217" s="115"/>
      <c r="C217" s="116"/>
      <c r="D217" s="116"/>
      <c r="F217" s="118"/>
      <c r="G217" s="115"/>
      <c r="H217" s="116"/>
      <c r="I217" s="116"/>
      <c r="K217" s="118"/>
      <c r="L217" s="115"/>
      <c r="M217" s="116"/>
      <c r="N217" s="116"/>
    </row>
    <row r="218" spans="1:14" ht="13.8" thickBot="1" x14ac:dyDescent="0.3">
      <c r="A218" s="118"/>
      <c r="B218" s="115"/>
      <c r="C218" s="116"/>
      <c r="D218" s="116"/>
      <c r="F218" s="118"/>
      <c r="G218" s="115"/>
      <c r="H218" s="116"/>
      <c r="I218" s="116"/>
      <c r="K218" s="118"/>
      <c r="L218" s="115"/>
      <c r="M218" s="116"/>
      <c r="N218" s="116"/>
    </row>
    <row r="219" spans="1:14" ht="13.8" thickBot="1" x14ac:dyDescent="0.3">
      <c r="A219" s="118"/>
      <c r="B219" s="115"/>
      <c r="C219" s="116"/>
      <c r="D219" s="116"/>
      <c r="F219" s="118"/>
      <c r="G219" s="115"/>
      <c r="H219" s="116"/>
      <c r="I219" s="116"/>
      <c r="K219" s="118"/>
      <c r="L219" s="115"/>
      <c r="M219" s="116"/>
      <c r="N219" s="116"/>
    </row>
    <row r="220" spans="1:14" ht="13.8" thickBot="1" x14ac:dyDescent="0.3">
      <c r="A220" s="118"/>
      <c r="B220" s="115"/>
      <c r="C220" s="116"/>
      <c r="D220" s="116"/>
      <c r="F220" s="118"/>
      <c r="G220" s="115"/>
      <c r="H220" s="116"/>
      <c r="I220" s="116"/>
      <c r="K220" s="118"/>
      <c r="L220" s="115"/>
      <c r="M220" s="116"/>
      <c r="N220" s="116"/>
    </row>
    <row r="221" spans="1:14" ht="13.8" thickBot="1" x14ac:dyDescent="0.3">
      <c r="A221" s="118"/>
      <c r="B221" s="115"/>
      <c r="C221" s="116"/>
      <c r="D221" s="116"/>
      <c r="F221" s="118"/>
      <c r="G221" s="115"/>
      <c r="H221" s="116"/>
      <c r="I221" s="116"/>
      <c r="K221" s="118"/>
      <c r="L221" s="115"/>
      <c r="M221" s="116"/>
      <c r="N221" s="116"/>
    </row>
    <row r="222" spans="1:14" ht="13.8" thickBot="1" x14ac:dyDescent="0.3">
      <c r="A222" s="118"/>
      <c r="B222" s="115"/>
      <c r="C222" s="116"/>
      <c r="D222" s="116"/>
      <c r="F222" s="118"/>
      <c r="G222" s="115"/>
      <c r="H222" s="116"/>
      <c r="I222" s="116"/>
      <c r="K222" s="118"/>
      <c r="L222" s="115"/>
      <c r="M222" s="116"/>
      <c r="N222" s="116"/>
    </row>
    <row r="223" spans="1:14" ht="13.8" thickBot="1" x14ac:dyDescent="0.3">
      <c r="A223" s="118"/>
      <c r="B223" s="115"/>
      <c r="C223" s="116"/>
      <c r="D223" s="116"/>
      <c r="F223" s="118"/>
      <c r="G223" s="115"/>
      <c r="H223" s="116"/>
      <c r="I223" s="116"/>
      <c r="K223" s="118"/>
      <c r="L223" s="115"/>
      <c r="M223" s="116"/>
      <c r="N223" s="116"/>
    </row>
    <row r="224" spans="1:14" ht="13.8" thickBot="1" x14ac:dyDescent="0.3">
      <c r="A224" s="118"/>
      <c r="B224" s="115"/>
      <c r="C224" s="116"/>
      <c r="D224" s="116"/>
      <c r="F224" s="118"/>
      <c r="G224" s="115"/>
      <c r="H224" s="116"/>
      <c r="I224" s="116"/>
      <c r="K224" s="118"/>
      <c r="L224" s="115"/>
      <c r="M224" s="116"/>
      <c r="N224" s="116"/>
    </row>
    <row r="225" spans="1:14" ht="13.8" thickBot="1" x14ac:dyDescent="0.3">
      <c r="A225" s="118"/>
      <c r="B225" s="115"/>
      <c r="C225" s="116"/>
      <c r="D225" s="116"/>
      <c r="F225" s="118"/>
      <c r="G225" s="115"/>
      <c r="H225" s="116"/>
      <c r="I225" s="116"/>
      <c r="K225" s="118"/>
      <c r="L225" s="115"/>
      <c r="M225" s="116"/>
      <c r="N225" s="116"/>
    </row>
    <row r="226" spans="1:14" ht="13.8" thickBot="1" x14ac:dyDescent="0.3">
      <c r="A226" s="118"/>
      <c r="B226" s="115"/>
      <c r="C226" s="116"/>
      <c r="D226" s="116"/>
      <c r="F226" s="118"/>
      <c r="G226" s="115"/>
      <c r="H226" s="116"/>
      <c r="I226" s="116"/>
      <c r="K226" s="118"/>
      <c r="L226" s="115"/>
      <c r="M226" s="116"/>
      <c r="N226" s="116"/>
    </row>
    <row r="227" spans="1:14" ht="13.8" thickBot="1" x14ac:dyDescent="0.3">
      <c r="A227" s="118"/>
      <c r="B227" s="115"/>
      <c r="C227" s="116"/>
      <c r="D227" s="116"/>
      <c r="F227" s="118"/>
      <c r="G227" s="115"/>
      <c r="H227" s="116"/>
      <c r="I227" s="116"/>
      <c r="K227" s="118"/>
      <c r="L227" s="115"/>
      <c r="M227" s="116"/>
      <c r="N227" s="116"/>
    </row>
    <row r="228" spans="1:14" ht="13.8" thickBot="1" x14ac:dyDescent="0.3">
      <c r="A228" s="118"/>
      <c r="B228" s="115"/>
      <c r="C228" s="116"/>
      <c r="D228" s="116"/>
      <c r="F228" s="118"/>
      <c r="G228" s="115"/>
      <c r="H228" s="116"/>
      <c r="I228" s="116"/>
      <c r="K228" s="118"/>
      <c r="L228" s="115"/>
      <c r="M228" s="116"/>
      <c r="N228" s="116"/>
    </row>
    <row r="229" spans="1:14" ht="13.8" thickBot="1" x14ac:dyDescent="0.3">
      <c r="A229" s="118"/>
      <c r="B229" s="115"/>
      <c r="C229" s="116"/>
      <c r="D229" s="116"/>
      <c r="F229" s="118"/>
      <c r="G229" s="115"/>
      <c r="H229" s="116"/>
      <c r="I229" s="116"/>
      <c r="K229" s="118"/>
      <c r="L229" s="115"/>
      <c r="M229" s="116"/>
      <c r="N229" s="116"/>
    </row>
    <row r="230" spans="1:14" ht="13.8" thickBot="1" x14ac:dyDescent="0.3">
      <c r="A230" s="118"/>
      <c r="B230" s="115"/>
      <c r="C230" s="116"/>
      <c r="D230" s="116"/>
      <c r="F230" s="118"/>
      <c r="G230" s="115"/>
      <c r="H230" s="116"/>
      <c r="I230" s="116"/>
      <c r="K230" s="118"/>
      <c r="L230" s="115"/>
      <c r="M230" s="116"/>
      <c r="N230" s="116"/>
    </row>
    <row r="231" spans="1:14" ht="13.8" thickBot="1" x14ac:dyDescent="0.3">
      <c r="A231" s="118"/>
      <c r="B231" s="115"/>
      <c r="C231" s="116"/>
      <c r="D231" s="116"/>
      <c r="F231" s="118"/>
      <c r="G231" s="115"/>
      <c r="H231" s="116"/>
      <c r="I231" s="116"/>
      <c r="K231" s="118"/>
      <c r="L231" s="115"/>
      <c r="M231" s="116"/>
      <c r="N231" s="116"/>
    </row>
    <row r="232" spans="1:14" ht="13.8" thickBot="1" x14ac:dyDescent="0.3">
      <c r="A232" s="118"/>
      <c r="B232" s="115"/>
      <c r="C232" s="116"/>
      <c r="D232" s="116"/>
      <c r="F232" s="118"/>
      <c r="G232" s="115"/>
      <c r="H232" s="116"/>
      <c r="I232" s="116"/>
      <c r="K232" s="118"/>
      <c r="L232" s="115"/>
      <c r="M232" s="116"/>
      <c r="N232" s="116"/>
    </row>
    <row r="233" spans="1:14" ht="13.8" thickBot="1" x14ac:dyDescent="0.3">
      <c r="A233" s="118"/>
      <c r="B233" s="115"/>
      <c r="C233" s="116"/>
      <c r="D233" s="116"/>
      <c r="F233" s="118"/>
      <c r="G233" s="115"/>
      <c r="H233" s="116"/>
      <c r="I233" s="116"/>
      <c r="K233" s="118"/>
      <c r="L233" s="115"/>
      <c r="M233" s="116"/>
      <c r="N233" s="116"/>
    </row>
    <row r="234" spans="1:14" ht="13.8" thickBot="1" x14ac:dyDescent="0.3">
      <c r="A234" s="118"/>
      <c r="B234" s="115"/>
      <c r="C234" s="116"/>
      <c r="D234" s="116"/>
      <c r="F234" s="118"/>
      <c r="G234" s="115"/>
      <c r="H234" s="116"/>
      <c r="I234" s="116"/>
      <c r="K234" s="118"/>
      <c r="L234" s="115"/>
      <c r="M234" s="116"/>
      <c r="N234" s="116"/>
    </row>
    <row r="235" spans="1:14" ht="13.8" thickBot="1" x14ac:dyDescent="0.3">
      <c r="A235" s="118"/>
      <c r="B235" s="115"/>
      <c r="C235" s="116"/>
      <c r="D235" s="116"/>
      <c r="F235" s="118"/>
      <c r="G235" s="115"/>
      <c r="H235" s="116"/>
      <c r="I235" s="116"/>
      <c r="K235" s="118"/>
      <c r="L235" s="115"/>
      <c r="M235" s="116"/>
      <c r="N235" s="116"/>
    </row>
    <row r="236" spans="1:14" ht="13.8" thickBot="1" x14ac:dyDescent="0.3">
      <c r="A236" s="118"/>
      <c r="B236" s="115"/>
      <c r="C236" s="116"/>
      <c r="D236" s="116"/>
      <c r="F236" s="118"/>
      <c r="G236" s="115"/>
      <c r="H236" s="116"/>
      <c r="I236" s="116"/>
      <c r="K236" s="118"/>
      <c r="L236" s="115"/>
      <c r="M236" s="116"/>
      <c r="N236" s="116"/>
    </row>
    <row r="237" spans="1:14" ht="13.8" thickBot="1" x14ac:dyDescent="0.3">
      <c r="A237" s="118"/>
      <c r="B237" s="115"/>
      <c r="C237" s="116"/>
      <c r="D237" s="116"/>
      <c r="F237" s="118"/>
      <c r="G237" s="115"/>
      <c r="H237" s="116"/>
      <c r="I237" s="116"/>
      <c r="K237" s="118"/>
      <c r="L237" s="115"/>
      <c r="M237" s="116"/>
      <c r="N237" s="116"/>
    </row>
    <row r="238" spans="1:14" ht="13.8" thickBot="1" x14ac:dyDescent="0.3">
      <c r="A238" s="118"/>
      <c r="B238" s="115"/>
      <c r="C238" s="116"/>
      <c r="D238" s="116"/>
      <c r="F238" s="118"/>
      <c r="G238" s="115"/>
      <c r="H238" s="116"/>
      <c r="I238" s="116"/>
      <c r="K238" s="118"/>
      <c r="L238" s="115"/>
      <c r="M238" s="116"/>
      <c r="N238" s="116"/>
    </row>
    <row r="239" spans="1:14" ht="13.8" thickBot="1" x14ac:dyDescent="0.3">
      <c r="A239" s="118"/>
      <c r="B239" s="115"/>
      <c r="C239" s="116"/>
      <c r="D239" s="116"/>
      <c r="F239" s="118"/>
      <c r="G239" s="115"/>
      <c r="H239" s="116"/>
      <c r="I239" s="116"/>
      <c r="K239" s="118"/>
      <c r="L239" s="115"/>
      <c r="M239" s="116"/>
      <c r="N239" s="116"/>
    </row>
    <row r="240" spans="1:14" ht="13.8" thickBot="1" x14ac:dyDescent="0.3">
      <c r="A240" s="118"/>
      <c r="B240" s="115"/>
      <c r="C240" s="116"/>
      <c r="D240" s="116"/>
      <c r="F240" s="118"/>
      <c r="G240" s="115"/>
      <c r="H240" s="116"/>
      <c r="I240" s="116"/>
      <c r="K240" s="118"/>
      <c r="L240" s="115"/>
      <c r="M240" s="116"/>
      <c r="N240" s="116"/>
    </row>
    <row r="241" spans="1:14" ht="13.8" thickBot="1" x14ac:dyDescent="0.3">
      <c r="A241" s="118"/>
      <c r="B241" s="115"/>
      <c r="C241" s="116"/>
      <c r="D241" s="116"/>
      <c r="F241" s="118"/>
      <c r="G241" s="115"/>
      <c r="H241" s="116"/>
      <c r="I241" s="116"/>
      <c r="K241" s="118"/>
      <c r="L241" s="115"/>
      <c r="M241" s="116"/>
      <c r="N241" s="116"/>
    </row>
    <row r="242" spans="1:14" ht="13.8" thickBot="1" x14ac:dyDescent="0.3">
      <c r="A242" s="118"/>
      <c r="B242" s="115"/>
      <c r="C242" s="116"/>
      <c r="D242" s="116"/>
      <c r="F242" s="118"/>
      <c r="G242" s="115"/>
      <c r="H242" s="116"/>
      <c r="I242" s="116"/>
      <c r="K242" s="118"/>
      <c r="L242" s="115"/>
      <c r="M242" s="116"/>
      <c r="N242" s="116"/>
    </row>
    <row r="243" spans="1:14" ht="13.8" thickBot="1" x14ac:dyDescent="0.3">
      <c r="A243" s="118"/>
      <c r="B243" s="115"/>
      <c r="C243" s="116"/>
      <c r="D243" s="116"/>
      <c r="F243" s="118"/>
      <c r="G243" s="115"/>
      <c r="H243" s="116"/>
      <c r="I243" s="116"/>
      <c r="K243" s="118"/>
      <c r="L243" s="115"/>
      <c r="M243" s="116"/>
      <c r="N243" s="116"/>
    </row>
    <row r="244" spans="1:14" ht="13.8" thickBot="1" x14ac:dyDescent="0.3">
      <c r="A244" s="118"/>
      <c r="B244" s="115"/>
      <c r="C244" s="116"/>
      <c r="D244" s="116"/>
      <c r="F244" s="118"/>
      <c r="G244" s="115"/>
      <c r="H244" s="116"/>
      <c r="I244" s="116"/>
      <c r="K244" s="118"/>
      <c r="L244" s="115"/>
      <c r="M244" s="116"/>
      <c r="N244" s="116"/>
    </row>
    <row r="245" spans="1:14" ht="13.8" thickBot="1" x14ac:dyDescent="0.3">
      <c r="A245" s="118"/>
      <c r="B245" s="115"/>
      <c r="C245" s="116"/>
      <c r="D245" s="116"/>
      <c r="F245" s="118"/>
      <c r="G245" s="115"/>
      <c r="H245" s="116"/>
      <c r="I245" s="116"/>
      <c r="K245" s="118"/>
      <c r="L245" s="115"/>
      <c r="M245" s="116"/>
      <c r="N245" s="116"/>
    </row>
    <row r="246" spans="1:14" ht="13.8" thickBot="1" x14ac:dyDescent="0.3">
      <c r="A246" s="118"/>
      <c r="B246" s="115"/>
      <c r="C246" s="116"/>
      <c r="D246" s="116"/>
      <c r="F246" s="118"/>
      <c r="G246" s="115"/>
      <c r="H246" s="116"/>
      <c r="I246" s="116"/>
      <c r="K246" s="118"/>
      <c r="L246" s="115"/>
      <c r="M246" s="116"/>
      <c r="N246" s="116"/>
    </row>
    <row r="247" spans="1:14" ht="13.8" thickBot="1" x14ac:dyDescent="0.3">
      <c r="A247" s="118"/>
      <c r="B247" s="115"/>
      <c r="C247" s="116"/>
      <c r="D247" s="116"/>
      <c r="F247" s="118"/>
      <c r="G247" s="115"/>
      <c r="H247" s="116"/>
      <c r="I247" s="116"/>
      <c r="K247" s="118"/>
      <c r="L247" s="115"/>
      <c r="M247" s="116"/>
      <c r="N247" s="116"/>
    </row>
    <row r="248" spans="1:14" ht="13.8" thickBot="1" x14ac:dyDescent="0.3">
      <c r="A248" s="118"/>
      <c r="B248" s="115"/>
      <c r="C248" s="116"/>
      <c r="D248" s="116"/>
      <c r="F248" s="118"/>
      <c r="G248" s="115"/>
      <c r="H248" s="116"/>
      <c r="I248" s="116"/>
      <c r="K248" s="118"/>
      <c r="L248" s="115"/>
      <c r="M248" s="116"/>
      <c r="N248" s="116"/>
    </row>
    <row r="249" spans="1:14" ht="13.8" thickBot="1" x14ac:dyDescent="0.3">
      <c r="A249" s="118"/>
      <c r="B249" s="115"/>
      <c r="C249" s="116"/>
      <c r="D249" s="116"/>
      <c r="F249" s="118"/>
      <c r="G249" s="115"/>
      <c r="H249" s="116"/>
      <c r="I249" s="116"/>
      <c r="K249" s="118"/>
      <c r="L249" s="115"/>
      <c r="M249" s="116"/>
      <c r="N249" s="116"/>
    </row>
    <row r="250" spans="1:14" ht="13.8" thickBot="1" x14ac:dyDescent="0.3">
      <c r="A250" s="118"/>
      <c r="B250" s="115"/>
      <c r="C250" s="116"/>
      <c r="D250" s="116"/>
      <c r="F250" s="118"/>
      <c r="G250" s="115"/>
      <c r="H250" s="116"/>
      <c r="I250" s="116"/>
      <c r="K250" s="118"/>
      <c r="L250" s="115"/>
      <c r="M250" s="116"/>
      <c r="N250" s="116"/>
    </row>
    <row r="251" spans="1:14" ht="13.8" thickBot="1" x14ac:dyDescent="0.3">
      <c r="A251" s="118"/>
      <c r="B251" s="115"/>
      <c r="C251" s="116"/>
      <c r="D251" s="116"/>
      <c r="F251" s="118"/>
      <c r="G251" s="115"/>
      <c r="H251" s="116"/>
      <c r="I251" s="116"/>
      <c r="K251" s="118"/>
      <c r="L251" s="115"/>
      <c r="M251" s="116"/>
      <c r="N251" s="116"/>
    </row>
    <row r="252" spans="1:14" ht="13.8" thickBot="1" x14ac:dyDescent="0.3">
      <c r="A252" s="118"/>
      <c r="B252" s="115"/>
      <c r="C252" s="116"/>
      <c r="D252" s="116"/>
      <c r="F252" s="118"/>
      <c r="G252" s="115"/>
      <c r="H252" s="116"/>
      <c r="I252" s="116"/>
      <c r="K252" s="118"/>
      <c r="L252" s="115"/>
      <c r="M252" s="116"/>
      <c r="N252" s="116"/>
    </row>
    <row r="253" spans="1:14" ht="13.8" thickBot="1" x14ac:dyDescent="0.3">
      <c r="A253" s="118"/>
      <c r="B253" s="115"/>
      <c r="C253" s="116"/>
      <c r="D253" s="116"/>
      <c r="F253" s="118"/>
      <c r="G253" s="115"/>
      <c r="H253" s="116"/>
      <c r="I253" s="116"/>
      <c r="K253" s="118"/>
      <c r="L253" s="115"/>
      <c r="M253" s="116"/>
      <c r="N253" s="116"/>
    </row>
    <row r="254" spans="1:14" ht="13.8" thickBot="1" x14ac:dyDescent="0.3">
      <c r="A254" s="118"/>
      <c r="B254" s="115"/>
      <c r="C254" s="116"/>
      <c r="D254" s="116"/>
      <c r="F254" s="118"/>
      <c r="G254" s="115"/>
      <c r="H254" s="116"/>
      <c r="I254" s="116"/>
      <c r="K254" s="118"/>
      <c r="L254" s="115"/>
      <c r="M254" s="116"/>
      <c r="N254" s="116"/>
    </row>
    <row r="255" spans="1:14" ht="13.8" thickBot="1" x14ac:dyDescent="0.3">
      <c r="A255" s="118"/>
      <c r="B255" s="115"/>
      <c r="C255" s="116"/>
      <c r="D255" s="116"/>
      <c r="F255" s="118"/>
      <c r="G255" s="115"/>
      <c r="H255" s="116"/>
      <c r="I255" s="116"/>
      <c r="K255" s="118"/>
      <c r="L255" s="115"/>
      <c r="M255" s="116"/>
      <c r="N255" s="116"/>
    </row>
    <row r="256" spans="1:14" ht="13.8" thickBot="1" x14ac:dyDescent="0.3">
      <c r="A256" s="118"/>
      <c r="B256" s="115"/>
      <c r="C256" s="116"/>
      <c r="D256" s="116"/>
      <c r="F256" s="118"/>
      <c r="G256" s="115"/>
      <c r="H256" s="116"/>
      <c r="I256" s="116"/>
      <c r="K256" s="118"/>
      <c r="L256" s="115"/>
      <c r="M256" s="116"/>
      <c r="N256" s="116"/>
    </row>
    <row r="257" spans="1:15" ht="13.8" thickBot="1" x14ac:dyDescent="0.3">
      <c r="A257" s="118"/>
      <c r="B257" s="115"/>
      <c r="C257" s="116"/>
      <c r="D257" s="116"/>
      <c r="F257" s="118"/>
      <c r="G257" s="115"/>
      <c r="H257" s="116"/>
      <c r="I257" s="116"/>
      <c r="K257" s="118"/>
      <c r="L257" s="115"/>
      <c r="M257" s="116"/>
      <c r="N257" s="116"/>
    </row>
    <row r="258" spans="1:15" ht="13.8" thickBot="1" x14ac:dyDescent="0.3">
      <c r="A258" s="118"/>
      <c r="B258" s="115"/>
      <c r="C258" s="116"/>
      <c r="D258" s="116"/>
      <c r="F258" s="118"/>
      <c r="G258" s="115"/>
      <c r="H258" s="116"/>
      <c r="I258" s="116"/>
      <c r="K258" s="118"/>
      <c r="L258" s="115"/>
      <c r="M258" s="116"/>
      <c r="N258" s="116"/>
    </row>
    <row r="259" spans="1:15" s="123" customFormat="1" ht="13.8" thickBot="1" x14ac:dyDescent="0.3">
      <c r="A259" s="120"/>
      <c r="B259" s="121"/>
      <c r="C259" s="122"/>
      <c r="D259" s="116"/>
      <c r="E259" s="102"/>
      <c r="F259" s="118"/>
      <c r="G259" s="115"/>
      <c r="H259" s="116"/>
      <c r="I259" s="116"/>
      <c r="J259" s="102"/>
      <c r="K259" s="118"/>
      <c r="L259" s="115"/>
      <c r="M259" s="116"/>
      <c r="N259" s="116"/>
      <c r="O259" s="102"/>
    </row>
    <row r="260" spans="1:15" s="123" customFormat="1" ht="13.8" thickBot="1" x14ac:dyDescent="0.3">
      <c r="A260" s="120"/>
      <c r="B260" s="121"/>
      <c r="C260" s="122"/>
      <c r="D260" s="116"/>
      <c r="E260" s="102"/>
      <c r="F260" s="118"/>
      <c r="G260" s="115"/>
      <c r="H260" s="116"/>
      <c r="I260" s="116"/>
      <c r="J260" s="102"/>
      <c r="K260" s="118"/>
      <c r="L260" s="115"/>
      <c r="M260" s="116"/>
      <c r="N260" s="116"/>
      <c r="O260" s="102"/>
    </row>
    <row r="261" spans="1:15" ht="13.8" thickBot="1" x14ac:dyDescent="0.3">
      <c r="A261" s="118"/>
      <c r="B261" s="115"/>
      <c r="C261" s="116"/>
      <c r="D261" s="116"/>
      <c r="F261" s="118"/>
      <c r="G261" s="115"/>
      <c r="H261" s="116"/>
      <c r="I261" s="116"/>
      <c r="N261" s="116"/>
    </row>
    <row r="262" spans="1:15" ht="13.8" thickBot="1" x14ac:dyDescent="0.3">
      <c r="A262" s="118"/>
      <c r="B262" s="115"/>
      <c r="C262" s="116"/>
      <c r="D262" s="116"/>
      <c r="F262" s="118"/>
    </row>
    <row r="263" spans="1:15" ht="13.8" thickBot="1" x14ac:dyDescent="0.3">
      <c r="A263" s="118"/>
      <c r="B263" s="115"/>
      <c r="C263" s="116"/>
      <c r="D263" s="116"/>
      <c r="F263" s="118"/>
    </row>
    <row r="264" spans="1:15" ht="13.8" thickBot="1" x14ac:dyDescent="0.3">
      <c r="A264" s="118"/>
      <c r="B264" s="115"/>
      <c r="C264" s="116"/>
      <c r="D264" s="116"/>
      <c r="F264" s="118"/>
    </row>
    <row r="265" spans="1:15" ht="13.8" thickBot="1" x14ac:dyDescent="0.3">
      <c r="A265" s="118"/>
      <c r="B265" s="115"/>
      <c r="C265" s="116"/>
      <c r="D265" s="116"/>
      <c r="F265" s="118"/>
    </row>
    <row r="266" spans="1:15" ht="13.8" thickBot="1" x14ac:dyDescent="0.3">
      <c r="A266" s="118"/>
      <c r="B266" s="115"/>
      <c r="C266" s="116"/>
      <c r="D266" s="116"/>
      <c r="F266" s="118"/>
    </row>
    <row r="267" spans="1:15" ht="13.8" thickBot="1" x14ac:dyDescent="0.3">
      <c r="A267" s="118"/>
      <c r="B267" s="115"/>
      <c r="C267" s="116"/>
      <c r="D267" s="116"/>
      <c r="F267" s="118"/>
    </row>
    <row r="268" spans="1:15" ht="13.8" thickBot="1" x14ac:dyDescent="0.3">
      <c r="A268" s="118"/>
      <c r="B268" s="115"/>
      <c r="C268" s="116"/>
      <c r="D268" s="116"/>
      <c r="F268" s="118"/>
    </row>
    <row r="269" spans="1:15" ht="13.8" thickBot="1" x14ac:dyDescent="0.3">
      <c r="A269" s="118"/>
      <c r="B269" s="115"/>
      <c r="C269" s="116"/>
      <c r="D269" s="116"/>
      <c r="F269" s="118"/>
    </row>
    <row r="270" spans="1:15" ht="13.8" thickBot="1" x14ac:dyDescent="0.3">
      <c r="A270" s="118"/>
      <c r="B270" s="115"/>
      <c r="C270" s="116"/>
      <c r="D270" s="116"/>
      <c r="F270" s="118"/>
    </row>
    <row r="271" spans="1:15" ht="13.8" thickBot="1" x14ac:dyDescent="0.3">
      <c r="A271" s="118"/>
      <c r="B271" s="115"/>
      <c r="C271" s="116"/>
      <c r="D271" s="116"/>
      <c r="F271" s="118"/>
    </row>
    <row r="272" spans="1:15" ht="13.8" thickBot="1" x14ac:dyDescent="0.3">
      <c r="A272" s="118"/>
      <c r="B272" s="115"/>
      <c r="C272" s="116"/>
      <c r="D272" s="116"/>
      <c r="F272" s="118"/>
    </row>
    <row r="273" spans="1:6" ht="13.8" thickBot="1" x14ac:dyDescent="0.3">
      <c r="A273" s="118"/>
      <c r="B273" s="115"/>
      <c r="C273" s="116"/>
      <c r="D273" s="116"/>
      <c r="F273" s="118"/>
    </row>
    <row r="274" spans="1:6" ht="13.8" thickBot="1" x14ac:dyDescent="0.3">
      <c r="A274" s="118"/>
      <c r="B274" s="115"/>
      <c r="C274" s="116"/>
      <c r="D274" s="116"/>
      <c r="F274" s="118"/>
    </row>
    <row r="275" spans="1:6" ht="13.8" thickBot="1" x14ac:dyDescent="0.3">
      <c r="A275" s="118"/>
      <c r="B275" s="115"/>
      <c r="C275" s="116"/>
      <c r="D275" s="116"/>
      <c r="F275" s="118"/>
    </row>
    <row r="276" spans="1:6" ht="13.8" thickBot="1" x14ac:dyDescent="0.3">
      <c r="A276" s="118"/>
      <c r="B276" s="115"/>
      <c r="C276" s="116"/>
      <c r="D276" s="116"/>
      <c r="F276" s="118"/>
    </row>
    <row r="277" spans="1:6" ht="13.8" thickBot="1" x14ac:dyDescent="0.3">
      <c r="A277" s="118"/>
      <c r="B277" s="115"/>
      <c r="C277" s="116"/>
      <c r="D277" s="116"/>
      <c r="F277" s="118"/>
    </row>
    <row r="278" spans="1:6" ht="13.8" thickBot="1" x14ac:dyDescent="0.3">
      <c r="A278" s="118"/>
      <c r="B278" s="115"/>
      <c r="C278" s="116"/>
      <c r="D278" s="116"/>
      <c r="F278" s="118"/>
    </row>
    <row r="279" spans="1:6" ht="13.8" thickBot="1" x14ac:dyDescent="0.3">
      <c r="A279" s="118"/>
      <c r="B279" s="115"/>
      <c r="C279" s="116"/>
      <c r="D279" s="116"/>
      <c r="F279" s="118"/>
    </row>
    <row r="280" spans="1:6" ht="13.8" thickBot="1" x14ac:dyDescent="0.3">
      <c r="A280" s="118"/>
      <c r="B280" s="115"/>
      <c r="C280" s="116"/>
      <c r="D280" s="116"/>
      <c r="F280" s="118"/>
    </row>
    <row r="281" spans="1:6" ht="13.8" thickBot="1" x14ac:dyDescent="0.3">
      <c r="A281" s="118"/>
      <c r="B281" s="115"/>
      <c r="C281" s="116"/>
      <c r="D281" s="116"/>
      <c r="F281" s="118"/>
    </row>
    <row r="282" spans="1:6" ht="13.8" thickBot="1" x14ac:dyDescent="0.3">
      <c r="A282" s="118"/>
      <c r="B282" s="115"/>
      <c r="C282" s="116"/>
      <c r="D282" s="116"/>
      <c r="F282" s="118"/>
    </row>
    <row r="283" spans="1:6" ht="13.8" thickBot="1" x14ac:dyDescent="0.3">
      <c r="A283" s="118"/>
      <c r="B283" s="115"/>
      <c r="C283" s="116"/>
      <c r="D283" s="116"/>
      <c r="F283" s="118"/>
    </row>
    <row r="284" spans="1:6" ht="13.8" thickBot="1" x14ac:dyDescent="0.3">
      <c r="A284" s="118"/>
      <c r="B284" s="115"/>
      <c r="C284" s="116"/>
      <c r="D284" s="116"/>
      <c r="F284" s="118"/>
    </row>
    <row r="285" spans="1:6" ht="13.8" thickBot="1" x14ac:dyDescent="0.3">
      <c r="A285" s="118"/>
      <c r="B285" s="115"/>
      <c r="C285" s="116"/>
      <c r="D285" s="116"/>
      <c r="F285" s="118"/>
    </row>
    <row r="286" spans="1:6" ht="13.8" thickBot="1" x14ac:dyDescent="0.3">
      <c r="A286" s="118"/>
      <c r="B286" s="115"/>
      <c r="C286" s="116"/>
      <c r="D286" s="116"/>
      <c r="F286" s="118"/>
    </row>
    <row r="287" spans="1:6" ht="13.8" thickBot="1" x14ac:dyDescent="0.3">
      <c r="A287" s="118"/>
      <c r="B287" s="115"/>
      <c r="C287" s="116"/>
      <c r="D287" s="116"/>
      <c r="F287" s="118"/>
    </row>
    <row r="288" spans="1:6" ht="13.8" thickBot="1" x14ac:dyDescent="0.3">
      <c r="A288" s="118"/>
      <c r="B288" s="115"/>
      <c r="C288" s="116"/>
      <c r="D288" s="116"/>
      <c r="F288" s="118"/>
    </row>
    <row r="289" spans="1:6" ht="13.8" thickBot="1" x14ac:dyDescent="0.3">
      <c r="A289" s="118"/>
      <c r="B289" s="115"/>
      <c r="C289" s="116"/>
      <c r="D289" s="116"/>
      <c r="F289" s="118"/>
    </row>
    <row r="290" spans="1:6" ht="13.8" thickBot="1" x14ac:dyDescent="0.3">
      <c r="A290" s="118"/>
      <c r="B290" s="115"/>
      <c r="C290" s="116"/>
      <c r="D290" s="116"/>
      <c r="F290" s="118"/>
    </row>
    <row r="291" spans="1:6" ht="13.8" thickBot="1" x14ac:dyDescent="0.3">
      <c r="A291" s="118"/>
      <c r="B291" s="115"/>
      <c r="C291" s="116"/>
      <c r="D291" s="116"/>
      <c r="F291" s="118"/>
    </row>
    <row r="292" spans="1:6" ht="13.8" thickBot="1" x14ac:dyDescent="0.3">
      <c r="A292" s="118"/>
      <c r="B292" s="115"/>
      <c r="C292" s="116"/>
      <c r="D292" s="116"/>
      <c r="F292" s="118"/>
    </row>
    <row r="293" spans="1:6" ht="13.8" thickBot="1" x14ac:dyDescent="0.3">
      <c r="A293" s="118"/>
      <c r="B293" s="115"/>
      <c r="C293" s="116"/>
      <c r="D293" s="116"/>
      <c r="F293" s="118"/>
    </row>
    <row r="294" spans="1:6" ht="13.8" thickBot="1" x14ac:dyDescent="0.3">
      <c r="A294" s="118"/>
      <c r="B294" s="115"/>
      <c r="C294" s="116"/>
      <c r="D294" s="116"/>
      <c r="F294" s="118"/>
    </row>
    <row r="295" spans="1:6" ht="13.8" thickBot="1" x14ac:dyDescent="0.3">
      <c r="A295" s="118"/>
      <c r="B295" s="115"/>
      <c r="C295" s="116"/>
      <c r="D295" s="116"/>
      <c r="F295" s="118"/>
    </row>
    <row r="296" spans="1:6" ht="13.8" thickBot="1" x14ac:dyDescent="0.3">
      <c r="A296" s="118"/>
      <c r="B296" s="115"/>
      <c r="C296" s="116"/>
      <c r="D296" s="116"/>
      <c r="F296" s="118"/>
    </row>
    <row r="297" spans="1:6" ht="13.8" thickBot="1" x14ac:dyDescent="0.3">
      <c r="A297" s="118"/>
      <c r="B297" s="115"/>
      <c r="C297" s="116"/>
      <c r="D297" s="116"/>
      <c r="F297" s="118"/>
    </row>
    <row r="298" spans="1:6" ht="13.8" thickBot="1" x14ac:dyDescent="0.3">
      <c r="A298" s="118"/>
      <c r="B298" s="115"/>
      <c r="C298" s="116"/>
      <c r="D298" s="116"/>
      <c r="F298" s="118"/>
    </row>
    <row r="299" spans="1:6" ht="13.8" thickBot="1" x14ac:dyDescent="0.3">
      <c r="A299" s="118"/>
      <c r="B299" s="115"/>
      <c r="C299" s="116"/>
      <c r="D299" s="116"/>
      <c r="F299" s="118"/>
    </row>
    <row r="300" spans="1:6" ht="13.8" thickBot="1" x14ac:dyDescent="0.3">
      <c r="A300" s="118"/>
      <c r="B300" s="115"/>
      <c r="C300" s="116"/>
      <c r="D300" s="116"/>
      <c r="F300" s="118"/>
    </row>
    <row r="301" spans="1:6" ht="13.8" thickBot="1" x14ac:dyDescent="0.3">
      <c r="A301" s="118"/>
      <c r="B301" s="115"/>
      <c r="C301" s="116"/>
      <c r="D301" s="116"/>
      <c r="F301" s="118"/>
    </row>
    <row r="302" spans="1:6" ht="13.8" thickBot="1" x14ac:dyDescent="0.3">
      <c r="A302" s="118"/>
      <c r="B302" s="115"/>
      <c r="C302" s="116"/>
      <c r="D302" s="116"/>
      <c r="F302" s="118"/>
    </row>
    <row r="303" spans="1:6" ht="13.8" thickBot="1" x14ac:dyDescent="0.3">
      <c r="A303" s="118"/>
      <c r="B303" s="115"/>
      <c r="C303" s="116"/>
      <c r="D303" s="116"/>
      <c r="F303" s="118"/>
    </row>
    <row r="304" spans="1:6" ht="13.8" thickBot="1" x14ac:dyDescent="0.3">
      <c r="A304" s="118"/>
      <c r="B304" s="115"/>
      <c r="C304" s="116"/>
      <c r="D304" s="116"/>
      <c r="F304" s="118"/>
    </row>
    <row r="305" spans="1:6" ht="13.8" thickBot="1" x14ac:dyDescent="0.3">
      <c r="A305" s="118"/>
      <c r="B305" s="115"/>
      <c r="C305" s="116"/>
      <c r="D305" s="116"/>
      <c r="F305" s="118"/>
    </row>
    <row r="306" spans="1:6" ht="13.8" thickBot="1" x14ac:dyDescent="0.3">
      <c r="A306" s="118"/>
      <c r="B306" s="115"/>
      <c r="C306" s="116"/>
      <c r="D306" s="116"/>
      <c r="F306" s="118"/>
    </row>
    <row r="307" spans="1:6" ht="13.8" thickBot="1" x14ac:dyDescent="0.3">
      <c r="A307" s="118"/>
      <c r="B307" s="115"/>
      <c r="C307" s="116"/>
      <c r="D307" s="116"/>
      <c r="F307" s="118"/>
    </row>
    <row r="308" spans="1:6" ht="13.8" thickBot="1" x14ac:dyDescent="0.3">
      <c r="A308" s="118"/>
      <c r="B308" s="115"/>
      <c r="C308" s="116"/>
      <c r="D308" s="116"/>
      <c r="F308" s="118"/>
    </row>
    <row r="309" spans="1:6" ht="13.8" thickBot="1" x14ac:dyDescent="0.3">
      <c r="A309" s="118"/>
      <c r="B309" s="115"/>
      <c r="C309" s="116"/>
      <c r="D309" s="116"/>
      <c r="F309" s="118"/>
    </row>
    <row r="310" spans="1:6" ht="13.8" thickBot="1" x14ac:dyDescent="0.3">
      <c r="A310" s="118"/>
      <c r="B310" s="115"/>
      <c r="C310" s="116"/>
      <c r="D310" s="116"/>
      <c r="F310" s="118"/>
    </row>
    <row r="311" spans="1:6" ht="13.8" thickBot="1" x14ac:dyDescent="0.3">
      <c r="A311" s="118"/>
      <c r="B311" s="115"/>
      <c r="C311" s="116"/>
      <c r="D311" s="116"/>
      <c r="F311" s="118"/>
    </row>
    <row r="312" spans="1:6" ht="13.8" thickBot="1" x14ac:dyDescent="0.3">
      <c r="A312" s="118"/>
      <c r="B312" s="115"/>
      <c r="C312" s="116"/>
      <c r="D312" s="116"/>
      <c r="F312" s="118"/>
    </row>
    <row r="313" spans="1:6" ht="13.8" thickBot="1" x14ac:dyDescent="0.3">
      <c r="A313" s="118"/>
      <c r="B313" s="115"/>
      <c r="C313" s="116"/>
      <c r="D313" s="116"/>
      <c r="F313" s="118"/>
    </row>
    <row r="314" spans="1:6" ht="13.8" thickBot="1" x14ac:dyDescent="0.3">
      <c r="A314" s="118"/>
      <c r="B314" s="115"/>
      <c r="C314" s="116"/>
      <c r="D314" s="116"/>
      <c r="F314" s="118"/>
    </row>
    <row r="315" spans="1:6" ht="13.8" thickBot="1" x14ac:dyDescent="0.3">
      <c r="A315" s="118"/>
      <c r="B315" s="115"/>
      <c r="C315" s="116"/>
      <c r="D315" s="116"/>
      <c r="F315" s="118"/>
    </row>
    <row r="316" spans="1:6" ht="13.8" thickBot="1" x14ac:dyDescent="0.3">
      <c r="A316" s="118"/>
      <c r="B316" s="115"/>
      <c r="C316" s="116"/>
      <c r="D316" s="116"/>
      <c r="F316" s="118"/>
    </row>
    <row r="317" spans="1:6" ht="13.8" thickBot="1" x14ac:dyDescent="0.3">
      <c r="A317" s="118"/>
      <c r="B317" s="115"/>
      <c r="C317" s="116"/>
      <c r="D317" s="116"/>
      <c r="F317" s="118"/>
    </row>
    <row r="318" spans="1:6" ht="13.8" thickBot="1" x14ac:dyDescent="0.3">
      <c r="A318" s="118"/>
      <c r="B318" s="115"/>
      <c r="C318" s="116"/>
      <c r="D318" s="116"/>
      <c r="F318" s="118"/>
    </row>
    <row r="319" spans="1:6" ht="13.8" thickBot="1" x14ac:dyDescent="0.3">
      <c r="A319" s="118"/>
      <c r="B319" s="115"/>
      <c r="C319" s="116"/>
      <c r="D319" s="116"/>
      <c r="F319" s="118"/>
    </row>
    <row r="320" spans="1:6" ht="13.8" thickBot="1" x14ac:dyDescent="0.3">
      <c r="A320" s="118"/>
      <c r="B320" s="115"/>
      <c r="C320" s="116"/>
      <c r="D320" s="116"/>
      <c r="F320" s="118"/>
    </row>
    <row r="321" spans="1:6" ht="13.8" thickBot="1" x14ac:dyDescent="0.3">
      <c r="A321" s="118"/>
      <c r="B321" s="115"/>
      <c r="C321" s="116"/>
      <c r="D321" s="116"/>
      <c r="F321" s="118"/>
    </row>
    <row r="322" spans="1:6" ht="13.8" thickBot="1" x14ac:dyDescent="0.3">
      <c r="A322" s="118"/>
      <c r="B322" s="115"/>
      <c r="C322" s="116"/>
      <c r="D322" s="116"/>
      <c r="F322" s="118"/>
    </row>
    <row r="323" spans="1:6" ht="13.8" thickBot="1" x14ac:dyDescent="0.3">
      <c r="A323" s="118"/>
      <c r="B323" s="115"/>
      <c r="C323" s="116"/>
      <c r="D323" s="116"/>
      <c r="F323" s="118"/>
    </row>
    <row r="324" spans="1:6" ht="13.8" thickBot="1" x14ac:dyDescent="0.3">
      <c r="A324" s="118"/>
      <c r="B324" s="115"/>
      <c r="C324" s="116"/>
      <c r="D324" s="116"/>
      <c r="F324" s="118"/>
    </row>
    <row r="325" spans="1:6" ht="13.8" thickBot="1" x14ac:dyDescent="0.3">
      <c r="A325" s="118"/>
      <c r="B325" s="115"/>
      <c r="C325" s="116"/>
      <c r="D325" s="116"/>
      <c r="F325" s="118"/>
    </row>
    <row r="326" spans="1:6" ht="13.8" thickBot="1" x14ac:dyDescent="0.3">
      <c r="A326" s="118"/>
      <c r="B326" s="115"/>
      <c r="C326" s="116"/>
      <c r="D326" s="116"/>
      <c r="F326" s="118"/>
    </row>
    <row r="327" spans="1:6" ht="13.8" thickBot="1" x14ac:dyDescent="0.3">
      <c r="A327" s="118"/>
      <c r="B327" s="115"/>
      <c r="C327" s="116"/>
      <c r="D327" s="116"/>
      <c r="F327" s="118"/>
    </row>
    <row r="328" spans="1:6" ht="13.8" thickBot="1" x14ac:dyDescent="0.3">
      <c r="A328" s="118"/>
      <c r="B328" s="115"/>
      <c r="C328" s="116"/>
      <c r="D328" s="116"/>
      <c r="F328" s="118"/>
    </row>
    <row r="329" spans="1:6" ht="13.8" thickBot="1" x14ac:dyDescent="0.3">
      <c r="A329" s="118"/>
      <c r="B329" s="115"/>
      <c r="C329" s="116"/>
      <c r="D329" s="116"/>
      <c r="F329" s="118"/>
    </row>
    <row r="330" spans="1:6" ht="13.8" thickBot="1" x14ac:dyDescent="0.3">
      <c r="A330" s="118"/>
      <c r="B330" s="115"/>
      <c r="C330" s="116"/>
      <c r="D330" s="116"/>
      <c r="F330" s="118"/>
    </row>
    <row r="331" spans="1:6" ht="13.8" thickBot="1" x14ac:dyDescent="0.3">
      <c r="A331" s="118"/>
      <c r="B331" s="115"/>
      <c r="C331" s="116"/>
      <c r="D331" s="116"/>
      <c r="F331" s="118"/>
    </row>
    <row r="332" spans="1:6" ht="13.8" thickBot="1" x14ac:dyDescent="0.3">
      <c r="A332" s="118"/>
      <c r="B332" s="115"/>
      <c r="C332" s="116"/>
      <c r="D332" s="116"/>
      <c r="F332" s="118"/>
    </row>
    <row r="333" spans="1:6" ht="13.8" thickBot="1" x14ac:dyDescent="0.3">
      <c r="A333" s="118"/>
      <c r="B333" s="115"/>
      <c r="C333" s="116"/>
      <c r="D333" s="116"/>
      <c r="F333" s="118"/>
    </row>
    <row r="334" spans="1:6" ht="13.8" thickBot="1" x14ac:dyDescent="0.3">
      <c r="A334" s="118"/>
      <c r="B334" s="115"/>
      <c r="C334" s="116"/>
      <c r="D334" s="116"/>
      <c r="F334" s="118"/>
    </row>
    <row r="335" spans="1:6" ht="13.8" thickBot="1" x14ac:dyDescent="0.3">
      <c r="A335" s="118"/>
      <c r="B335" s="115"/>
      <c r="C335" s="116"/>
      <c r="D335" s="116"/>
      <c r="F335" s="118"/>
    </row>
    <row r="336" spans="1:6" ht="13.8" thickBot="1" x14ac:dyDescent="0.3">
      <c r="A336" s="118"/>
      <c r="B336" s="115"/>
      <c r="C336" s="116"/>
      <c r="D336" s="116"/>
      <c r="F336" s="118"/>
    </row>
    <row r="337" spans="1:6" ht="13.8" thickBot="1" x14ac:dyDescent="0.3">
      <c r="A337" s="118"/>
      <c r="B337" s="115"/>
      <c r="C337" s="116"/>
      <c r="D337" s="116"/>
      <c r="F337" s="118"/>
    </row>
    <row r="338" spans="1:6" ht="13.8" thickBot="1" x14ac:dyDescent="0.3">
      <c r="A338" s="118"/>
      <c r="B338" s="115"/>
      <c r="C338" s="116"/>
      <c r="D338" s="116"/>
      <c r="F338" s="118"/>
    </row>
    <row r="339" spans="1:6" ht="13.8" thickBot="1" x14ac:dyDescent="0.3">
      <c r="A339" s="118"/>
      <c r="B339" s="115"/>
      <c r="C339" s="116"/>
      <c r="D339" s="116"/>
      <c r="F339" s="118"/>
    </row>
    <row r="340" spans="1:6" ht="13.8" thickBot="1" x14ac:dyDescent="0.3">
      <c r="A340" s="118"/>
      <c r="B340" s="115"/>
      <c r="C340" s="116"/>
      <c r="D340" s="116"/>
      <c r="F340" s="118"/>
    </row>
    <row r="341" spans="1:6" ht="13.8" thickBot="1" x14ac:dyDescent="0.3">
      <c r="A341" s="118"/>
      <c r="B341" s="115"/>
      <c r="C341" s="116"/>
      <c r="D341" s="116"/>
      <c r="F341" s="118"/>
    </row>
    <row r="342" spans="1:6" ht="13.8" thickBot="1" x14ac:dyDescent="0.3">
      <c r="A342" s="118"/>
      <c r="B342" s="115"/>
      <c r="C342" s="116"/>
      <c r="D342" s="116"/>
      <c r="F342" s="118"/>
    </row>
    <row r="343" spans="1:6" ht="13.8" thickBot="1" x14ac:dyDescent="0.3">
      <c r="A343" s="118"/>
      <c r="B343" s="115"/>
      <c r="C343" s="116"/>
      <c r="D343" s="116"/>
      <c r="F343" s="118"/>
    </row>
    <row r="344" spans="1:6" ht="13.8" thickBot="1" x14ac:dyDescent="0.3">
      <c r="A344" s="118"/>
      <c r="B344" s="115"/>
      <c r="C344" s="116"/>
      <c r="D344" s="116"/>
      <c r="F344" s="118"/>
    </row>
    <row r="345" spans="1:6" ht="13.8" thickBot="1" x14ac:dyDescent="0.3">
      <c r="A345" s="118"/>
      <c r="B345" s="115"/>
      <c r="C345" s="116"/>
      <c r="D345" s="116"/>
      <c r="F345" s="118"/>
    </row>
    <row r="346" spans="1:6" ht="13.8" thickBot="1" x14ac:dyDescent="0.3">
      <c r="A346" s="118"/>
      <c r="B346" s="115"/>
      <c r="C346" s="116"/>
      <c r="D346" s="116"/>
      <c r="F346" s="118"/>
    </row>
    <row r="347" spans="1:6" ht="13.8" thickBot="1" x14ac:dyDescent="0.3">
      <c r="A347" s="118"/>
      <c r="B347" s="115"/>
      <c r="C347" s="116"/>
      <c r="D347" s="116"/>
      <c r="F347" s="118"/>
    </row>
    <row r="348" spans="1:6" ht="13.8" thickBot="1" x14ac:dyDescent="0.3">
      <c r="A348" s="118"/>
      <c r="B348" s="115"/>
      <c r="C348" s="116"/>
      <c r="D348" s="116"/>
      <c r="F348" s="118"/>
    </row>
    <row r="349" spans="1:6" ht="13.8" thickBot="1" x14ac:dyDescent="0.3">
      <c r="A349" s="118"/>
      <c r="B349" s="115"/>
      <c r="C349" s="116"/>
      <c r="D349" s="116"/>
      <c r="F349" s="118"/>
    </row>
    <row r="350" spans="1:6" ht="13.8" thickBot="1" x14ac:dyDescent="0.3">
      <c r="A350" s="118"/>
      <c r="B350" s="115"/>
      <c r="C350" s="116"/>
      <c r="D350" s="116"/>
      <c r="F350" s="118"/>
    </row>
    <row r="351" spans="1:6" ht="13.8" thickBot="1" x14ac:dyDescent="0.3">
      <c r="A351" s="118"/>
      <c r="B351" s="115"/>
      <c r="C351" s="116"/>
      <c r="D351" s="116"/>
      <c r="F351" s="118"/>
    </row>
    <row r="352" spans="1:6" ht="13.8" thickBot="1" x14ac:dyDescent="0.3">
      <c r="A352" s="118"/>
      <c r="B352" s="115"/>
      <c r="C352" s="116"/>
      <c r="D352" s="116"/>
      <c r="F352" s="118"/>
    </row>
    <row r="353" spans="1:6" ht="13.8" thickBot="1" x14ac:dyDescent="0.3">
      <c r="A353" s="118"/>
      <c r="B353" s="115"/>
      <c r="C353" s="116"/>
      <c r="D353" s="116"/>
      <c r="F353" s="118"/>
    </row>
    <row r="354" spans="1:6" ht="13.8" thickBot="1" x14ac:dyDescent="0.3">
      <c r="A354" s="118"/>
      <c r="B354" s="115"/>
      <c r="C354" s="116"/>
      <c r="D354" s="116"/>
      <c r="F354" s="118"/>
    </row>
    <row r="355" spans="1:6" ht="13.8" thickBot="1" x14ac:dyDescent="0.3">
      <c r="A355" s="118"/>
      <c r="B355" s="115"/>
      <c r="C355" s="116"/>
      <c r="D355" s="116"/>
      <c r="F355" s="118"/>
    </row>
    <row r="356" spans="1:6" ht="13.8" thickBot="1" x14ac:dyDescent="0.3">
      <c r="A356" s="118"/>
      <c r="B356" s="115"/>
      <c r="C356" s="116"/>
      <c r="D356" s="116"/>
      <c r="F356" s="118"/>
    </row>
    <row r="357" spans="1:6" ht="13.8" thickBot="1" x14ac:dyDescent="0.3">
      <c r="A357" s="118"/>
      <c r="B357" s="115"/>
      <c r="C357" s="116"/>
      <c r="D357" s="116"/>
      <c r="F357" s="118"/>
    </row>
    <row r="358" spans="1:6" ht="13.8" thickBot="1" x14ac:dyDescent="0.3">
      <c r="A358" s="118"/>
      <c r="B358" s="115"/>
      <c r="C358" s="116"/>
      <c r="D358" s="116"/>
      <c r="F358" s="118"/>
    </row>
    <row r="359" spans="1:6" ht="13.8" thickBot="1" x14ac:dyDescent="0.3">
      <c r="A359" s="118"/>
      <c r="B359" s="115"/>
      <c r="C359" s="116"/>
      <c r="D359" s="116"/>
      <c r="F359" s="118"/>
    </row>
    <row r="360" spans="1:6" ht="13.8" thickBot="1" x14ac:dyDescent="0.3">
      <c r="A360" s="118"/>
      <c r="B360" s="115"/>
      <c r="C360" s="116"/>
      <c r="D360" s="116"/>
      <c r="F360" s="118"/>
    </row>
    <row r="361" spans="1:6" ht="13.8" thickBot="1" x14ac:dyDescent="0.3">
      <c r="A361" s="118"/>
      <c r="B361" s="115"/>
      <c r="C361" s="116"/>
      <c r="D361" s="116"/>
      <c r="F361" s="118"/>
    </row>
    <row r="362" spans="1:6" ht="13.8" thickBot="1" x14ac:dyDescent="0.3">
      <c r="A362" s="118"/>
      <c r="B362" s="115"/>
      <c r="C362" s="116"/>
      <c r="D362" s="116"/>
      <c r="F362" s="118"/>
    </row>
    <row r="363" spans="1:6" ht="13.8" thickBot="1" x14ac:dyDescent="0.3">
      <c r="A363" s="118"/>
      <c r="B363" s="115"/>
      <c r="C363" s="116"/>
      <c r="D363" s="116"/>
      <c r="F363" s="118"/>
    </row>
    <row r="364" spans="1:6" ht="13.8" thickBot="1" x14ac:dyDescent="0.3">
      <c r="A364" s="118"/>
      <c r="B364" s="115"/>
      <c r="C364" s="116"/>
      <c r="D364" s="116"/>
      <c r="F364" s="118"/>
    </row>
    <row r="365" spans="1:6" ht="13.8" thickBot="1" x14ac:dyDescent="0.3">
      <c r="A365" s="118"/>
      <c r="B365" s="115"/>
      <c r="C365" s="116"/>
      <c r="D365" s="116"/>
      <c r="F365" s="118"/>
    </row>
    <row r="366" spans="1:6" ht="13.8" thickBot="1" x14ac:dyDescent="0.3">
      <c r="A366" s="118"/>
      <c r="B366" s="115"/>
      <c r="C366" s="116"/>
      <c r="D366" s="116"/>
      <c r="F366" s="118"/>
    </row>
    <row r="367" spans="1:6" ht="13.8" thickBot="1" x14ac:dyDescent="0.3">
      <c r="A367" s="118"/>
      <c r="B367" s="115"/>
      <c r="C367" s="116"/>
      <c r="D367" s="116"/>
      <c r="F367" s="118"/>
    </row>
    <row r="368" spans="1:6" ht="13.8" thickBot="1" x14ac:dyDescent="0.3">
      <c r="A368" s="118"/>
      <c r="B368" s="115"/>
      <c r="C368" s="116"/>
      <c r="D368" s="116"/>
      <c r="F368" s="118"/>
    </row>
    <row r="369" spans="1:6" ht="13.8" thickBot="1" x14ac:dyDescent="0.3">
      <c r="A369" s="118"/>
      <c r="B369" s="115"/>
      <c r="C369" s="116"/>
      <c r="D369" s="116"/>
      <c r="F369" s="118"/>
    </row>
    <row r="370" spans="1:6" ht="13.8" thickBot="1" x14ac:dyDescent="0.3">
      <c r="A370" s="118"/>
      <c r="B370" s="115"/>
      <c r="C370" s="116"/>
      <c r="D370" s="116"/>
      <c r="F370" s="118"/>
    </row>
    <row r="371" spans="1:6" ht="13.8" thickBot="1" x14ac:dyDescent="0.3">
      <c r="A371" s="118"/>
      <c r="B371" s="115"/>
      <c r="C371" s="116"/>
      <c r="D371" s="116"/>
      <c r="F371" s="118"/>
    </row>
    <row r="372" spans="1:6" ht="13.8" thickBot="1" x14ac:dyDescent="0.3">
      <c r="A372" s="118"/>
      <c r="B372" s="115"/>
      <c r="C372" s="116"/>
      <c r="D372" s="116"/>
      <c r="F372" s="118"/>
    </row>
    <row r="373" spans="1:6" ht="13.8" thickBot="1" x14ac:dyDescent="0.3">
      <c r="A373" s="118"/>
      <c r="B373" s="115"/>
      <c r="C373" s="116"/>
      <c r="D373" s="116"/>
      <c r="F373" s="118"/>
    </row>
    <row r="374" spans="1:6" ht="13.8" thickBot="1" x14ac:dyDescent="0.3">
      <c r="A374" s="118"/>
      <c r="B374" s="115"/>
      <c r="C374" s="116"/>
      <c r="D374" s="116"/>
      <c r="F374" s="118"/>
    </row>
    <row r="375" spans="1:6" ht="13.8" thickBot="1" x14ac:dyDescent="0.3">
      <c r="A375" s="118"/>
      <c r="B375" s="115"/>
      <c r="C375" s="116"/>
      <c r="D375" s="116"/>
      <c r="F375" s="118"/>
    </row>
    <row r="376" spans="1:6" ht="13.8" thickBot="1" x14ac:dyDescent="0.3">
      <c r="A376" s="118"/>
      <c r="B376" s="115"/>
      <c r="C376" s="116"/>
      <c r="D376" s="116"/>
      <c r="F376" s="118"/>
    </row>
    <row r="377" spans="1:6" ht="13.8" thickBot="1" x14ac:dyDescent="0.3">
      <c r="A377" s="118"/>
      <c r="B377" s="115"/>
      <c r="C377" s="116"/>
      <c r="D377" s="116"/>
      <c r="F377" s="118"/>
    </row>
    <row r="378" spans="1:6" ht="13.8" thickBot="1" x14ac:dyDescent="0.3">
      <c r="A378" s="118"/>
      <c r="B378" s="115"/>
      <c r="C378" s="116"/>
      <c r="D378" s="116"/>
      <c r="F378" s="118"/>
    </row>
    <row r="379" spans="1:6" ht="13.8" thickBot="1" x14ac:dyDescent="0.3">
      <c r="A379" s="118"/>
      <c r="B379" s="115"/>
      <c r="C379" s="116"/>
      <c r="D379" s="116"/>
      <c r="F379" s="118"/>
    </row>
    <row r="380" spans="1:6" ht="13.8" thickBot="1" x14ac:dyDescent="0.3">
      <c r="A380" s="118"/>
      <c r="B380" s="115"/>
      <c r="C380" s="116"/>
      <c r="D380" s="116"/>
      <c r="F380" s="118"/>
    </row>
    <row r="381" spans="1:6" ht="13.8" thickBot="1" x14ac:dyDescent="0.3">
      <c r="A381" s="118"/>
      <c r="B381" s="115"/>
      <c r="C381" s="116"/>
      <c r="D381" s="116"/>
      <c r="F381" s="118"/>
    </row>
    <row r="382" spans="1:6" ht="13.8" thickBot="1" x14ac:dyDescent="0.3">
      <c r="A382" s="118"/>
      <c r="B382" s="115"/>
      <c r="C382" s="116"/>
      <c r="D382" s="116"/>
      <c r="F382" s="118"/>
    </row>
    <row r="383" spans="1:6" ht="13.8" thickBot="1" x14ac:dyDescent="0.3">
      <c r="A383" s="118"/>
      <c r="B383" s="115"/>
      <c r="C383" s="116"/>
      <c r="D383" s="116"/>
      <c r="F383" s="118"/>
    </row>
    <row r="384" spans="1:6" ht="13.8" thickBot="1" x14ac:dyDescent="0.3">
      <c r="A384" s="118"/>
      <c r="B384" s="115"/>
      <c r="C384" s="116"/>
      <c r="D384" s="116"/>
      <c r="F384" s="118"/>
    </row>
    <row r="385" spans="1:6" ht="13.8" thickBot="1" x14ac:dyDescent="0.3">
      <c r="A385" s="118"/>
      <c r="B385" s="115"/>
      <c r="C385" s="116"/>
      <c r="D385" s="116"/>
      <c r="F385" s="118"/>
    </row>
    <row r="386" spans="1:6" ht="13.8" thickBot="1" x14ac:dyDescent="0.3">
      <c r="A386" s="118"/>
      <c r="B386" s="115"/>
      <c r="C386" s="116"/>
      <c r="D386" s="116"/>
      <c r="F386" s="118"/>
    </row>
    <row r="387" spans="1:6" ht="13.8" thickBot="1" x14ac:dyDescent="0.3">
      <c r="A387" s="118"/>
      <c r="B387" s="115"/>
      <c r="C387" s="116"/>
      <c r="D387" s="116"/>
      <c r="F387" s="118"/>
    </row>
    <row r="388" spans="1:6" ht="13.8" thickBot="1" x14ac:dyDescent="0.3">
      <c r="A388" s="118"/>
      <c r="B388" s="115"/>
      <c r="C388" s="116"/>
      <c r="D388" s="116"/>
      <c r="F388" s="118"/>
    </row>
    <row r="389" spans="1:6" ht="13.8" thickBot="1" x14ac:dyDescent="0.3">
      <c r="A389" s="118"/>
      <c r="B389" s="115"/>
      <c r="C389" s="116"/>
      <c r="D389" s="116"/>
      <c r="F389" s="118"/>
    </row>
    <row r="390" spans="1:6" ht="13.8" thickBot="1" x14ac:dyDescent="0.3">
      <c r="A390" s="118"/>
      <c r="B390" s="115"/>
      <c r="C390" s="116"/>
      <c r="D390" s="116"/>
      <c r="F390" s="118"/>
    </row>
    <row r="391" spans="1:6" ht="13.8" thickBot="1" x14ac:dyDescent="0.3">
      <c r="A391" s="118"/>
      <c r="B391" s="115"/>
      <c r="C391" s="116"/>
      <c r="D391" s="116"/>
      <c r="F391" s="118"/>
    </row>
    <row r="392" spans="1:6" ht="13.8" thickBot="1" x14ac:dyDescent="0.3">
      <c r="A392" s="118"/>
      <c r="B392" s="115"/>
      <c r="C392" s="116"/>
      <c r="D392" s="116"/>
      <c r="F392" s="118"/>
    </row>
    <row r="393" spans="1:6" ht="13.8" thickBot="1" x14ac:dyDescent="0.3">
      <c r="A393" s="118"/>
      <c r="B393" s="115"/>
      <c r="C393" s="116"/>
      <c r="D393" s="116"/>
      <c r="F393" s="118"/>
    </row>
    <row r="394" spans="1:6" ht="13.8" thickBot="1" x14ac:dyDescent="0.3">
      <c r="A394" s="118"/>
      <c r="B394" s="115"/>
      <c r="C394" s="116"/>
      <c r="D394" s="116"/>
      <c r="F394" s="118"/>
    </row>
    <row r="395" spans="1:6" ht="13.8" thickBot="1" x14ac:dyDescent="0.3">
      <c r="A395" s="118"/>
      <c r="B395" s="115"/>
      <c r="C395" s="116"/>
      <c r="D395" s="116"/>
      <c r="F395" s="118"/>
    </row>
    <row r="396" spans="1:6" ht="13.8" thickBot="1" x14ac:dyDescent="0.3">
      <c r="A396" s="118"/>
      <c r="B396" s="115"/>
      <c r="C396" s="116"/>
      <c r="D396" s="116"/>
      <c r="F396" s="118"/>
    </row>
    <row r="397" spans="1:6" ht="13.8" thickBot="1" x14ac:dyDescent="0.3">
      <c r="A397" s="118"/>
      <c r="B397" s="115"/>
      <c r="C397" s="116"/>
      <c r="D397" s="116"/>
      <c r="F397" s="118"/>
    </row>
    <row r="398" spans="1:6" ht="13.8" thickBot="1" x14ac:dyDescent="0.3">
      <c r="A398" s="118"/>
      <c r="B398" s="115"/>
      <c r="C398" s="116"/>
      <c r="D398" s="116"/>
      <c r="F398" s="118"/>
    </row>
    <row r="399" spans="1:6" ht="13.8" thickBot="1" x14ac:dyDescent="0.3">
      <c r="A399" s="118"/>
      <c r="B399" s="115"/>
      <c r="C399" s="116"/>
      <c r="D399" s="116"/>
      <c r="F399" s="118"/>
    </row>
    <row r="400" spans="1:6" ht="13.8" thickBot="1" x14ac:dyDescent="0.3">
      <c r="A400" s="118"/>
      <c r="B400" s="115"/>
      <c r="C400" s="116"/>
      <c r="D400" s="116"/>
      <c r="F400" s="118"/>
    </row>
    <row r="401" spans="1:6" ht="13.8" thickBot="1" x14ac:dyDescent="0.3">
      <c r="A401" s="118"/>
      <c r="B401" s="115"/>
      <c r="C401" s="116"/>
      <c r="D401" s="116"/>
      <c r="F401" s="118"/>
    </row>
    <row r="402" spans="1:6" ht="13.8" thickBot="1" x14ac:dyDescent="0.3">
      <c r="A402" s="118"/>
      <c r="B402" s="115"/>
      <c r="C402" s="116"/>
      <c r="D402" s="116"/>
      <c r="F402" s="118"/>
    </row>
    <row r="403" spans="1:6" ht="13.8" thickBot="1" x14ac:dyDescent="0.3">
      <c r="A403" s="118"/>
      <c r="B403" s="115"/>
      <c r="C403" s="116"/>
      <c r="D403" s="116"/>
      <c r="F403" s="118"/>
    </row>
    <row r="404" spans="1:6" ht="13.8" thickBot="1" x14ac:dyDescent="0.3">
      <c r="A404" s="118"/>
      <c r="B404" s="115"/>
      <c r="C404" s="116"/>
      <c r="D404" s="116"/>
      <c r="F404" s="118"/>
    </row>
    <row r="405" spans="1:6" ht="13.8" thickBot="1" x14ac:dyDescent="0.3">
      <c r="A405" s="118"/>
      <c r="B405" s="115"/>
      <c r="C405" s="116"/>
      <c r="D405" s="116"/>
      <c r="F405" s="118"/>
    </row>
    <row r="406" spans="1:6" ht="13.8" thickBot="1" x14ac:dyDescent="0.3">
      <c r="A406" s="118"/>
      <c r="B406" s="115"/>
      <c r="C406" s="116"/>
      <c r="D406" s="116"/>
      <c r="F406" s="118"/>
    </row>
    <row r="407" spans="1:6" ht="13.8" thickBot="1" x14ac:dyDescent="0.3">
      <c r="A407" s="118"/>
      <c r="B407" s="115"/>
      <c r="C407" s="116"/>
      <c r="D407" s="116"/>
      <c r="F407" s="118"/>
    </row>
    <row r="408" spans="1:6" ht="13.8" thickBot="1" x14ac:dyDescent="0.3">
      <c r="A408" s="118"/>
      <c r="B408" s="115"/>
      <c r="C408" s="116"/>
      <c r="D408" s="116"/>
      <c r="F408" s="118"/>
    </row>
    <row r="409" spans="1:6" ht="13.8" thickBot="1" x14ac:dyDescent="0.3">
      <c r="A409" s="118"/>
      <c r="B409" s="115"/>
      <c r="C409" s="116"/>
      <c r="D409" s="116"/>
      <c r="F409" s="118"/>
    </row>
    <row r="410" spans="1:6" ht="13.8" thickBot="1" x14ac:dyDescent="0.3">
      <c r="A410" s="118"/>
      <c r="B410" s="115"/>
      <c r="C410" s="116"/>
      <c r="D410" s="116"/>
      <c r="F410" s="118"/>
    </row>
    <row r="411" spans="1:6" ht="13.8" thickBot="1" x14ac:dyDescent="0.3">
      <c r="A411" s="118"/>
      <c r="B411" s="115"/>
      <c r="C411" s="116"/>
      <c r="D411" s="116"/>
      <c r="F411" s="118"/>
    </row>
    <row r="412" spans="1:6" ht="13.8" thickBot="1" x14ac:dyDescent="0.3">
      <c r="A412" s="118"/>
      <c r="B412" s="115"/>
      <c r="C412" s="116"/>
      <c r="D412" s="116"/>
      <c r="F412" s="118"/>
    </row>
    <row r="413" spans="1:6" ht="13.8" thickBot="1" x14ac:dyDescent="0.3">
      <c r="A413" s="118"/>
      <c r="B413" s="115"/>
      <c r="C413" s="116"/>
      <c r="D413" s="116"/>
      <c r="F413" s="118"/>
    </row>
    <row r="414" spans="1:6" ht="13.8" thickBot="1" x14ac:dyDescent="0.3">
      <c r="A414" s="118"/>
      <c r="B414" s="115"/>
      <c r="C414" s="116"/>
      <c r="D414" s="116"/>
      <c r="F414" s="118"/>
    </row>
    <row r="415" spans="1:6" ht="13.8" thickBot="1" x14ac:dyDescent="0.3">
      <c r="A415" s="118"/>
      <c r="B415" s="115"/>
      <c r="C415" s="116"/>
      <c r="D415" s="116"/>
      <c r="F415" s="118"/>
    </row>
    <row r="416" spans="1:6" ht="13.8" thickBot="1" x14ac:dyDescent="0.3">
      <c r="A416" s="118"/>
      <c r="B416" s="115"/>
      <c r="C416" s="116"/>
      <c r="D416" s="116"/>
      <c r="F416" s="118"/>
    </row>
    <row r="417" spans="1:6" ht="13.8" thickBot="1" x14ac:dyDescent="0.3">
      <c r="A417" s="118"/>
      <c r="B417" s="115"/>
      <c r="C417" s="116"/>
      <c r="D417" s="116"/>
      <c r="F417" s="118"/>
    </row>
    <row r="418" spans="1:6" ht="13.8" thickBot="1" x14ac:dyDescent="0.3">
      <c r="A418" s="118"/>
      <c r="B418" s="115"/>
      <c r="C418" s="116"/>
      <c r="D418" s="116"/>
      <c r="F418" s="118"/>
    </row>
    <row r="419" spans="1:6" ht="13.8" thickBot="1" x14ac:dyDescent="0.3">
      <c r="A419" s="118"/>
      <c r="B419" s="115"/>
      <c r="C419" s="116"/>
      <c r="D419" s="116"/>
      <c r="F419" s="118"/>
    </row>
    <row r="420" spans="1:6" ht="13.8" thickBot="1" x14ac:dyDescent="0.3">
      <c r="A420" s="118"/>
      <c r="B420" s="115"/>
      <c r="C420" s="116"/>
      <c r="D420" s="116"/>
      <c r="F420" s="118"/>
    </row>
    <row r="421" spans="1:6" ht="13.8" thickBot="1" x14ac:dyDescent="0.3">
      <c r="A421" s="118"/>
      <c r="B421" s="115"/>
      <c r="C421" s="116"/>
      <c r="D421" s="116"/>
      <c r="F421" s="118"/>
    </row>
    <row r="422" spans="1:6" ht="13.8" thickBot="1" x14ac:dyDescent="0.3">
      <c r="A422" s="118"/>
      <c r="B422" s="115"/>
      <c r="C422" s="116"/>
      <c r="D422" s="116"/>
      <c r="F422" s="118"/>
    </row>
    <row r="423" spans="1:6" ht="13.8" thickBot="1" x14ac:dyDescent="0.3">
      <c r="A423" s="118"/>
      <c r="B423" s="115"/>
      <c r="C423" s="116"/>
      <c r="D423" s="116"/>
      <c r="F423" s="118"/>
    </row>
    <row r="424" spans="1:6" ht="13.8" thickBot="1" x14ac:dyDescent="0.3">
      <c r="A424" s="118"/>
      <c r="B424" s="115"/>
      <c r="C424" s="116"/>
      <c r="D424" s="116"/>
      <c r="F424" s="118"/>
    </row>
    <row r="425" spans="1:6" ht="13.8" thickBot="1" x14ac:dyDescent="0.3">
      <c r="A425" s="118"/>
      <c r="B425" s="115"/>
      <c r="C425" s="116"/>
      <c r="D425" s="116"/>
      <c r="F425" s="118"/>
    </row>
    <row r="426" spans="1:6" ht="13.8" thickBot="1" x14ac:dyDescent="0.3">
      <c r="A426" s="118"/>
      <c r="B426" s="115"/>
      <c r="C426" s="116"/>
      <c r="D426" s="116"/>
      <c r="F426" s="118"/>
    </row>
    <row r="427" spans="1:6" ht="13.8" thickBot="1" x14ac:dyDescent="0.3">
      <c r="A427" s="118"/>
      <c r="B427" s="115"/>
      <c r="C427" s="116"/>
      <c r="D427" s="116"/>
      <c r="F427" s="118"/>
    </row>
    <row r="428" spans="1:6" ht="13.8" thickBot="1" x14ac:dyDescent="0.3">
      <c r="A428" s="118"/>
      <c r="B428" s="115"/>
      <c r="C428" s="116"/>
      <c r="D428" s="116"/>
      <c r="F428" s="118"/>
    </row>
    <row r="429" spans="1:6" ht="13.8" thickBot="1" x14ac:dyDescent="0.3">
      <c r="A429" s="118"/>
      <c r="B429" s="115"/>
      <c r="C429" s="116"/>
      <c r="D429" s="116"/>
      <c r="F429" s="118"/>
    </row>
    <row r="430" spans="1:6" ht="13.8" thickBot="1" x14ac:dyDescent="0.3">
      <c r="A430" s="118"/>
      <c r="B430" s="115"/>
      <c r="C430" s="116"/>
      <c r="D430" s="116"/>
      <c r="F430" s="118"/>
    </row>
    <row r="431" spans="1:6" ht="13.8" thickBot="1" x14ac:dyDescent="0.3">
      <c r="A431" s="118"/>
      <c r="B431" s="115"/>
      <c r="C431" s="116"/>
      <c r="D431" s="116"/>
      <c r="F431" s="118"/>
    </row>
    <row r="432" spans="1:6" ht="13.8" thickBot="1" x14ac:dyDescent="0.3">
      <c r="A432" s="118"/>
      <c r="B432" s="115"/>
      <c r="C432" s="116"/>
      <c r="D432" s="116"/>
      <c r="F432" s="118"/>
    </row>
    <row r="433" spans="1:6" ht="13.8" thickBot="1" x14ac:dyDescent="0.3">
      <c r="A433" s="118"/>
      <c r="B433" s="115"/>
      <c r="C433" s="116"/>
      <c r="D433" s="116"/>
      <c r="F433" s="118"/>
    </row>
    <row r="434" spans="1:6" ht="13.8" thickBot="1" x14ac:dyDescent="0.3">
      <c r="A434" s="118"/>
      <c r="B434" s="115"/>
      <c r="C434" s="116"/>
      <c r="D434" s="116"/>
      <c r="F434" s="118"/>
    </row>
    <row r="435" spans="1:6" ht="13.8" thickBot="1" x14ac:dyDescent="0.3">
      <c r="A435" s="118"/>
      <c r="B435" s="115"/>
      <c r="C435" s="116"/>
      <c r="D435" s="116"/>
      <c r="F435" s="118"/>
    </row>
    <row r="436" spans="1:6" ht="13.8" thickBot="1" x14ac:dyDescent="0.3">
      <c r="A436" s="118"/>
      <c r="B436" s="115"/>
      <c r="C436" s="116"/>
      <c r="D436" s="116"/>
      <c r="F436" s="118"/>
    </row>
    <row r="437" spans="1:6" ht="13.8" thickBot="1" x14ac:dyDescent="0.3">
      <c r="A437" s="118"/>
      <c r="B437" s="115"/>
      <c r="C437" s="116"/>
      <c r="D437" s="116"/>
      <c r="F437" s="118"/>
    </row>
    <row r="438" spans="1:6" ht="13.8" thickBot="1" x14ac:dyDescent="0.3">
      <c r="A438" s="118"/>
      <c r="B438" s="115"/>
      <c r="C438" s="116"/>
      <c r="D438" s="116"/>
      <c r="F438" s="118"/>
    </row>
    <row r="439" spans="1:6" ht="13.8" thickBot="1" x14ac:dyDescent="0.3">
      <c r="A439" s="118"/>
      <c r="B439" s="115"/>
      <c r="C439" s="116"/>
      <c r="D439" s="116"/>
      <c r="F439" s="118"/>
    </row>
    <row r="440" spans="1:6" ht="13.8" thickBot="1" x14ac:dyDescent="0.3">
      <c r="A440" s="118"/>
      <c r="B440" s="115"/>
      <c r="C440" s="116"/>
      <c r="D440" s="116"/>
      <c r="F440" s="118"/>
    </row>
    <row r="441" spans="1:6" ht="13.8" thickBot="1" x14ac:dyDescent="0.3">
      <c r="A441" s="118"/>
      <c r="B441" s="115"/>
      <c r="C441" s="116"/>
      <c r="D441" s="116"/>
      <c r="F441" s="118"/>
    </row>
    <row r="442" spans="1:6" ht="13.8" thickBot="1" x14ac:dyDescent="0.3">
      <c r="A442" s="118"/>
      <c r="B442" s="115"/>
      <c r="C442" s="116"/>
      <c r="D442" s="116"/>
      <c r="F442" s="118"/>
    </row>
    <row r="443" spans="1:6" ht="13.8" thickBot="1" x14ac:dyDescent="0.3">
      <c r="A443" s="118"/>
      <c r="B443" s="115"/>
      <c r="C443" s="116"/>
      <c r="D443" s="116"/>
      <c r="F443" s="118"/>
    </row>
    <row r="444" spans="1:6" ht="13.8" thickBot="1" x14ac:dyDescent="0.3">
      <c r="A444" s="118"/>
      <c r="B444" s="115"/>
      <c r="C444" s="116"/>
      <c r="D444" s="116"/>
      <c r="F444" s="118"/>
    </row>
    <row r="445" spans="1:6" ht="13.8" thickBot="1" x14ac:dyDescent="0.3">
      <c r="A445" s="118"/>
      <c r="B445" s="115"/>
      <c r="C445" s="116"/>
      <c r="D445" s="116"/>
      <c r="F445" s="118"/>
    </row>
    <row r="446" spans="1:6" ht="13.8" thickBot="1" x14ac:dyDescent="0.3">
      <c r="A446" s="118"/>
      <c r="B446" s="115"/>
      <c r="C446" s="116"/>
      <c r="D446" s="116"/>
      <c r="F446" s="118"/>
    </row>
    <row r="447" spans="1:6" ht="13.8" thickBot="1" x14ac:dyDescent="0.3">
      <c r="A447" s="118"/>
      <c r="B447" s="115"/>
      <c r="C447" s="116"/>
      <c r="D447" s="116"/>
      <c r="F447" s="118"/>
    </row>
    <row r="448" spans="1:6" ht="13.8" thickBot="1" x14ac:dyDescent="0.3">
      <c r="A448" s="118"/>
      <c r="B448" s="115"/>
      <c r="C448" s="116"/>
      <c r="D448" s="116"/>
      <c r="F448" s="118"/>
    </row>
    <row r="449" spans="1:6" ht="13.8" thickBot="1" x14ac:dyDescent="0.3">
      <c r="A449" s="118"/>
      <c r="B449" s="115"/>
      <c r="C449" s="116"/>
      <c r="D449" s="116"/>
      <c r="F449" s="118"/>
    </row>
    <row r="450" spans="1:6" ht="13.8" thickBot="1" x14ac:dyDescent="0.3">
      <c r="A450" s="118"/>
      <c r="B450" s="115"/>
      <c r="C450" s="116"/>
      <c r="D450" s="116"/>
      <c r="F450" s="118"/>
    </row>
    <row r="451" spans="1:6" ht="13.8" thickBot="1" x14ac:dyDescent="0.3">
      <c r="A451" s="118"/>
      <c r="B451" s="115"/>
      <c r="C451" s="116"/>
      <c r="D451" s="116"/>
      <c r="F451" s="118"/>
    </row>
    <row r="452" spans="1:6" ht="13.8" thickBot="1" x14ac:dyDescent="0.3">
      <c r="A452" s="118"/>
      <c r="B452" s="115"/>
      <c r="C452" s="116"/>
      <c r="D452" s="116"/>
      <c r="F452" s="118"/>
    </row>
    <row r="453" spans="1:6" ht="13.8" thickBot="1" x14ac:dyDescent="0.3">
      <c r="A453" s="118"/>
      <c r="B453" s="115"/>
      <c r="C453" s="116"/>
      <c r="D453" s="116"/>
      <c r="F453" s="118"/>
    </row>
    <row r="454" spans="1:6" ht="13.8" thickBot="1" x14ac:dyDescent="0.3">
      <c r="A454" s="118"/>
      <c r="B454" s="115"/>
      <c r="C454" s="116"/>
      <c r="D454" s="116"/>
      <c r="F454" s="118"/>
    </row>
    <row r="455" spans="1:6" ht="13.8" thickBot="1" x14ac:dyDescent="0.3">
      <c r="A455" s="118"/>
      <c r="B455" s="115"/>
      <c r="C455" s="116"/>
      <c r="D455" s="116"/>
      <c r="F455" s="118"/>
    </row>
    <row r="456" spans="1:6" ht="13.8" thickBot="1" x14ac:dyDescent="0.3">
      <c r="A456" s="118"/>
      <c r="B456" s="115"/>
      <c r="C456" s="116"/>
      <c r="D456" s="116"/>
      <c r="F456" s="118"/>
    </row>
    <row r="457" spans="1:6" ht="13.8" thickBot="1" x14ac:dyDescent="0.3">
      <c r="A457" s="118"/>
      <c r="B457" s="115"/>
      <c r="C457" s="116"/>
      <c r="D457" s="116"/>
      <c r="F457" s="118"/>
    </row>
    <row r="458" spans="1:6" ht="13.8" thickBot="1" x14ac:dyDescent="0.3">
      <c r="A458" s="118"/>
      <c r="B458" s="115"/>
      <c r="C458" s="116"/>
      <c r="D458" s="116"/>
      <c r="F458" s="118"/>
    </row>
    <row r="459" spans="1:6" ht="13.8" thickBot="1" x14ac:dyDescent="0.3">
      <c r="A459" s="118"/>
      <c r="B459" s="115"/>
      <c r="C459" s="116"/>
      <c r="D459" s="116"/>
      <c r="F459" s="118"/>
    </row>
    <row r="460" spans="1:6" ht="13.8" thickBot="1" x14ac:dyDescent="0.3">
      <c r="A460" s="118"/>
      <c r="B460" s="115"/>
      <c r="C460" s="116"/>
      <c r="D460" s="116"/>
      <c r="F460" s="118"/>
    </row>
    <row r="461" spans="1:6" ht="13.8" thickBot="1" x14ac:dyDescent="0.3">
      <c r="A461" s="118"/>
      <c r="B461" s="115"/>
      <c r="C461" s="116"/>
      <c r="D461" s="116"/>
      <c r="F461" s="118"/>
    </row>
    <row r="462" spans="1:6" ht="13.8" thickBot="1" x14ac:dyDescent="0.3">
      <c r="A462" s="118"/>
      <c r="B462" s="115"/>
      <c r="C462" s="116"/>
      <c r="D462" s="116"/>
      <c r="F462" s="118"/>
    </row>
    <row r="463" spans="1:6" ht="13.8" thickBot="1" x14ac:dyDescent="0.3">
      <c r="A463" s="118"/>
      <c r="B463" s="115"/>
      <c r="C463" s="116"/>
      <c r="D463" s="116"/>
      <c r="F463" s="118"/>
    </row>
    <row r="464" spans="1:6" ht="13.8" thickBot="1" x14ac:dyDescent="0.3">
      <c r="A464" s="118"/>
      <c r="B464" s="115"/>
      <c r="C464" s="116"/>
      <c r="D464" s="116"/>
      <c r="F464" s="118"/>
    </row>
    <row r="465" spans="1:6" ht="13.8" thickBot="1" x14ac:dyDescent="0.3">
      <c r="A465" s="118"/>
      <c r="B465" s="115"/>
      <c r="C465" s="116"/>
      <c r="D465" s="116"/>
      <c r="F465" s="118"/>
    </row>
    <row r="466" spans="1:6" ht="13.8" thickBot="1" x14ac:dyDescent="0.3">
      <c r="A466" s="118"/>
      <c r="B466" s="115"/>
      <c r="C466" s="116"/>
      <c r="D466" s="116"/>
      <c r="F466" s="118"/>
    </row>
    <row r="467" spans="1:6" ht="13.8" thickBot="1" x14ac:dyDescent="0.3">
      <c r="A467" s="118"/>
      <c r="B467" s="115"/>
      <c r="C467" s="116"/>
      <c r="D467" s="116"/>
      <c r="F467" s="118"/>
    </row>
    <row r="468" spans="1:6" ht="13.8" thickBot="1" x14ac:dyDescent="0.3">
      <c r="A468" s="118"/>
      <c r="B468" s="115"/>
      <c r="C468" s="116"/>
      <c r="D468" s="116"/>
      <c r="F468" s="118"/>
    </row>
    <row r="469" spans="1:6" ht="13.8" thickBot="1" x14ac:dyDescent="0.3">
      <c r="A469" s="118"/>
      <c r="B469" s="115"/>
      <c r="C469" s="116"/>
      <c r="D469" s="116"/>
      <c r="F469" s="118"/>
    </row>
    <row r="470" spans="1:6" ht="13.8" thickBot="1" x14ac:dyDescent="0.3">
      <c r="A470" s="118"/>
      <c r="B470" s="115"/>
      <c r="C470" s="116"/>
      <c r="D470" s="116"/>
      <c r="F470" s="118"/>
    </row>
    <row r="471" spans="1:6" ht="13.8" thickBot="1" x14ac:dyDescent="0.3">
      <c r="A471" s="118"/>
      <c r="B471" s="115"/>
      <c r="C471" s="116"/>
      <c r="D471" s="116"/>
      <c r="F471" s="118"/>
    </row>
    <row r="472" spans="1:6" ht="13.8" thickBot="1" x14ac:dyDescent="0.3">
      <c r="A472" s="118"/>
      <c r="B472" s="115"/>
      <c r="C472" s="116"/>
      <c r="D472" s="116"/>
      <c r="F472" s="118"/>
    </row>
    <row r="473" spans="1:6" ht="13.8" thickBot="1" x14ac:dyDescent="0.3">
      <c r="A473" s="118"/>
      <c r="B473" s="115"/>
      <c r="C473" s="116"/>
      <c r="D473" s="116"/>
      <c r="F473" s="118"/>
    </row>
    <row r="474" spans="1:6" ht="13.8" thickBot="1" x14ac:dyDescent="0.3">
      <c r="A474" s="118"/>
      <c r="B474" s="115"/>
      <c r="C474" s="116"/>
      <c r="D474" s="116"/>
      <c r="F474" s="118"/>
    </row>
    <row r="475" spans="1:6" ht="13.8" thickBot="1" x14ac:dyDescent="0.3">
      <c r="A475" s="118"/>
      <c r="B475" s="115"/>
      <c r="C475" s="116"/>
      <c r="D475" s="116"/>
      <c r="F475" s="118"/>
    </row>
    <row r="476" spans="1:6" ht="13.8" thickBot="1" x14ac:dyDescent="0.3">
      <c r="A476" s="118"/>
      <c r="B476" s="115"/>
      <c r="C476" s="116"/>
      <c r="D476" s="116"/>
      <c r="F476" s="118"/>
    </row>
    <row r="477" spans="1:6" ht="13.8" thickBot="1" x14ac:dyDescent="0.3">
      <c r="A477" s="118"/>
      <c r="B477" s="115"/>
      <c r="C477" s="116"/>
      <c r="D477" s="116"/>
      <c r="F477" s="118"/>
    </row>
    <row r="478" spans="1:6" ht="13.8" thickBot="1" x14ac:dyDescent="0.3">
      <c r="A478" s="118"/>
      <c r="B478" s="115"/>
      <c r="C478" s="116"/>
      <c r="D478" s="116"/>
      <c r="F478" s="118"/>
    </row>
    <row r="479" spans="1:6" ht="13.8" thickBot="1" x14ac:dyDescent="0.3">
      <c r="A479" s="118"/>
      <c r="B479" s="115"/>
      <c r="C479" s="116"/>
      <c r="D479" s="116"/>
      <c r="F479" s="118"/>
    </row>
    <row r="480" spans="1:6" ht="13.8" thickBot="1" x14ac:dyDescent="0.3">
      <c r="A480" s="118"/>
      <c r="B480" s="115"/>
      <c r="C480" s="116"/>
      <c r="D480" s="116"/>
      <c r="F480" s="118"/>
    </row>
    <row r="481" spans="1:6" ht="13.8" thickBot="1" x14ac:dyDescent="0.3">
      <c r="A481" s="118"/>
      <c r="B481" s="115"/>
      <c r="C481" s="116"/>
      <c r="D481" s="116"/>
      <c r="F481" s="118"/>
    </row>
    <row r="482" spans="1:6" ht="13.8" thickBot="1" x14ac:dyDescent="0.3">
      <c r="A482" s="118"/>
      <c r="B482" s="115"/>
      <c r="C482" s="116"/>
      <c r="D482" s="116"/>
      <c r="F482" s="118"/>
    </row>
    <row r="483" spans="1:6" ht="13.8" thickBot="1" x14ac:dyDescent="0.3">
      <c r="A483" s="118"/>
      <c r="B483" s="115"/>
      <c r="C483" s="116"/>
      <c r="D483" s="116"/>
      <c r="F483" s="118"/>
    </row>
    <row r="484" spans="1:6" ht="13.8" thickBot="1" x14ac:dyDescent="0.3">
      <c r="A484" s="118"/>
      <c r="B484" s="115"/>
      <c r="C484" s="116"/>
      <c r="D484" s="116"/>
      <c r="F484" s="118"/>
    </row>
    <row r="485" spans="1:6" ht="13.8" thickBot="1" x14ac:dyDescent="0.3">
      <c r="A485" s="118"/>
      <c r="B485" s="115"/>
      <c r="C485" s="116"/>
      <c r="D485" s="116"/>
      <c r="F485" s="118"/>
    </row>
    <row r="486" spans="1:6" ht="13.8" thickBot="1" x14ac:dyDescent="0.3">
      <c r="A486" s="118"/>
      <c r="B486" s="115"/>
      <c r="C486" s="116"/>
      <c r="D486" s="116"/>
      <c r="F486" s="118"/>
    </row>
    <row r="487" spans="1:6" ht="13.8" thickBot="1" x14ac:dyDescent="0.3">
      <c r="A487" s="118"/>
      <c r="B487" s="115"/>
      <c r="C487" s="116"/>
      <c r="D487" s="116"/>
      <c r="F487" s="118"/>
    </row>
    <row r="488" spans="1:6" ht="13.8" thickBot="1" x14ac:dyDescent="0.3">
      <c r="A488" s="118"/>
      <c r="B488" s="115"/>
      <c r="C488" s="116"/>
      <c r="D488" s="116"/>
      <c r="F488" s="118"/>
    </row>
    <row r="489" spans="1:6" ht="13.8" thickBot="1" x14ac:dyDescent="0.3">
      <c r="A489" s="118"/>
      <c r="B489" s="115"/>
      <c r="C489" s="116"/>
      <c r="D489" s="116"/>
      <c r="F489" s="118"/>
    </row>
    <row r="490" spans="1:6" ht="13.8" thickBot="1" x14ac:dyDescent="0.3">
      <c r="A490" s="118"/>
      <c r="B490" s="115"/>
      <c r="C490" s="116"/>
      <c r="D490" s="116"/>
      <c r="F490" s="118"/>
    </row>
    <row r="491" spans="1:6" ht="13.8" thickBot="1" x14ac:dyDescent="0.3">
      <c r="A491" s="118"/>
      <c r="B491" s="115"/>
      <c r="C491" s="116"/>
      <c r="D491" s="116"/>
      <c r="F491" s="118"/>
    </row>
    <row r="492" spans="1:6" ht="13.8" thickBot="1" x14ac:dyDescent="0.3">
      <c r="A492" s="118"/>
      <c r="B492" s="115"/>
      <c r="C492" s="116"/>
      <c r="D492" s="116"/>
      <c r="F492" s="118"/>
    </row>
    <row r="493" spans="1:6" ht="13.8" thickBot="1" x14ac:dyDescent="0.3">
      <c r="A493" s="118"/>
      <c r="B493" s="115"/>
      <c r="C493" s="116"/>
      <c r="D493" s="116"/>
      <c r="F493" s="118"/>
    </row>
    <row r="494" spans="1:6" ht="13.8" thickBot="1" x14ac:dyDescent="0.3">
      <c r="A494" s="118"/>
      <c r="B494" s="115"/>
      <c r="C494" s="116"/>
      <c r="D494" s="116"/>
      <c r="F494" s="118"/>
    </row>
    <row r="495" spans="1:6" ht="13.8" thickBot="1" x14ac:dyDescent="0.3">
      <c r="A495" s="118"/>
      <c r="B495" s="115"/>
      <c r="C495" s="116"/>
      <c r="D495" s="116"/>
      <c r="F495" s="118"/>
    </row>
    <row r="496" spans="1:6" ht="13.8" thickBot="1" x14ac:dyDescent="0.3">
      <c r="A496" s="118"/>
      <c r="B496" s="115"/>
      <c r="C496" s="116"/>
      <c r="D496" s="116"/>
      <c r="F496" s="118"/>
    </row>
    <row r="497" spans="1:6" ht="13.8" thickBot="1" x14ac:dyDescent="0.3">
      <c r="A497" s="118"/>
      <c r="B497" s="115"/>
      <c r="C497" s="116"/>
      <c r="D497" s="116"/>
      <c r="F497" s="118"/>
    </row>
    <row r="498" spans="1:6" ht="13.8" thickBot="1" x14ac:dyDescent="0.3">
      <c r="A498" s="118"/>
      <c r="B498" s="115"/>
      <c r="C498" s="116"/>
      <c r="D498" s="116"/>
      <c r="F498" s="118"/>
    </row>
    <row r="499" spans="1:6" ht="13.8" thickBot="1" x14ac:dyDescent="0.3">
      <c r="A499" s="118"/>
      <c r="B499" s="115"/>
      <c r="C499" s="116"/>
      <c r="D499" s="116"/>
      <c r="F499" s="118"/>
    </row>
    <row r="500" spans="1:6" ht="13.8" thickBot="1" x14ac:dyDescent="0.3">
      <c r="A500" s="118"/>
      <c r="B500" s="115"/>
      <c r="C500" s="116"/>
      <c r="D500" s="116"/>
      <c r="F500" s="118"/>
    </row>
    <row r="501" spans="1:6" ht="13.8" thickBot="1" x14ac:dyDescent="0.3">
      <c r="A501" s="118"/>
      <c r="B501" s="115"/>
      <c r="C501" s="116"/>
      <c r="D501" s="116"/>
      <c r="F501" s="118"/>
    </row>
    <row r="502" spans="1:6" ht="13.8" thickBot="1" x14ac:dyDescent="0.3">
      <c r="A502" s="118"/>
      <c r="B502" s="115"/>
      <c r="C502" s="116"/>
      <c r="D502" s="116"/>
      <c r="F502" s="118"/>
    </row>
    <row r="503" spans="1:6" ht="13.8" thickBot="1" x14ac:dyDescent="0.3">
      <c r="A503" s="118"/>
      <c r="B503" s="115"/>
      <c r="C503" s="116"/>
      <c r="D503" s="116"/>
      <c r="F503" s="118"/>
    </row>
    <row r="504" spans="1:6" ht="13.8" thickBot="1" x14ac:dyDescent="0.3">
      <c r="A504" s="118"/>
      <c r="B504" s="115"/>
      <c r="C504" s="116"/>
      <c r="D504" s="116"/>
      <c r="F504" s="118"/>
    </row>
    <row r="505" spans="1:6" ht="13.8" thickBot="1" x14ac:dyDescent="0.3">
      <c r="A505" s="118"/>
      <c r="B505" s="115"/>
      <c r="C505" s="116"/>
      <c r="D505" s="116"/>
      <c r="F505" s="118"/>
    </row>
    <row r="506" spans="1:6" ht="13.8" thickBot="1" x14ac:dyDescent="0.3">
      <c r="A506" s="118"/>
      <c r="B506" s="115"/>
      <c r="C506" s="116"/>
      <c r="D506" s="116"/>
      <c r="F506" s="118"/>
    </row>
    <row r="507" spans="1:6" ht="13.8" thickBot="1" x14ac:dyDescent="0.3">
      <c r="A507" s="118"/>
      <c r="B507" s="115"/>
      <c r="C507" s="116"/>
      <c r="D507" s="116"/>
      <c r="F507" s="118"/>
    </row>
    <row r="508" spans="1:6" ht="13.8" thickBot="1" x14ac:dyDescent="0.3">
      <c r="A508" s="118"/>
      <c r="B508" s="115"/>
      <c r="C508" s="116"/>
      <c r="D508" s="116"/>
      <c r="F508" s="118"/>
    </row>
    <row r="509" spans="1:6" ht="13.8" thickBot="1" x14ac:dyDescent="0.3">
      <c r="A509" s="118"/>
      <c r="B509" s="115"/>
      <c r="C509" s="116"/>
      <c r="D509" s="116"/>
      <c r="F509" s="118"/>
    </row>
    <row r="510" spans="1:6" ht="13.8" thickBot="1" x14ac:dyDescent="0.3">
      <c r="A510" s="118"/>
      <c r="B510" s="115"/>
      <c r="C510" s="116"/>
      <c r="D510" s="116"/>
      <c r="F510" s="118"/>
    </row>
    <row r="511" spans="1:6" ht="13.8" thickBot="1" x14ac:dyDescent="0.3">
      <c r="A511" s="118"/>
      <c r="B511" s="115"/>
      <c r="C511" s="116"/>
      <c r="D511" s="116"/>
      <c r="F511" s="118"/>
    </row>
    <row r="512" spans="1:6" ht="13.8" thickBot="1" x14ac:dyDescent="0.3">
      <c r="A512" s="118"/>
      <c r="B512" s="115"/>
      <c r="C512" s="116"/>
      <c r="D512" s="116"/>
      <c r="F512" s="118"/>
    </row>
    <row r="513" spans="1:6" ht="13.8" thickBot="1" x14ac:dyDescent="0.3">
      <c r="A513" s="118"/>
      <c r="B513" s="115"/>
      <c r="C513" s="116"/>
      <c r="D513" s="116"/>
      <c r="F513" s="118"/>
    </row>
    <row r="514" spans="1:6" ht="13.8" thickBot="1" x14ac:dyDescent="0.3">
      <c r="A514" s="118"/>
      <c r="B514" s="115"/>
      <c r="C514" s="116"/>
      <c r="D514" s="116"/>
      <c r="F514" s="118"/>
    </row>
    <row r="515" spans="1:6" ht="13.8" thickBot="1" x14ac:dyDescent="0.3">
      <c r="A515" s="118"/>
      <c r="B515" s="115"/>
      <c r="C515" s="116"/>
      <c r="D515" s="116"/>
      <c r="F515" s="118"/>
    </row>
    <row r="516" spans="1:6" ht="13.8" thickBot="1" x14ac:dyDescent="0.3">
      <c r="A516" s="118"/>
      <c r="B516" s="115"/>
      <c r="C516" s="116"/>
      <c r="D516" s="116"/>
      <c r="F516" s="118"/>
    </row>
    <row r="517" spans="1:6" ht="13.8" thickBot="1" x14ac:dyDescent="0.3">
      <c r="A517" s="118"/>
      <c r="B517" s="115"/>
      <c r="C517" s="116"/>
      <c r="D517" s="116"/>
      <c r="F517" s="118"/>
    </row>
    <row r="518" spans="1:6" ht="13.8" thickBot="1" x14ac:dyDescent="0.3">
      <c r="A518" s="118"/>
      <c r="B518" s="115"/>
      <c r="C518" s="116"/>
      <c r="D518" s="116"/>
      <c r="F518" s="118"/>
    </row>
    <row r="519" spans="1:6" ht="13.8" thickBot="1" x14ac:dyDescent="0.3">
      <c r="A519" s="118"/>
      <c r="B519" s="115"/>
      <c r="C519" s="116"/>
      <c r="D519" s="116"/>
      <c r="F519" s="118"/>
    </row>
    <row r="520" spans="1:6" ht="13.8" thickBot="1" x14ac:dyDescent="0.3">
      <c r="A520" s="118"/>
      <c r="B520" s="115"/>
      <c r="C520" s="116"/>
      <c r="D520" s="116"/>
      <c r="F520" s="118"/>
    </row>
    <row r="521" spans="1:6" ht="13.8" thickBot="1" x14ac:dyDescent="0.3">
      <c r="A521" s="118"/>
      <c r="B521" s="115"/>
      <c r="C521" s="116"/>
      <c r="D521" s="116"/>
      <c r="F521" s="118"/>
    </row>
    <row r="522" spans="1:6" ht="13.8" thickBot="1" x14ac:dyDescent="0.3">
      <c r="A522" s="118"/>
      <c r="B522" s="115"/>
      <c r="C522" s="116"/>
      <c r="D522" s="116"/>
      <c r="F522" s="118"/>
    </row>
    <row r="523" spans="1:6" ht="13.8" thickBot="1" x14ac:dyDescent="0.3">
      <c r="A523" s="118"/>
      <c r="B523" s="115"/>
      <c r="C523" s="116"/>
      <c r="D523" s="116"/>
      <c r="F523" s="118"/>
    </row>
    <row r="524" spans="1:6" ht="13.8" thickBot="1" x14ac:dyDescent="0.3">
      <c r="A524" s="118"/>
      <c r="B524" s="115"/>
      <c r="C524" s="116"/>
      <c r="D524" s="116"/>
      <c r="F524" s="118"/>
    </row>
    <row r="525" spans="1:6" ht="13.8" thickBot="1" x14ac:dyDescent="0.3">
      <c r="A525" s="118"/>
      <c r="B525" s="115"/>
      <c r="C525" s="116"/>
      <c r="D525" s="116"/>
      <c r="F525" s="118"/>
    </row>
    <row r="526" spans="1:6" ht="13.8" thickBot="1" x14ac:dyDescent="0.3">
      <c r="A526" s="118"/>
      <c r="B526" s="115"/>
      <c r="C526" s="116"/>
      <c r="D526" s="116"/>
      <c r="F526" s="118"/>
    </row>
    <row r="527" spans="1:6" ht="13.8" thickBot="1" x14ac:dyDescent="0.3">
      <c r="A527" s="118"/>
      <c r="B527" s="115"/>
      <c r="C527" s="116"/>
      <c r="D527" s="116"/>
      <c r="F527" s="118"/>
    </row>
    <row r="528" spans="1:6" ht="13.8" thickBot="1" x14ac:dyDescent="0.3">
      <c r="A528" s="118"/>
      <c r="B528" s="115"/>
      <c r="C528" s="116"/>
      <c r="D528" s="116"/>
      <c r="F528" s="118"/>
    </row>
    <row r="529" spans="1:6" ht="13.8" thickBot="1" x14ac:dyDescent="0.3">
      <c r="A529" s="118"/>
      <c r="B529" s="115"/>
      <c r="C529" s="116"/>
      <c r="D529" s="116"/>
      <c r="F529" s="118"/>
    </row>
    <row r="530" spans="1:6" ht="13.8" thickBot="1" x14ac:dyDescent="0.3">
      <c r="A530" s="118"/>
      <c r="B530" s="115"/>
      <c r="C530" s="116"/>
      <c r="D530" s="116"/>
      <c r="F530" s="118"/>
    </row>
    <row r="531" spans="1:6" ht="13.8" thickBot="1" x14ac:dyDescent="0.3">
      <c r="A531" s="118"/>
      <c r="B531" s="115"/>
      <c r="C531" s="116"/>
      <c r="D531" s="116"/>
      <c r="F531" s="118"/>
    </row>
    <row r="532" spans="1:6" ht="13.8" thickBot="1" x14ac:dyDescent="0.3">
      <c r="A532" s="118"/>
      <c r="B532" s="115"/>
      <c r="C532" s="116"/>
      <c r="D532" s="116"/>
      <c r="F532" s="118"/>
    </row>
    <row r="533" spans="1:6" ht="13.8" thickBot="1" x14ac:dyDescent="0.3">
      <c r="A533" s="118"/>
      <c r="B533" s="115"/>
      <c r="C533" s="116"/>
      <c r="D533" s="116"/>
      <c r="F533" s="118"/>
    </row>
    <row r="534" spans="1:6" ht="13.8" thickBot="1" x14ac:dyDescent="0.3">
      <c r="A534" s="118"/>
      <c r="B534" s="115"/>
      <c r="C534" s="116"/>
      <c r="D534" s="116"/>
      <c r="F534" s="118"/>
    </row>
    <row r="535" spans="1:6" ht="13.8" thickBot="1" x14ac:dyDescent="0.3">
      <c r="A535" s="118"/>
      <c r="B535" s="115"/>
      <c r="C535" s="116"/>
      <c r="D535" s="116"/>
      <c r="F535" s="118"/>
    </row>
    <row r="536" spans="1:6" ht="13.8" thickBot="1" x14ac:dyDescent="0.3">
      <c r="A536" s="118"/>
      <c r="B536" s="115"/>
      <c r="C536" s="116"/>
      <c r="D536" s="116"/>
      <c r="F536" s="118"/>
    </row>
    <row r="537" spans="1:6" ht="13.8" thickBot="1" x14ac:dyDescent="0.3">
      <c r="A537" s="118"/>
      <c r="B537" s="115"/>
      <c r="C537" s="116"/>
      <c r="D537" s="116"/>
      <c r="F537" s="118"/>
    </row>
    <row r="538" spans="1:6" ht="13.8" thickBot="1" x14ac:dyDescent="0.3">
      <c r="A538" s="118"/>
      <c r="B538" s="115"/>
      <c r="C538" s="116"/>
      <c r="D538" s="116"/>
      <c r="F538" s="118"/>
    </row>
    <row r="539" spans="1:6" ht="13.8" thickBot="1" x14ac:dyDescent="0.3">
      <c r="A539" s="118"/>
      <c r="B539" s="115"/>
      <c r="C539" s="116"/>
      <c r="D539" s="116"/>
      <c r="F539" s="118"/>
    </row>
    <row r="540" spans="1:6" ht="13.8" thickBot="1" x14ac:dyDescent="0.3">
      <c r="A540" s="118"/>
      <c r="B540" s="115"/>
      <c r="C540" s="116"/>
      <c r="D540" s="116"/>
      <c r="F540" s="118"/>
    </row>
    <row r="541" spans="1:6" ht="13.8" thickBot="1" x14ac:dyDescent="0.3">
      <c r="A541" s="118"/>
      <c r="B541" s="115"/>
      <c r="C541" s="116"/>
      <c r="D541" s="116"/>
      <c r="F541" s="118"/>
    </row>
    <row r="542" spans="1:6" ht="13.8" thickBot="1" x14ac:dyDescent="0.3">
      <c r="A542" s="118"/>
      <c r="B542" s="115"/>
      <c r="C542" s="116"/>
      <c r="D542" s="116"/>
      <c r="F542" s="118"/>
    </row>
    <row r="543" spans="1:6" ht="13.8" thickBot="1" x14ac:dyDescent="0.3">
      <c r="A543" s="118"/>
      <c r="B543" s="115"/>
      <c r="C543" s="116"/>
      <c r="D543" s="116"/>
      <c r="F543" s="118"/>
    </row>
    <row r="544" spans="1:6" ht="13.8" thickBot="1" x14ac:dyDescent="0.3">
      <c r="A544" s="118"/>
      <c r="B544" s="115"/>
      <c r="C544" s="116"/>
      <c r="D544" s="116"/>
      <c r="F544" s="118"/>
    </row>
    <row r="545" spans="1:6" ht="13.8" thickBot="1" x14ac:dyDescent="0.3">
      <c r="A545" s="118"/>
      <c r="B545" s="115"/>
      <c r="C545" s="116"/>
      <c r="D545" s="116"/>
      <c r="F545" s="118"/>
    </row>
    <row r="546" spans="1:6" ht="13.8" thickBot="1" x14ac:dyDescent="0.3">
      <c r="A546" s="118"/>
      <c r="B546" s="115"/>
      <c r="C546" s="116"/>
      <c r="D546" s="116"/>
      <c r="F546" s="118"/>
    </row>
    <row r="547" spans="1:6" ht="13.8" thickBot="1" x14ac:dyDescent="0.3">
      <c r="A547" s="118"/>
      <c r="B547" s="115"/>
      <c r="C547" s="116"/>
      <c r="D547" s="116"/>
      <c r="F547" s="118"/>
    </row>
    <row r="548" spans="1:6" ht="13.8" thickBot="1" x14ac:dyDescent="0.3">
      <c r="A548" s="118"/>
      <c r="B548" s="115"/>
      <c r="C548" s="116"/>
      <c r="D548" s="116"/>
      <c r="F548" s="118"/>
    </row>
    <row r="549" spans="1:6" ht="13.8" thickBot="1" x14ac:dyDescent="0.3">
      <c r="A549" s="118"/>
      <c r="B549" s="115"/>
      <c r="C549" s="116"/>
      <c r="D549" s="116"/>
      <c r="F549" s="118"/>
    </row>
    <row r="550" spans="1:6" ht="13.8" thickBot="1" x14ac:dyDescent="0.3">
      <c r="A550" s="118"/>
      <c r="B550" s="115"/>
      <c r="C550" s="116"/>
      <c r="D550" s="116"/>
      <c r="F550" s="118"/>
    </row>
    <row r="551" spans="1:6" ht="13.8" thickBot="1" x14ac:dyDescent="0.3">
      <c r="A551" s="118"/>
      <c r="B551" s="115"/>
      <c r="C551" s="116"/>
      <c r="D551" s="116"/>
      <c r="F551" s="118"/>
    </row>
    <row r="552" spans="1:6" ht="13.8" thickBot="1" x14ac:dyDescent="0.3">
      <c r="A552" s="118"/>
      <c r="B552" s="115"/>
      <c r="C552" s="116"/>
      <c r="D552" s="116"/>
      <c r="F552" s="118"/>
    </row>
    <row r="553" spans="1:6" ht="13.8" thickBot="1" x14ac:dyDescent="0.3">
      <c r="A553" s="118"/>
      <c r="B553" s="115"/>
      <c r="C553" s="116"/>
      <c r="D553" s="116"/>
      <c r="F553" s="118"/>
    </row>
    <row r="554" spans="1:6" ht="13.8" thickBot="1" x14ac:dyDescent="0.3">
      <c r="A554" s="118"/>
      <c r="B554" s="115"/>
      <c r="C554" s="116"/>
      <c r="D554" s="116"/>
      <c r="F554" s="118"/>
    </row>
    <row r="555" spans="1:6" ht="13.8" thickBot="1" x14ac:dyDescent="0.3">
      <c r="A555" s="118"/>
      <c r="B555" s="115"/>
      <c r="C555" s="116"/>
      <c r="D555" s="116"/>
      <c r="F555" s="118"/>
    </row>
    <row r="556" spans="1:6" ht="13.8" thickBot="1" x14ac:dyDescent="0.3">
      <c r="A556" s="118"/>
      <c r="B556" s="115"/>
      <c r="C556" s="116"/>
      <c r="D556" s="116"/>
      <c r="F556" s="118"/>
    </row>
    <row r="557" spans="1:6" ht="13.8" thickBot="1" x14ac:dyDescent="0.3">
      <c r="A557" s="118"/>
      <c r="B557" s="115"/>
      <c r="C557" s="116"/>
      <c r="D557" s="116"/>
      <c r="F557" s="118"/>
    </row>
    <row r="558" spans="1:6" ht="13.8" thickBot="1" x14ac:dyDescent="0.3">
      <c r="A558" s="118"/>
      <c r="B558" s="115"/>
      <c r="C558" s="116"/>
      <c r="D558" s="116"/>
      <c r="F558" s="118"/>
    </row>
    <row r="559" spans="1:6" ht="13.8" thickBot="1" x14ac:dyDescent="0.3">
      <c r="A559" s="118"/>
      <c r="B559" s="115"/>
      <c r="C559" s="116"/>
      <c r="D559" s="116"/>
      <c r="F559" s="118"/>
    </row>
    <row r="560" spans="1:6" ht="13.8" thickBot="1" x14ac:dyDescent="0.3">
      <c r="A560" s="118"/>
      <c r="B560" s="115"/>
      <c r="C560" s="116"/>
      <c r="D560" s="116"/>
      <c r="F560" s="118"/>
    </row>
    <row r="561" spans="1:6" ht="13.8" thickBot="1" x14ac:dyDescent="0.3">
      <c r="A561" s="118"/>
      <c r="B561" s="115"/>
      <c r="C561" s="116"/>
      <c r="D561" s="116"/>
      <c r="F561" s="118"/>
    </row>
    <row r="562" spans="1:6" ht="13.8" thickBot="1" x14ac:dyDescent="0.3">
      <c r="A562" s="118"/>
      <c r="B562" s="115"/>
      <c r="C562" s="116"/>
      <c r="D562" s="116"/>
      <c r="F562" s="118"/>
    </row>
    <row r="563" spans="1:6" ht="13.8" thickBot="1" x14ac:dyDescent="0.3">
      <c r="A563" s="118"/>
      <c r="B563" s="115"/>
      <c r="C563" s="116"/>
      <c r="D563" s="116"/>
      <c r="F563" s="118"/>
    </row>
    <row r="564" spans="1:6" ht="13.8" thickBot="1" x14ac:dyDescent="0.3">
      <c r="A564" s="118"/>
      <c r="B564" s="115"/>
      <c r="C564" s="116"/>
      <c r="D564" s="116"/>
      <c r="F564" s="118"/>
    </row>
    <row r="565" spans="1:6" ht="13.8" thickBot="1" x14ac:dyDescent="0.3">
      <c r="A565" s="118"/>
      <c r="B565" s="115"/>
      <c r="C565" s="116"/>
      <c r="D565" s="116"/>
      <c r="F565" s="118"/>
    </row>
    <row r="566" spans="1:6" ht="13.8" thickBot="1" x14ac:dyDescent="0.3">
      <c r="A566" s="118"/>
      <c r="B566" s="115"/>
      <c r="C566" s="116"/>
      <c r="D566" s="116"/>
      <c r="F566" s="118"/>
    </row>
    <row r="567" spans="1:6" ht="13.8" thickBot="1" x14ac:dyDescent="0.3">
      <c r="A567" s="118"/>
      <c r="B567" s="115"/>
      <c r="C567" s="116"/>
      <c r="D567" s="116"/>
      <c r="F567" s="118"/>
    </row>
    <row r="568" spans="1:6" ht="13.8" thickBot="1" x14ac:dyDescent="0.3">
      <c r="A568" s="118"/>
      <c r="B568" s="115"/>
      <c r="C568" s="116"/>
      <c r="D568" s="116"/>
      <c r="F568" s="118"/>
    </row>
    <row r="569" spans="1:6" ht="13.8" thickBot="1" x14ac:dyDescent="0.3">
      <c r="A569" s="118"/>
      <c r="B569" s="115"/>
      <c r="C569" s="116"/>
      <c r="D569" s="116"/>
      <c r="F569" s="118"/>
    </row>
    <row r="570" spans="1:6" ht="13.8" thickBot="1" x14ac:dyDescent="0.3">
      <c r="A570" s="118"/>
      <c r="B570" s="115"/>
      <c r="C570" s="116"/>
      <c r="D570" s="116"/>
      <c r="F570" s="118"/>
    </row>
    <row r="571" spans="1:6" ht="13.8" thickBot="1" x14ac:dyDescent="0.3">
      <c r="A571" s="118"/>
      <c r="B571" s="115"/>
      <c r="C571" s="116"/>
      <c r="D571" s="116"/>
      <c r="F571" s="118"/>
    </row>
    <row r="572" spans="1:6" ht="13.8" thickBot="1" x14ac:dyDescent="0.3">
      <c r="A572" s="118"/>
      <c r="B572" s="115"/>
      <c r="C572" s="116"/>
      <c r="D572" s="116"/>
      <c r="F572" s="118"/>
    </row>
    <row r="573" spans="1:6" ht="13.8" thickBot="1" x14ac:dyDescent="0.3">
      <c r="A573" s="118"/>
      <c r="B573" s="115"/>
      <c r="C573" s="116"/>
      <c r="D573" s="116"/>
      <c r="F573" s="118"/>
    </row>
    <row r="574" spans="1:6" ht="13.8" thickBot="1" x14ac:dyDescent="0.3">
      <c r="A574" s="118"/>
      <c r="B574" s="115"/>
      <c r="C574" s="116"/>
      <c r="D574" s="116"/>
      <c r="F574" s="118"/>
    </row>
    <row r="575" spans="1:6" ht="13.8" thickBot="1" x14ac:dyDescent="0.3">
      <c r="A575" s="118"/>
      <c r="B575" s="115"/>
      <c r="C575" s="116"/>
      <c r="D575" s="116"/>
      <c r="F575" s="118"/>
    </row>
    <row r="576" spans="1:6" ht="13.8" thickBot="1" x14ac:dyDescent="0.3">
      <c r="A576" s="118"/>
      <c r="B576" s="115"/>
      <c r="C576" s="116"/>
      <c r="D576" s="116"/>
      <c r="F576" s="118"/>
    </row>
    <row r="577" spans="1:6" ht="13.8" thickBot="1" x14ac:dyDescent="0.3">
      <c r="A577" s="118"/>
      <c r="B577" s="115"/>
      <c r="C577" s="116"/>
      <c r="D577" s="116"/>
      <c r="F577" s="118"/>
    </row>
    <row r="578" spans="1:6" ht="13.8" thickBot="1" x14ac:dyDescent="0.3">
      <c r="A578" s="118"/>
      <c r="B578" s="115"/>
      <c r="C578" s="116"/>
      <c r="D578" s="116"/>
      <c r="F578" s="118"/>
    </row>
    <row r="579" spans="1:6" ht="13.8" thickBot="1" x14ac:dyDescent="0.3">
      <c r="A579" s="118"/>
      <c r="B579" s="115"/>
      <c r="C579" s="116"/>
      <c r="D579" s="116"/>
      <c r="F579" s="118"/>
    </row>
    <row r="580" spans="1:6" ht="13.8" thickBot="1" x14ac:dyDescent="0.3">
      <c r="A580" s="118"/>
      <c r="B580" s="115"/>
      <c r="C580" s="116"/>
      <c r="D580" s="116"/>
      <c r="F580" s="118"/>
    </row>
    <row r="581" spans="1:6" ht="13.8" thickBot="1" x14ac:dyDescent="0.3">
      <c r="A581" s="118"/>
      <c r="B581" s="115"/>
      <c r="C581" s="116"/>
      <c r="D581" s="116"/>
      <c r="F581" s="118"/>
    </row>
    <row r="582" spans="1:6" ht="13.8" thickBot="1" x14ac:dyDescent="0.3">
      <c r="A582" s="118"/>
      <c r="B582" s="115"/>
      <c r="C582" s="116"/>
      <c r="D582" s="116"/>
      <c r="F582" s="118"/>
    </row>
    <row r="583" spans="1:6" ht="13.8" thickBot="1" x14ac:dyDescent="0.3">
      <c r="A583" s="118"/>
      <c r="B583" s="115"/>
      <c r="C583" s="116"/>
      <c r="D583" s="116"/>
      <c r="F583" s="118"/>
    </row>
    <row r="584" spans="1:6" ht="13.8" thickBot="1" x14ac:dyDescent="0.3">
      <c r="A584" s="118"/>
      <c r="B584" s="115"/>
      <c r="C584" s="116"/>
      <c r="D584" s="116"/>
      <c r="F584" s="118"/>
    </row>
    <row r="585" spans="1:6" ht="13.8" thickBot="1" x14ac:dyDescent="0.3">
      <c r="A585" s="118"/>
      <c r="B585" s="115"/>
      <c r="C585" s="116"/>
      <c r="D585" s="116"/>
      <c r="F585" s="118"/>
    </row>
    <row r="586" spans="1:6" ht="13.8" thickBot="1" x14ac:dyDescent="0.3">
      <c r="A586" s="118"/>
      <c r="B586" s="115"/>
      <c r="C586" s="116"/>
      <c r="D586" s="116"/>
      <c r="F586" s="118"/>
    </row>
    <row r="587" spans="1:6" ht="13.8" thickBot="1" x14ac:dyDescent="0.3">
      <c r="A587" s="118"/>
      <c r="B587" s="115"/>
      <c r="C587" s="116"/>
      <c r="D587" s="116"/>
      <c r="F587" s="118"/>
    </row>
    <row r="588" spans="1:6" ht="13.8" thickBot="1" x14ac:dyDescent="0.3">
      <c r="A588" s="118"/>
      <c r="B588" s="115"/>
      <c r="C588" s="116"/>
      <c r="D588" s="116"/>
      <c r="F588" s="118"/>
    </row>
    <row r="589" spans="1:6" ht="13.8" thickBot="1" x14ac:dyDescent="0.3">
      <c r="A589" s="118"/>
      <c r="B589" s="115"/>
      <c r="C589" s="116"/>
      <c r="D589" s="116"/>
      <c r="F589" s="118"/>
    </row>
    <row r="590" spans="1:6" ht="13.8" thickBot="1" x14ac:dyDescent="0.3">
      <c r="A590" s="118"/>
      <c r="B590" s="115"/>
      <c r="C590" s="116"/>
      <c r="D590" s="116"/>
      <c r="F590" s="118"/>
    </row>
    <row r="591" spans="1:6" ht="13.8" thickBot="1" x14ac:dyDescent="0.3">
      <c r="A591" s="118"/>
      <c r="B591" s="115"/>
      <c r="C591" s="116"/>
      <c r="D591" s="116"/>
      <c r="F591" s="118"/>
    </row>
    <row r="592" spans="1:6" ht="13.8" thickBot="1" x14ac:dyDescent="0.3">
      <c r="A592" s="118"/>
      <c r="B592" s="115"/>
      <c r="C592" s="116"/>
      <c r="D592" s="116"/>
      <c r="F592" s="118"/>
    </row>
    <row r="593" spans="1:6" ht="13.8" thickBot="1" x14ac:dyDescent="0.3">
      <c r="A593" s="118"/>
      <c r="B593" s="115"/>
      <c r="C593" s="116"/>
      <c r="D593" s="116"/>
      <c r="F593" s="118"/>
    </row>
    <row r="594" spans="1:6" ht="13.8" thickBot="1" x14ac:dyDescent="0.3">
      <c r="A594" s="118"/>
      <c r="B594" s="115"/>
      <c r="C594" s="116"/>
      <c r="D594" s="116"/>
      <c r="F594" s="118"/>
    </row>
    <row r="595" spans="1:6" ht="13.8" thickBot="1" x14ac:dyDescent="0.3">
      <c r="A595" s="118"/>
      <c r="B595" s="115"/>
      <c r="C595" s="116"/>
      <c r="D595" s="116"/>
      <c r="F595" s="118"/>
    </row>
    <row r="596" spans="1:6" ht="13.8" thickBot="1" x14ac:dyDescent="0.3">
      <c r="A596" s="118"/>
      <c r="B596" s="115"/>
      <c r="C596" s="116"/>
      <c r="D596" s="116"/>
      <c r="F596" s="118"/>
    </row>
    <row r="597" spans="1:6" ht="13.8" thickBot="1" x14ac:dyDescent="0.3">
      <c r="A597" s="118"/>
      <c r="B597" s="115"/>
      <c r="C597" s="116"/>
      <c r="D597" s="116"/>
      <c r="F597" s="118"/>
    </row>
    <row r="598" spans="1:6" ht="13.8" thickBot="1" x14ac:dyDescent="0.3">
      <c r="A598" s="118"/>
      <c r="B598" s="115"/>
      <c r="C598" s="116"/>
      <c r="D598" s="116"/>
      <c r="F598" s="118"/>
    </row>
    <row r="599" spans="1:6" ht="13.8" thickBot="1" x14ac:dyDescent="0.3">
      <c r="A599" s="118"/>
      <c r="B599" s="115"/>
      <c r="C599" s="116"/>
      <c r="D599" s="116"/>
      <c r="F599" s="118"/>
    </row>
    <row r="600" spans="1:6" ht="13.8" thickBot="1" x14ac:dyDescent="0.3">
      <c r="A600" s="118"/>
      <c r="B600" s="115"/>
      <c r="C600" s="116"/>
      <c r="D600" s="116"/>
      <c r="F600" s="118"/>
    </row>
    <row r="601" spans="1:6" ht="13.8" thickBot="1" x14ac:dyDescent="0.3">
      <c r="A601" s="118"/>
      <c r="B601" s="115"/>
      <c r="C601" s="116"/>
      <c r="D601" s="116"/>
      <c r="F601" s="118"/>
    </row>
    <row r="602" spans="1:6" ht="13.8" thickBot="1" x14ac:dyDescent="0.3">
      <c r="A602" s="118"/>
      <c r="B602" s="115"/>
      <c r="C602" s="116"/>
      <c r="D602" s="116"/>
      <c r="F602" s="118"/>
    </row>
    <row r="603" spans="1:6" ht="13.8" thickBot="1" x14ac:dyDescent="0.3">
      <c r="A603" s="118"/>
      <c r="B603" s="115"/>
      <c r="C603" s="116"/>
      <c r="D603" s="116"/>
      <c r="F603" s="118"/>
    </row>
    <row r="604" spans="1:6" ht="13.8" thickBot="1" x14ac:dyDescent="0.3">
      <c r="A604" s="118"/>
      <c r="B604" s="115"/>
      <c r="C604" s="116"/>
      <c r="D604" s="116"/>
      <c r="F604" s="118"/>
    </row>
    <row r="605" spans="1:6" ht="13.8" thickBot="1" x14ac:dyDescent="0.3">
      <c r="A605" s="118"/>
      <c r="B605" s="115"/>
      <c r="C605" s="116"/>
      <c r="D605" s="116"/>
      <c r="F605" s="118"/>
    </row>
    <row r="606" spans="1:6" ht="13.8" thickBot="1" x14ac:dyDescent="0.3">
      <c r="A606" s="118"/>
      <c r="B606" s="115"/>
      <c r="C606" s="116"/>
      <c r="D606" s="116"/>
      <c r="F606" s="118"/>
    </row>
    <row r="607" spans="1:6" ht="13.8" thickBot="1" x14ac:dyDescent="0.3">
      <c r="A607" s="118"/>
      <c r="B607" s="115"/>
      <c r="C607" s="116"/>
      <c r="D607" s="116"/>
      <c r="F607" s="118"/>
    </row>
    <row r="608" spans="1:6" ht="13.8" thickBot="1" x14ac:dyDescent="0.3">
      <c r="A608" s="118"/>
      <c r="B608" s="115"/>
      <c r="C608" s="116"/>
      <c r="D608" s="116"/>
      <c r="F608" s="118"/>
    </row>
    <row r="609" spans="1:6" ht="13.8" thickBot="1" x14ac:dyDescent="0.3">
      <c r="A609" s="118"/>
      <c r="B609" s="115"/>
      <c r="C609" s="116"/>
      <c r="D609" s="116"/>
      <c r="F609" s="118"/>
    </row>
    <row r="610" spans="1:6" ht="13.8" thickBot="1" x14ac:dyDescent="0.3">
      <c r="A610" s="118"/>
      <c r="B610" s="115"/>
      <c r="C610" s="116"/>
      <c r="D610" s="116"/>
      <c r="F610" s="118"/>
    </row>
    <row r="611" spans="1:6" ht="13.8" thickBot="1" x14ac:dyDescent="0.3">
      <c r="A611" s="118"/>
      <c r="B611" s="115"/>
      <c r="C611" s="116"/>
      <c r="D611" s="116"/>
      <c r="F611" s="118"/>
    </row>
    <row r="612" spans="1:6" ht="13.8" thickBot="1" x14ac:dyDescent="0.3">
      <c r="A612" s="118"/>
      <c r="B612" s="115"/>
      <c r="C612" s="116"/>
      <c r="D612" s="116"/>
      <c r="F612" s="118"/>
    </row>
    <row r="613" spans="1:6" ht="13.8" thickBot="1" x14ac:dyDescent="0.3">
      <c r="A613" s="118"/>
      <c r="B613" s="115"/>
      <c r="C613" s="116"/>
      <c r="D613" s="116"/>
      <c r="F613" s="118"/>
    </row>
    <row r="614" spans="1:6" ht="13.8" thickBot="1" x14ac:dyDescent="0.3">
      <c r="A614" s="118"/>
      <c r="B614" s="115"/>
      <c r="C614" s="116"/>
      <c r="D614" s="116"/>
      <c r="F614" s="118"/>
    </row>
    <row r="615" spans="1:6" ht="13.8" thickBot="1" x14ac:dyDescent="0.3">
      <c r="A615" s="118"/>
      <c r="B615" s="115"/>
      <c r="C615" s="116"/>
      <c r="D615" s="116"/>
      <c r="F615" s="118"/>
    </row>
    <row r="616" spans="1:6" ht="13.8" thickBot="1" x14ac:dyDescent="0.3">
      <c r="A616" s="118"/>
      <c r="B616" s="115"/>
      <c r="C616" s="116"/>
      <c r="D616" s="116"/>
      <c r="F616" s="118"/>
    </row>
    <row r="617" spans="1:6" ht="13.8" thickBot="1" x14ac:dyDescent="0.3">
      <c r="A617" s="118"/>
      <c r="B617" s="115"/>
      <c r="C617" s="116"/>
      <c r="D617" s="116"/>
      <c r="F617" s="118"/>
    </row>
    <row r="618" spans="1:6" ht="13.8" thickBot="1" x14ac:dyDescent="0.3">
      <c r="A618" s="118"/>
      <c r="B618" s="115"/>
      <c r="C618" s="116"/>
      <c r="D618" s="116"/>
      <c r="F618" s="118"/>
    </row>
    <row r="619" spans="1:6" ht="13.8" thickBot="1" x14ac:dyDescent="0.3">
      <c r="A619" s="118"/>
      <c r="B619" s="115"/>
      <c r="C619" s="116"/>
      <c r="D619" s="116"/>
      <c r="F619" s="118"/>
    </row>
    <row r="620" spans="1:6" ht="13.8" thickBot="1" x14ac:dyDescent="0.3">
      <c r="A620" s="118"/>
      <c r="B620" s="115"/>
      <c r="C620" s="116"/>
      <c r="D620" s="116"/>
      <c r="F620" s="118"/>
    </row>
    <row r="621" spans="1:6" ht="13.8" thickBot="1" x14ac:dyDescent="0.3">
      <c r="A621" s="118"/>
      <c r="B621" s="115"/>
      <c r="C621" s="116"/>
      <c r="D621" s="116"/>
      <c r="F621" s="118"/>
    </row>
    <row r="622" spans="1:6" ht="13.8" thickBot="1" x14ac:dyDescent="0.3">
      <c r="A622" s="118"/>
      <c r="B622" s="115"/>
      <c r="C622" s="116"/>
      <c r="D622" s="116"/>
      <c r="F622" s="118"/>
    </row>
    <row r="623" spans="1:6" ht="13.8" thickBot="1" x14ac:dyDescent="0.3">
      <c r="A623" s="118"/>
      <c r="B623" s="115"/>
      <c r="C623" s="116"/>
      <c r="D623" s="116"/>
      <c r="F623" s="118"/>
    </row>
    <row r="624" spans="1:6" ht="13.8" thickBot="1" x14ac:dyDescent="0.3">
      <c r="A624" s="118"/>
      <c r="B624" s="115"/>
      <c r="C624" s="116"/>
      <c r="D624" s="116"/>
      <c r="F624" s="118"/>
    </row>
    <row r="625" spans="1:6" ht="13.8" thickBot="1" x14ac:dyDescent="0.3">
      <c r="A625" s="118"/>
      <c r="B625" s="115"/>
      <c r="C625" s="116"/>
      <c r="D625" s="116"/>
      <c r="F625" s="118"/>
    </row>
    <row r="626" spans="1:6" ht="13.8" thickBot="1" x14ac:dyDescent="0.3">
      <c r="A626" s="118"/>
      <c r="B626" s="115"/>
      <c r="C626" s="116"/>
      <c r="D626" s="116"/>
      <c r="F626" s="118"/>
    </row>
    <row r="627" spans="1:6" ht="13.8" thickBot="1" x14ac:dyDescent="0.3">
      <c r="A627" s="118"/>
      <c r="B627" s="115"/>
      <c r="C627" s="116"/>
      <c r="D627" s="116"/>
      <c r="F627" s="118"/>
    </row>
    <row r="628" spans="1:6" ht="13.8" thickBot="1" x14ac:dyDescent="0.3">
      <c r="A628" s="118"/>
      <c r="B628" s="115"/>
      <c r="C628" s="116"/>
      <c r="D628" s="116"/>
      <c r="F628" s="118"/>
    </row>
    <row r="629" spans="1:6" ht="13.8" thickBot="1" x14ac:dyDescent="0.3">
      <c r="A629" s="118"/>
      <c r="B629" s="115"/>
      <c r="C629" s="116"/>
      <c r="D629" s="116"/>
      <c r="F629" s="118"/>
    </row>
    <row r="630" spans="1:6" ht="13.8" thickBot="1" x14ac:dyDescent="0.3">
      <c r="A630" s="118"/>
      <c r="B630" s="115"/>
      <c r="C630" s="116"/>
      <c r="D630" s="116"/>
      <c r="F630" s="118"/>
    </row>
    <row r="631" spans="1:6" ht="13.8" thickBot="1" x14ac:dyDescent="0.3">
      <c r="A631" s="118"/>
      <c r="B631" s="115"/>
      <c r="C631" s="116"/>
      <c r="D631" s="116"/>
      <c r="F631" s="118"/>
    </row>
    <row r="632" spans="1:6" ht="13.8" thickBot="1" x14ac:dyDescent="0.3">
      <c r="A632" s="118"/>
      <c r="B632" s="115"/>
      <c r="C632" s="116"/>
      <c r="D632" s="116"/>
      <c r="F632" s="118"/>
    </row>
    <row r="633" spans="1:6" ht="13.8" thickBot="1" x14ac:dyDescent="0.3">
      <c r="A633" s="118"/>
      <c r="B633" s="115"/>
      <c r="C633" s="116"/>
      <c r="D633" s="116"/>
      <c r="F633" s="118"/>
    </row>
    <row r="634" spans="1:6" ht="13.8" thickBot="1" x14ac:dyDescent="0.3">
      <c r="A634" s="118"/>
      <c r="B634" s="115"/>
      <c r="C634" s="116"/>
      <c r="D634" s="116"/>
      <c r="F634" s="118"/>
    </row>
    <row r="635" spans="1:6" ht="13.8" thickBot="1" x14ac:dyDescent="0.3">
      <c r="A635" s="118"/>
      <c r="B635" s="115"/>
      <c r="C635" s="116"/>
      <c r="D635" s="116"/>
      <c r="F635" s="118"/>
    </row>
    <row r="636" spans="1:6" ht="13.8" thickBot="1" x14ac:dyDescent="0.3">
      <c r="A636" s="118"/>
      <c r="B636" s="115"/>
      <c r="C636" s="116"/>
      <c r="D636" s="116"/>
      <c r="F636" s="118"/>
    </row>
    <row r="637" spans="1:6" ht="13.8" thickBot="1" x14ac:dyDescent="0.3">
      <c r="A637" s="118"/>
      <c r="B637" s="115"/>
      <c r="C637" s="116"/>
      <c r="D637" s="116"/>
      <c r="F637" s="118"/>
    </row>
    <row r="638" spans="1:6" ht="13.8" thickBot="1" x14ac:dyDescent="0.3">
      <c r="A638" s="118"/>
      <c r="B638" s="115"/>
      <c r="C638" s="116"/>
      <c r="D638" s="116"/>
      <c r="F638" s="118"/>
    </row>
    <row r="639" spans="1:6" ht="13.8" thickBot="1" x14ac:dyDescent="0.3">
      <c r="A639" s="118"/>
      <c r="B639" s="115"/>
      <c r="C639" s="116"/>
      <c r="D639" s="116"/>
      <c r="F639" s="118"/>
    </row>
    <row r="640" spans="1:6" ht="13.8" thickBot="1" x14ac:dyDescent="0.3">
      <c r="A640" s="118"/>
      <c r="B640" s="115"/>
      <c r="C640" s="116"/>
      <c r="D640" s="116"/>
      <c r="F640" s="118"/>
    </row>
    <row r="641" spans="1:6" ht="13.8" thickBot="1" x14ac:dyDescent="0.3">
      <c r="A641" s="118"/>
      <c r="B641" s="115"/>
      <c r="C641" s="116"/>
      <c r="D641" s="116"/>
      <c r="F641" s="118"/>
    </row>
    <row r="642" spans="1:6" ht="13.8" thickBot="1" x14ac:dyDescent="0.3">
      <c r="A642" s="118"/>
      <c r="B642" s="115"/>
      <c r="C642" s="116"/>
      <c r="D642" s="116"/>
      <c r="F642" s="118"/>
    </row>
    <row r="643" spans="1:6" ht="13.8" thickBot="1" x14ac:dyDescent="0.3">
      <c r="A643" s="118"/>
      <c r="B643" s="115"/>
      <c r="C643" s="116"/>
      <c r="D643" s="116"/>
      <c r="F643" s="118"/>
    </row>
    <row r="644" spans="1:6" ht="13.8" thickBot="1" x14ac:dyDescent="0.3">
      <c r="A644" s="118"/>
      <c r="B644" s="115"/>
      <c r="C644" s="116"/>
      <c r="D644" s="116"/>
      <c r="F644" s="118"/>
    </row>
    <row r="645" spans="1:6" ht="13.8" thickBot="1" x14ac:dyDescent="0.3">
      <c r="A645" s="118"/>
      <c r="B645" s="115"/>
      <c r="C645" s="116"/>
      <c r="D645" s="116"/>
      <c r="F645" s="118"/>
    </row>
    <row r="646" spans="1:6" ht="13.8" thickBot="1" x14ac:dyDescent="0.3">
      <c r="A646" s="118"/>
      <c r="B646" s="115"/>
      <c r="C646" s="116"/>
      <c r="D646" s="116"/>
      <c r="F646" s="118"/>
    </row>
    <row r="647" spans="1:6" ht="13.8" thickBot="1" x14ac:dyDescent="0.3">
      <c r="A647" s="118"/>
      <c r="B647" s="115"/>
      <c r="C647" s="116"/>
      <c r="D647" s="116"/>
      <c r="F647" s="118"/>
    </row>
    <row r="648" spans="1:6" ht="13.8" thickBot="1" x14ac:dyDescent="0.3">
      <c r="A648" s="118"/>
      <c r="B648" s="115"/>
      <c r="C648" s="116"/>
      <c r="D648" s="116"/>
      <c r="F648" s="118"/>
    </row>
    <row r="649" spans="1:6" ht="13.8" thickBot="1" x14ac:dyDescent="0.3">
      <c r="A649" s="118"/>
      <c r="B649" s="115"/>
      <c r="C649" s="116"/>
      <c r="D649" s="116"/>
      <c r="F649" s="118"/>
    </row>
    <row r="650" spans="1:6" ht="13.8" thickBot="1" x14ac:dyDescent="0.3">
      <c r="A650" s="118"/>
      <c r="B650" s="115"/>
      <c r="C650" s="116"/>
      <c r="D650" s="116"/>
      <c r="F650" s="118"/>
    </row>
    <row r="651" spans="1:6" ht="13.8" thickBot="1" x14ac:dyDescent="0.3">
      <c r="A651" s="118"/>
      <c r="B651" s="115"/>
      <c r="C651" s="116"/>
      <c r="D651" s="116"/>
      <c r="F651" s="118"/>
    </row>
    <row r="652" spans="1:6" ht="13.8" thickBot="1" x14ac:dyDescent="0.3">
      <c r="A652" s="118"/>
      <c r="B652" s="115"/>
      <c r="C652" s="116"/>
      <c r="D652" s="116"/>
      <c r="F652" s="118"/>
    </row>
    <row r="653" spans="1:6" ht="13.8" thickBot="1" x14ac:dyDescent="0.3">
      <c r="A653" s="118"/>
      <c r="B653" s="115"/>
      <c r="C653" s="116"/>
      <c r="D653" s="116"/>
      <c r="F653" s="118"/>
    </row>
    <row r="654" spans="1:6" ht="13.8" thickBot="1" x14ac:dyDescent="0.3">
      <c r="A654" s="118"/>
      <c r="B654" s="115"/>
      <c r="C654" s="116"/>
      <c r="D654" s="116"/>
      <c r="F654" s="118"/>
    </row>
    <row r="655" spans="1:6" ht="13.8" thickBot="1" x14ac:dyDescent="0.3">
      <c r="A655" s="118"/>
      <c r="B655" s="115"/>
      <c r="C655" s="116"/>
      <c r="D655" s="116"/>
      <c r="F655" s="118"/>
    </row>
    <row r="656" spans="1:6" ht="13.8" thickBot="1" x14ac:dyDescent="0.3">
      <c r="A656" s="118"/>
      <c r="B656" s="115"/>
      <c r="C656" s="116"/>
      <c r="D656" s="116"/>
      <c r="F656" s="118"/>
    </row>
    <row r="657" spans="1:6" ht="13.8" thickBot="1" x14ac:dyDescent="0.3">
      <c r="A657" s="118"/>
      <c r="B657" s="115"/>
      <c r="C657" s="116"/>
      <c r="D657" s="116"/>
      <c r="F657" s="118"/>
    </row>
    <row r="658" spans="1:6" ht="13.8" thickBot="1" x14ac:dyDescent="0.3">
      <c r="A658" s="118"/>
      <c r="B658" s="115"/>
      <c r="C658" s="116"/>
      <c r="D658" s="116"/>
      <c r="F658" s="118"/>
    </row>
    <row r="659" spans="1:6" ht="13.8" thickBot="1" x14ac:dyDescent="0.3">
      <c r="A659" s="118"/>
      <c r="B659" s="115"/>
      <c r="C659" s="116"/>
      <c r="D659" s="116"/>
      <c r="F659" s="118"/>
    </row>
    <row r="660" spans="1:6" ht="13.8" thickBot="1" x14ac:dyDescent="0.3">
      <c r="A660" s="118"/>
      <c r="B660" s="115"/>
      <c r="C660" s="116"/>
      <c r="D660" s="116"/>
      <c r="F660" s="118"/>
    </row>
    <row r="661" spans="1:6" ht="13.8" thickBot="1" x14ac:dyDescent="0.3">
      <c r="A661" s="118"/>
      <c r="B661" s="115"/>
      <c r="C661" s="116"/>
      <c r="D661" s="116"/>
      <c r="F661" s="118"/>
    </row>
    <row r="662" spans="1:6" ht="13.8" thickBot="1" x14ac:dyDescent="0.3">
      <c r="A662" s="118"/>
      <c r="B662" s="115"/>
      <c r="C662" s="116"/>
      <c r="D662" s="116"/>
      <c r="F662" s="118"/>
    </row>
    <row r="663" spans="1:6" ht="13.8" thickBot="1" x14ac:dyDescent="0.3">
      <c r="A663" s="118"/>
      <c r="B663" s="115"/>
      <c r="C663" s="116"/>
      <c r="D663" s="116"/>
      <c r="F663" s="118"/>
    </row>
    <row r="664" spans="1:6" ht="13.8" thickBot="1" x14ac:dyDescent="0.3">
      <c r="A664" s="118"/>
      <c r="B664" s="115"/>
      <c r="C664" s="116"/>
      <c r="D664" s="116"/>
      <c r="F664" s="118"/>
    </row>
    <row r="665" spans="1:6" ht="13.8" thickBot="1" x14ac:dyDescent="0.3">
      <c r="A665" s="118"/>
      <c r="B665" s="115"/>
      <c r="C665" s="116"/>
      <c r="D665" s="116"/>
      <c r="F665" s="118"/>
    </row>
    <row r="666" spans="1:6" ht="13.8" thickBot="1" x14ac:dyDescent="0.3">
      <c r="A666" s="118"/>
      <c r="B666" s="115"/>
      <c r="C666" s="116"/>
      <c r="D666" s="116"/>
      <c r="F666" s="118"/>
    </row>
    <row r="667" spans="1:6" ht="13.8" thickBot="1" x14ac:dyDescent="0.3">
      <c r="A667" s="118"/>
      <c r="B667" s="115"/>
      <c r="C667" s="116"/>
      <c r="D667" s="116"/>
      <c r="F667" s="118"/>
    </row>
    <row r="668" spans="1:6" ht="13.8" thickBot="1" x14ac:dyDescent="0.3">
      <c r="A668" s="118"/>
      <c r="B668" s="115"/>
      <c r="C668" s="116"/>
      <c r="D668" s="116"/>
      <c r="F668" s="118"/>
    </row>
    <row r="669" spans="1:6" ht="13.8" thickBot="1" x14ac:dyDescent="0.3">
      <c r="A669" s="118"/>
      <c r="B669" s="115"/>
      <c r="C669" s="116"/>
      <c r="D669" s="116"/>
      <c r="F669" s="118"/>
    </row>
    <row r="670" spans="1:6" ht="13.8" thickBot="1" x14ac:dyDescent="0.3">
      <c r="A670" s="118"/>
      <c r="B670" s="115"/>
      <c r="C670" s="116"/>
      <c r="D670" s="116"/>
      <c r="F670" s="118"/>
    </row>
    <row r="671" spans="1:6" ht="13.8" thickBot="1" x14ac:dyDescent="0.3">
      <c r="A671" s="118"/>
      <c r="B671" s="115"/>
      <c r="C671" s="116"/>
      <c r="D671" s="116"/>
      <c r="F671" s="118"/>
    </row>
    <row r="672" spans="1:6" ht="13.8" thickBot="1" x14ac:dyDescent="0.3">
      <c r="A672" s="118"/>
      <c r="B672" s="115"/>
      <c r="C672" s="116"/>
      <c r="D672" s="116"/>
      <c r="F672" s="118"/>
    </row>
    <row r="673" spans="1:6" ht="13.8" thickBot="1" x14ac:dyDescent="0.3">
      <c r="A673" s="118"/>
      <c r="B673" s="115"/>
      <c r="C673" s="116"/>
      <c r="D673" s="116"/>
      <c r="F673" s="118"/>
    </row>
    <row r="674" spans="1:6" ht="13.8" thickBot="1" x14ac:dyDescent="0.3">
      <c r="A674" s="118"/>
      <c r="B674" s="115"/>
      <c r="C674" s="116"/>
      <c r="D674" s="116"/>
      <c r="F674" s="118"/>
    </row>
    <row r="675" spans="1:6" ht="13.8" thickBot="1" x14ac:dyDescent="0.3">
      <c r="A675" s="118"/>
      <c r="B675" s="115"/>
      <c r="C675" s="116"/>
      <c r="D675" s="116"/>
      <c r="F675" s="118"/>
    </row>
    <row r="676" spans="1:6" ht="13.8" thickBot="1" x14ac:dyDescent="0.3">
      <c r="A676" s="118"/>
      <c r="B676" s="115"/>
      <c r="C676" s="116"/>
      <c r="D676" s="116"/>
      <c r="F676" s="118"/>
    </row>
    <row r="677" spans="1:6" ht="13.8" thickBot="1" x14ac:dyDescent="0.3">
      <c r="A677" s="118"/>
      <c r="B677" s="115"/>
      <c r="C677" s="116"/>
      <c r="D677" s="116"/>
      <c r="F677" s="118"/>
    </row>
    <row r="678" spans="1:6" ht="13.8" thickBot="1" x14ac:dyDescent="0.3">
      <c r="A678" s="118"/>
      <c r="B678" s="115"/>
      <c r="C678" s="116"/>
      <c r="D678" s="116"/>
      <c r="F678" s="118"/>
    </row>
    <row r="679" spans="1:6" ht="13.8" thickBot="1" x14ac:dyDescent="0.3">
      <c r="A679" s="118"/>
      <c r="B679" s="115"/>
      <c r="C679" s="116"/>
      <c r="D679" s="116"/>
      <c r="F679" s="118"/>
    </row>
    <row r="680" spans="1:6" ht="13.8" thickBot="1" x14ac:dyDescent="0.3">
      <c r="A680" s="118"/>
      <c r="B680" s="115"/>
      <c r="C680" s="116"/>
      <c r="D680" s="116"/>
      <c r="F680" s="118"/>
    </row>
    <row r="681" spans="1:6" ht="13.8" thickBot="1" x14ac:dyDescent="0.3">
      <c r="A681" s="118"/>
      <c r="B681" s="115"/>
      <c r="C681" s="116"/>
      <c r="D681" s="116"/>
      <c r="F681" s="118"/>
    </row>
    <row r="682" spans="1:6" ht="13.8" thickBot="1" x14ac:dyDescent="0.3">
      <c r="A682" s="118"/>
      <c r="B682" s="115"/>
      <c r="C682" s="116"/>
      <c r="D682" s="116"/>
      <c r="F682" s="118"/>
    </row>
    <row r="683" spans="1:6" ht="13.8" thickBot="1" x14ac:dyDescent="0.3">
      <c r="A683" s="118"/>
      <c r="B683" s="115"/>
      <c r="C683" s="116"/>
      <c r="D683" s="116"/>
      <c r="F683" s="118"/>
    </row>
    <row r="684" spans="1:6" ht="13.8" thickBot="1" x14ac:dyDescent="0.3">
      <c r="A684" s="118"/>
      <c r="B684" s="115"/>
      <c r="C684" s="116"/>
      <c r="D684" s="116"/>
      <c r="F684" s="118"/>
    </row>
    <row r="685" spans="1:6" ht="13.8" thickBot="1" x14ac:dyDescent="0.3">
      <c r="A685" s="118"/>
      <c r="B685" s="115"/>
      <c r="C685" s="116"/>
      <c r="D685" s="116"/>
      <c r="F685" s="118"/>
    </row>
    <row r="686" spans="1:6" ht="13.8" thickBot="1" x14ac:dyDescent="0.3">
      <c r="A686" s="118"/>
      <c r="B686" s="115"/>
      <c r="C686" s="116"/>
      <c r="D686" s="116"/>
      <c r="F686" s="118"/>
    </row>
    <row r="687" spans="1:6" ht="13.8" thickBot="1" x14ac:dyDescent="0.3">
      <c r="A687" s="118"/>
      <c r="B687" s="115"/>
      <c r="C687" s="116"/>
      <c r="D687" s="116"/>
      <c r="F687" s="118"/>
    </row>
    <row r="688" spans="1:6" ht="13.8" thickBot="1" x14ac:dyDescent="0.3">
      <c r="A688" s="118"/>
      <c r="B688" s="115"/>
      <c r="C688" s="116"/>
      <c r="D688" s="116"/>
      <c r="F688" s="118"/>
    </row>
    <row r="689" spans="1:6" ht="13.8" thickBot="1" x14ac:dyDescent="0.3">
      <c r="A689" s="118"/>
      <c r="B689" s="115"/>
      <c r="C689" s="116"/>
      <c r="D689" s="116"/>
      <c r="F689" s="118"/>
    </row>
    <row r="690" spans="1:6" ht="13.8" thickBot="1" x14ac:dyDescent="0.3">
      <c r="A690" s="118"/>
      <c r="B690" s="115"/>
      <c r="C690" s="116"/>
      <c r="D690" s="116"/>
      <c r="F690" s="118"/>
    </row>
    <row r="691" spans="1:6" ht="13.8" thickBot="1" x14ac:dyDescent="0.3">
      <c r="A691" s="118"/>
      <c r="B691" s="115"/>
      <c r="C691" s="116"/>
      <c r="D691" s="116"/>
      <c r="F691" s="118"/>
    </row>
    <row r="692" spans="1:6" ht="13.8" thickBot="1" x14ac:dyDescent="0.3">
      <c r="A692" s="118"/>
      <c r="B692" s="115"/>
      <c r="C692" s="116"/>
      <c r="D692" s="116"/>
      <c r="F692" s="118"/>
    </row>
    <row r="693" spans="1:6" ht="13.8" thickBot="1" x14ac:dyDescent="0.3">
      <c r="A693" s="118"/>
      <c r="B693" s="115"/>
      <c r="C693" s="116"/>
      <c r="D693" s="116"/>
      <c r="F693" s="118"/>
    </row>
    <row r="694" spans="1:6" ht="13.8" thickBot="1" x14ac:dyDescent="0.3">
      <c r="A694" s="118"/>
      <c r="B694" s="115"/>
      <c r="C694" s="116"/>
      <c r="D694" s="116"/>
      <c r="F694" s="118"/>
    </row>
    <row r="695" spans="1:6" ht="13.8" thickBot="1" x14ac:dyDescent="0.3">
      <c r="A695" s="118"/>
      <c r="B695" s="115"/>
      <c r="C695" s="116"/>
      <c r="D695" s="116"/>
      <c r="F695" s="118"/>
    </row>
    <row r="696" spans="1:6" ht="13.8" thickBot="1" x14ac:dyDescent="0.3">
      <c r="A696" s="118"/>
      <c r="B696" s="115"/>
      <c r="C696" s="116"/>
      <c r="D696" s="116"/>
      <c r="F696" s="118"/>
    </row>
    <row r="697" spans="1:6" ht="13.8" thickBot="1" x14ac:dyDescent="0.3">
      <c r="A697" s="118"/>
      <c r="B697" s="115"/>
      <c r="C697" s="116"/>
      <c r="D697" s="116"/>
      <c r="F697" s="118"/>
    </row>
    <row r="698" spans="1:6" ht="13.8" thickBot="1" x14ac:dyDescent="0.3">
      <c r="A698" s="118"/>
      <c r="B698" s="115"/>
      <c r="C698" s="116"/>
      <c r="D698" s="116"/>
      <c r="F698" s="118"/>
    </row>
    <row r="699" spans="1:6" ht="13.8" thickBot="1" x14ac:dyDescent="0.3">
      <c r="A699" s="118"/>
      <c r="B699" s="115"/>
      <c r="C699" s="116"/>
      <c r="D699" s="116"/>
      <c r="F699" s="118"/>
    </row>
    <row r="700" spans="1:6" ht="13.8" thickBot="1" x14ac:dyDescent="0.3">
      <c r="A700" s="118"/>
      <c r="B700" s="115"/>
      <c r="C700" s="116"/>
      <c r="D700" s="116"/>
      <c r="F700" s="118"/>
    </row>
    <row r="701" spans="1:6" ht="13.8" thickBot="1" x14ac:dyDescent="0.3">
      <c r="A701" s="118"/>
      <c r="B701" s="115"/>
      <c r="C701" s="116"/>
      <c r="D701" s="116"/>
      <c r="F701" s="118"/>
    </row>
    <row r="702" spans="1:6" ht="13.8" thickBot="1" x14ac:dyDescent="0.3">
      <c r="A702" s="118"/>
      <c r="B702" s="115"/>
      <c r="C702" s="116"/>
      <c r="D702" s="116"/>
      <c r="F702" s="118"/>
    </row>
    <row r="703" spans="1:6" ht="13.8" thickBot="1" x14ac:dyDescent="0.3">
      <c r="A703" s="118"/>
      <c r="B703" s="115"/>
      <c r="C703" s="116"/>
      <c r="D703" s="116"/>
      <c r="F703" s="118"/>
    </row>
    <row r="704" spans="1:6" ht="13.8" thickBot="1" x14ac:dyDescent="0.3">
      <c r="A704" s="118"/>
      <c r="B704" s="115"/>
      <c r="C704" s="116"/>
      <c r="D704" s="116"/>
      <c r="F704" s="118"/>
    </row>
    <row r="705" spans="1:6" ht="13.8" thickBot="1" x14ac:dyDescent="0.3">
      <c r="A705" s="118"/>
      <c r="B705" s="115"/>
      <c r="C705" s="116"/>
      <c r="D705" s="116"/>
      <c r="F705" s="118"/>
    </row>
    <row r="706" spans="1:6" ht="13.8" thickBot="1" x14ac:dyDescent="0.3">
      <c r="A706" s="118"/>
      <c r="B706" s="115"/>
      <c r="C706" s="116"/>
      <c r="D706" s="116"/>
      <c r="F706" s="118"/>
    </row>
    <row r="707" spans="1:6" ht="13.8" thickBot="1" x14ac:dyDescent="0.3">
      <c r="A707" s="118"/>
      <c r="B707" s="115"/>
      <c r="C707" s="116"/>
      <c r="D707" s="116"/>
      <c r="F707" s="118"/>
    </row>
    <row r="708" spans="1:6" ht="13.8" thickBot="1" x14ac:dyDescent="0.3">
      <c r="A708" s="118"/>
      <c r="B708" s="115"/>
      <c r="C708" s="116"/>
      <c r="D708" s="116"/>
      <c r="F708" s="118"/>
    </row>
    <row r="709" spans="1:6" ht="13.8" thickBot="1" x14ac:dyDescent="0.3">
      <c r="A709" s="118"/>
      <c r="B709" s="115"/>
      <c r="C709" s="116"/>
      <c r="D709" s="116"/>
      <c r="F709" s="118"/>
    </row>
    <row r="710" spans="1:6" ht="13.8" thickBot="1" x14ac:dyDescent="0.3">
      <c r="A710" s="118"/>
      <c r="B710" s="115"/>
      <c r="C710" s="116"/>
      <c r="D710" s="116"/>
      <c r="F710" s="118"/>
    </row>
    <row r="711" spans="1:6" ht="13.8" thickBot="1" x14ac:dyDescent="0.3">
      <c r="A711" s="118"/>
      <c r="B711" s="115"/>
      <c r="C711" s="116"/>
      <c r="D711" s="116"/>
      <c r="F711" s="118"/>
    </row>
    <row r="712" spans="1:6" ht="13.8" thickBot="1" x14ac:dyDescent="0.3">
      <c r="A712" s="118"/>
      <c r="B712" s="115"/>
      <c r="C712" s="116"/>
      <c r="D712" s="116"/>
      <c r="F712" s="118"/>
    </row>
    <row r="713" spans="1:6" ht="13.8" thickBot="1" x14ac:dyDescent="0.3">
      <c r="A713" s="118"/>
      <c r="B713" s="115"/>
      <c r="C713" s="116"/>
      <c r="D713" s="116"/>
      <c r="F713" s="118"/>
    </row>
    <row r="714" spans="1:6" ht="13.8" thickBot="1" x14ac:dyDescent="0.3">
      <c r="A714" s="118"/>
      <c r="B714" s="115"/>
      <c r="C714" s="116"/>
      <c r="D714" s="116"/>
      <c r="F714" s="118"/>
    </row>
    <row r="715" spans="1:6" ht="13.8" thickBot="1" x14ac:dyDescent="0.3">
      <c r="A715" s="118"/>
      <c r="B715" s="115"/>
      <c r="C715" s="116"/>
      <c r="D715" s="116"/>
      <c r="F715" s="118"/>
    </row>
    <row r="716" spans="1:6" ht="13.8" thickBot="1" x14ac:dyDescent="0.3">
      <c r="A716" s="118"/>
      <c r="B716" s="115"/>
      <c r="C716" s="116"/>
      <c r="D716" s="116"/>
      <c r="F716" s="118"/>
    </row>
    <row r="717" spans="1:6" ht="13.8" thickBot="1" x14ac:dyDescent="0.3">
      <c r="A717" s="118"/>
      <c r="B717" s="115"/>
      <c r="C717" s="116"/>
      <c r="D717" s="116"/>
      <c r="F717" s="118"/>
    </row>
    <row r="718" spans="1:6" ht="13.8" thickBot="1" x14ac:dyDescent="0.3">
      <c r="A718" s="118"/>
      <c r="B718" s="115"/>
      <c r="C718" s="116"/>
      <c r="D718" s="116"/>
      <c r="F718" s="118"/>
    </row>
    <row r="719" spans="1:6" ht="13.8" thickBot="1" x14ac:dyDescent="0.3">
      <c r="A719" s="118"/>
      <c r="B719" s="115"/>
      <c r="C719" s="116"/>
      <c r="D719" s="116"/>
      <c r="F719" s="118"/>
    </row>
    <row r="720" spans="1:6" ht="13.8" thickBot="1" x14ac:dyDescent="0.3">
      <c r="A720" s="118"/>
      <c r="B720" s="115"/>
      <c r="C720" s="116"/>
      <c r="D720" s="116"/>
      <c r="F720" s="118"/>
    </row>
    <row r="721" spans="1:6" ht="13.8" thickBot="1" x14ac:dyDescent="0.3">
      <c r="A721" s="118"/>
      <c r="B721" s="115"/>
      <c r="C721" s="116"/>
      <c r="D721" s="116"/>
      <c r="F721" s="118"/>
    </row>
    <row r="722" spans="1:6" ht="13.8" thickBot="1" x14ac:dyDescent="0.3">
      <c r="A722" s="118"/>
      <c r="B722" s="115"/>
      <c r="C722" s="116"/>
      <c r="D722" s="116"/>
      <c r="F722" s="118"/>
    </row>
    <row r="723" spans="1:6" ht="13.8" thickBot="1" x14ac:dyDescent="0.3">
      <c r="A723" s="118"/>
      <c r="B723" s="115"/>
      <c r="C723" s="116"/>
      <c r="D723" s="116"/>
      <c r="F723" s="118"/>
    </row>
    <row r="724" spans="1:6" ht="13.8" thickBot="1" x14ac:dyDescent="0.3">
      <c r="A724" s="118"/>
      <c r="B724" s="115"/>
      <c r="C724" s="116"/>
      <c r="D724" s="116"/>
      <c r="F724" s="118"/>
    </row>
    <row r="725" spans="1:6" ht="13.8" thickBot="1" x14ac:dyDescent="0.3">
      <c r="A725" s="118"/>
      <c r="B725" s="115"/>
      <c r="C725" s="116"/>
      <c r="D725" s="116"/>
      <c r="F725" s="118"/>
    </row>
    <row r="726" spans="1:6" ht="13.8" thickBot="1" x14ac:dyDescent="0.3">
      <c r="A726" s="118"/>
      <c r="B726" s="115"/>
      <c r="C726" s="116"/>
      <c r="D726" s="116"/>
      <c r="F726" s="118"/>
    </row>
    <row r="727" spans="1:6" ht="13.8" thickBot="1" x14ac:dyDescent="0.3">
      <c r="A727" s="118"/>
      <c r="B727" s="115"/>
      <c r="C727" s="116"/>
      <c r="D727" s="116"/>
      <c r="F727" s="118"/>
    </row>
    <row r="728" spans="1:6" ht="13.8" thickBot="1" x14ac:dyDescent="0.3">
      <c r="A728" s="118"/>
      <c r="B728" s="115"/>
      <c r="C728" s="116"/>
      <c r="D728" s="116"/>
      <c r="F728" s="118"/>
    </row>
    <row r="729" spans="1:6" ht="13.8" thickBot="1" x14ac:dyDescent="0.3">
      <c r="A729" s="118"/>
      <c r="B729" s="115"/>
      <c r="C729" s="116"/>
      <c r="D729" s="116"/>
      <c r="F729" s="118"/>
    </row>
    <row r="730" spans="1:6" ht="13.8" thickBot="1" x14ac:dyDescent="0.3">
      <c r="A730" s="118"/>
      <c r="B730" s="115"/>
      <c r="C730" s="116"/>
      <c r="D730" s="116"/>
      <c r="F730" s="118"/>
    </row>
    <row r="731" spans="1:6" ht="13.8" thickBot="1" x14ac:dyDescent="0.3">
      <c r="A731" s="118"/>
      <c r="B731" s="115"/>
      <c r="C731" s="116"/>
      <c r="D731" s="116"/>
      <c r="F731" s="118"/>
    </row>
    <row r="732" spans="1:6" ht="13.8" thickBot="1" x14ac:dyDescent="0.3">
      <c r="A732" s="118"/>
      <c r="B732" s="115"/>
      <c r="C732" s="116"/>
      <c r="D732" s="116"/>
      <c r="F732" s="118"/>
    </row>
    <row r="733" spans="1:6" ht="13.8" thickBot="1" x14ac:dyDescent="0.3">
      <c r="A733" s="118"/>
      <c r="B733" s="115"/>
      <c r="C733" s="116"/>
      <c r="D733" s="116"/>
      <c r="F733" s="118"/>
    </row>
    <row r="734" spans="1:6" ht="13.8" thickBot="1" x14ac:dyDescent="0.3">
      <c r="A734" s="118"/>
      <c r="B734" s="115"/>
      <c r="C734" s="116"/>
      <c r="D734" s="116"/>
      <c r="F734" s="118"/>
    </row>
    <row r="735" spans="1:6" ht="13.8" thickBot="1" x14ac:dyDescent="0.3">
      <c r="A735" s="118"/>
      <c r="B735" s="115"/>
      <c r="C735" s="116"/>
      <c r="D735" s="116"/>
      <c r="F735" s="118"/>
    </row>
    <row r="736" spans="1:6" ht="13.8" thickBot="1" x14ac:dyDescent="0.3">
      <c r="A736" s="118"/>
      <c r="B736" s="115"/>
      <c r="C736" s="116"/>
      <c r="D736" s="116"/>
      <c r="F736" s="118"/>
    </row>
    <row r="737" spans="1:6" ht="13.8" thickBot="1" x14ac:dyDescent="0.3">
      <c r="A737" s="118"/>
      <c r="B737" s="115"/>
      <c r="C737" s="116"/>
      <c r="D737" s="116"/>
      <c r="F737" s="118"/>
    </row>
    <row r="738" spans="1:6" ht="13.8" thickBot="1" x14ac:dyDescent="0.3">
      <c r="A738" s="118"/>
      <c r="B738" s="115"/>
      <c r="C738" s="116"/>
      <c r="D738" s="116"/>
      <c r="F738" s="118"/>
    </row>
    <row r="739" spans="1:6" ht="13.8" thickBot="1" x14ac:dyDescent="0.3">
      <c r="A739" s="118"/>
      <c r="B739" s="115"/>
      <c r="C739" s="116"/>
      <c r="D739" s="116"/>
      <c r="F739" s="118"/>
    </row>
    <row r="740" spans="1:6" ht="13.8" thickBot="1" x14ac:dyDescent="0.3">
      <c r="A740" s="118"/>
      <c r="B740" s="115"/>
      <c r="C740" s="116"/>
      <c r="D740" s="116"/>
      <c r="F740" s="118"/>
    </row>
    <row r="741" spans="1:6" ht="13.8" thickBot="1" x14ac:dyDescent="0.3">
      <c r="A741" s="118"/>
      <c r="B741" s="115"/>
      <c r="C741" s="116"/>
      <c r="D741" s="116"/>
      <c r="F741" s="118"/>
    </row>
    <row r="742" spans="1:6" ht="13.8" thickBot="1" x14ac:dyDescent="0.3">
      <c r="A742" s="118"/>
      <c r="B742" s="115"/>
      <c r="C742" s="116"/>
      <c r="D742" s="116"/>
      <c r="F742" s="118"/>
    </row>
    <row r="743" spans="1:6" ht="13.8" thickBot="1" x14ac:dyDescent="0.3">
      <c r="A743" s="118"/>
      <c r="B743" s="115"/>
      <c r="C743" s="116"/>
      <c r="D743" s="116"/>
      <c r="F743" s="118"/>
    </row>
    <row r="744" spans="1:6" ht="13.8" thickBot="1" x14ac:dyDescent="0.3">
      <c r="A744" s="118"/>
      <c r="B744" s="115"/>
      <c r="C744" s="116"/>
      <c r="D744" s="116"/>
      <c r="F744" s="118"/>
    </row>
    <row r="745" spans="1:6" ht="13.8" thickBot="1" x14ac:dyDescent="0.3">
      <c r="A745" s="118"/>
      <c r="B745" s="115"/>
      <c r="C745" s="116"/>
      <c r="D745" s="116"/>
      <c r="F745" s="118"/>
    </row>
    <row r="746" spans="1:6" ht="13.8" thickBot="1" x14ac:dyDescent="0.3">
      <c r="A746" s="118"/>
      <c r="B746" s="115"/>
      <c r="C746" s="116"/>
      <c r="D746" s="116"/>
      <c r="F746" s="118"/>
    </row>
    <row r="747" spans="1:6" ht="13.8" thickBot="1" x14ac:dyDescent="0.3">
      <c r="A747" s="118"/>
      <c r="B747" s="115"/>
      <c r="C747" s="116"/>
      <c r="D747" s="116"/>
      <c r="F747" s="118"/>
    </row>
    <row r="748" spans="1:6" ht="13.8" thickBot="1" x14ac:dyDescent="0.3">
      <c r="A748" s="118"/>
      <c r="B748" s="115"/>
      <c r="C748" s="116"/>
      <c r="D748" s="116"/>
      <c r="F748" s="118"/>
    </row>
    <row r="749" spans="1:6" ht="13.8" thickBot="1" x14ac:dyDescent="0.3">
      <c r="A749" s="118"/>
      <c r="B749" s="115"/>
      <c r="C749" s="116"/>
      <c r="D749" s="116"/>
      <c r="F749" s="118"/>
    </row>
    <row r="750" spans="1:6" ht="13.8" thickBot="1" x14ac:dyDescent="0.3">
      <c r="A750" s="118"/>
      <c r="B750" s="115"/>
      <c r="C750" s="116"/>
      <c r="D750" s="116"/>
      <c r="F750" s="118"/>
    </row>
    <row r="751" spans="1:6" ht="13.8" thickBot="1" x14ac:dyDescent="0.3">
      <c r="A751" s="118"/>
      <c r="B751" s="115"/>
      <c r="C751" s="116"/>
      <c r="D751" s="116"/>
      <c r="F751" s="118"/>
    </row>
    <row r="752" spans="1:6" ht="13.8" thickBot="1" x14ac:dyDescent="0.3">
      <c r="A752" s="118"/>
      <c r="B752" s="115"/>
      <c r="C752" s="116"/>
      <c r="D752" s="116"/>
      <c r="F752" s="118"/>
    </row>
    <row r="753" spans="1:6" ht="13.8" thickBot="1" x14ac:dyDescent="0.3">
      <c r="A753" s="118"/>
      <c r="B753" s="115"/>
      <c r="C753" s="116"/>
      <c r="D753" s="116"/>
      <c r="F753" s="118"/>
    </row>
    <row r="754" spans="1:6" ht="13.8" thickBot="1" x14ac:dyDescent="0.3">
      <c r="A754" s="118"/>
      <c r="B754" s="115"/>
      <c r="C754" s="116"/>
      <c r="D754" s="116"/>
      <c r="F754" s="118"/>
    </row>
    <row r="755" spans="1:6" ht="13.8" thickBot="1" x14ac:dyDescent="0.3">
      <c r="A755" s="118"/>
      <c r="B755" s="115"/>
      <c r="C755" s="116"/>
      <c r="D755" s="116"/>
      <c r="F755" s="118"/>
    </row>
    <row r="756" spans="1:6" ht="13.8" thickBot="1" x14ac:dyDescent="0.3">
      <c r="A756" s="118"/>
      <c r="B756" s="115"/>
      <c r="C756" s="116"/>
      <c r="D756" s="116"/>
      <c r="F756" s="118"/>
    </row>
    <row r="757" spans="1:6" ht="13.8" thickBot="1" x14ac:dyDescent="0.3">
      <c r="A757" s="118"/>
      <c r="B757" s="115"/>
      <c r="C757" s="116"/>
      <c r="D757" s="116"/>
      <c r="F757" s="118"/>
    </row>
    <row r="758" spans="1:6" ht="13.8" thickBot="1" x14ac:dyDescent="0.3">
      <c r="A758" s="118"/>
      <c r="B758" s="115"/>
      <c r="C758" s="116"/>
      <c r="D758" s="116"/>
      <c r="F758" s="118"/>
    </row>
    <row r="759" spans="1:6" ht="13.8" thickBot="1" x14ac:dyDescent="0.3">
      <c r="A759" s="118"/>
      <c r="B759" s="115"/>
      <c r="C759" s="116"/>
      <c r="D759" s="116"/>
      <c r="F759" s="118"/>
    </row>
    <row r="760" spans="1:6" ht="13.8" thickBot="1" x14ac:dyDescent="0.3">
      <c r="A760" s="118"/>
      <c r="B760" s="115"/>
      <c r="C760" s="116"/>
      <c r="D760" s="116"/>
      <c r="F760" s="118"/>
    </row>
    <row r="761" spans="1:6" ht="13.8" thickBot="1" x14ac:dyDescent="0.3">
      <c r="A761" s="118"/>
      <c r="B761" s="115"/>
      <c r="C761" s="116"/>
      <c r="D761" s="116"/>
      <c r="F761" s="118"/>
    </row>
    <row r="762" spans="1:6" ht="13.8" thickBot="1" x14ac:dyDescent="0.3">
      <c r="A762" s="118"/>
      <c r="B762" s="115"/>
      <c r="C762" s="116"/>
      <c r="D762" s="116"/>
      <c r="F762" s="118"/>
    </row>
    <row r="763" spans="1:6" ht="13.8" thickBot="1" x14ac:dyDescent="0.3">
      <c r="A763" s="118"/>
      <c r="B763" s="115"/>
      <c r="C763" s="116"/>
      <c r="D763" s="116"/>
      <c r="F763" s="118"/>
    </row>
    <row r="764" spans="1:6" ht="13.8" thickBot="1" x14ac:dyDescent="0.3">
      <c r="A764" s="118"/>
      <c r="B764" s="115"/>
      <c r="C764" s="116"/>
      <c r="D764" s="116"/>
      <c r="F764" s="118"/>
    </row>
    <row r="765" spans="1:6" ht="13.8" thickBot="1" x14ac:dyDescent="0.3">
      <c r="A765" s="118"/>
      <c r="B765" s="115"/>
      <c r="C765" s="116"/>
      <c r="D765" s="116"/>
      <c r="F765" s="118"/>
    </row>
    <row r="766" spans="1:6" ht="13.8" thickBot="1" x14ac:dyDescent="0.3">
      <c r="A766" s="118"/>
      <c r="B766" s="115"/>
      <c r="C766" s="116"/>
      <c r="D766" s="116"/>
      <c r="F766" s="118"/>
    </row>
    <row r="767" spans="1:6" ht="13.8" thickBot="1" x14ac:dyDescent="0.3">
      <c r="A767" s="118"/>
      <c r="B767" s="115"/>
      <c r="C767" s="116"/>
      <c r="D767" s="116"/>
      <c r="F767" s="118"/>
    </row>
    <row r="768" spans="1:6" ht="13.8" thickBot="1" x14ac:dyDescent="0.3">
      <c r="A768" s="118"/>
      <c r="B768" s="115"/>
      <c r="C768" s="116"/>
      <c r="D768" s="116"/>
      <c r="F768" s="118"/>
    </row>
    <row r="769" spans="1:6" ht="13.8" thickBot="1" x14ac:dyDescent="0.3">
      <c r="A769" s="118"/>
      <c r="B769" s="115"/>
      <c r="C769" s="116"/>
      <c r="D769" s="116"/>
      <c r="F769" s="118"/>
    </row>
    <row r="770" spans="1:6" ht="13.8" thickBot="1" x14ac:dyDescent="0.3">
      <c r="A770" s="118"/>
      <c r="B770" s="115"/>
      <c r="C770" s="116"/>
      <c r="D770" s="116"/>
      <c r="F770" s="118"/>
    </row>
    <row r="771" spans="1:6" ht="13.8" thickBot="1" x14ac:dyDescent="0.3">
      <c r="A771" s="118"/>
      <c r="B771" s="115"/>
      <c r="C771" s="116"/>
      <c r="D771" s="116"/>
      <c r="F771" s="118"/>
    </row>
    <row r="772" spans="1:6" ht="13.8" thickBot="1" x14ac:dyDescent="0.3">
      <c r="A772" s="118"/>
      <c r="B772" s="115"/>
      <c r="C772" s="116"/>
      <c r="D772" s="116"/>
      <c r="F772" s="118"/>
    </row>
    <row r="773" spans="1:6" ht="13.8" thickBot="1" x14ac:dyDescent="0.3">
      <c r="A773" s="118"/>
      <c r="B773" s="115"/>
      <c r="C773" s="116"/>
      <c r="D773" s="116"/>
      <c r="F773" s="118"/>
    </row>
    <row r="774" spans="1:6" ht="13.8" thickBot="1" x14ac:dyDescent="0.3">
      <c r="A774" s="118"/>
      <c r="B774" s="115"/>
      <c r="C774" s="116"/>
      <c r="D774" s="116"/>
      <c r="F774" s="118"/>
    </row>
    <row r="775" spans="1:6" ht="13.8" thickBot="1" x14ac:dyDescent="0.3">
      <c r="A775" s="118"/>
      <c r="B775" s="115"/>
      <c r="C775" s="116"/>
      <c r="D775" s="116"/>
      <c r="F775" s="118"/>
    </row>
    <row r="776" spans="1:6" ht="13.8" thickBot="1" x14ac:dyDescent="0.3">
      <c r="A776" s="118"/>
      <c r="B776" s="115"/>
      <c r="C776" s="116"/>
      <c r="D776" s="116"/>
      <c r="F776" s="118"/>
    </row>
    <row r="777" spans="1:6" ht="13.8" thickBot="1" x14ac:dyDescent="0.3">
      <c r="A777" s="118"/>
      <c r="B777" s="115"/>
      <c r="C777" s="116"/>
      <c r="D777" s="116"/>
      <c r="F777" s="118"/>
    </row>
    <row r="778" spans="1:6" ht="13.8" thickBot="1" x14ac:dyDescent="0.3">
      <c r="A778" s="118"/>
      <c r="B778" s="115"/>
      <c r="C778" s="116"/>
      <c r="D778" s="116"/>
      <c r="F778" s="118"/>
    </row>
    <row r="779" spans="1:6" ht="13.8" thickBot="1" x14ac:dyDescent="0.3">
      <c r="A779" s="118"/>
      <c r="B779" s="115"/>
      <c r="C779" s="116"/>
      <c r="D779" s="116"/>
      <c r="F779" s="118"/>
    </row>
    <row r="780" spans="1:6" ht="13.8" thickBot="1" x14ac:dyDescent="0.3">
      <c r="A780" s="118"/>
      <c r="B780" s="115"/>
      <c r="C780" s="116"/>
      <c r="D780" s="116"/>
      <c r="F780" s="118"/>
    </row>
    <row r="781" spans="1:6" ht="13.8" thickBot="1" x14ac:dyDescent="0.3">
      <c r="A781" s="118"/>
      <c r="B781" s="115"/>
      <c r="C781" s="116"/>
      <c r="D781" s="116"/>
      <c r="F781" s="118"/>
    </row>
    <row r="782" spans="1:6" ht="13.8" thickBot="1" x14ac:dyDescent="0.3">
      <c r="A782" s="118"/>
      <c r="B782" s="115"/>
      <c r="C782" s="116"/>
      <c r="D782" s="116"/>
      <c r="F782" s="118"/>
    </row>
    <row r="783" spans="1:6" ht="13.8" thickBot="1" x14ac:dyDescent="0.3">
      <c r="A783" s="118"/>
      <c r="B783" s="115"/>
      <c r="C783" s="116"/>
      <c r="D783" s="116"/>
      <c r="F783" s="118"/>
    </row>
    <row r="784" spans="1:6" ht="13.8" thickBot="1" x14ac:dyDescent="0.3">
      <c r="A784" s="118"/>
      <c r="B784" s="115"/>
      <c r="C784" s="116"/>
      <c r="D784" s="116"/>
      <c r="F784" s="118"/>
    </row>
    <row r="785" spans="1:6" ht="13.8" thickBot="1" x14ac:dyDescent="0.3">
      <c r="A785" s="118"/>
      <c r="B785" s="115"/>
      <c r="C785" s="116"/>
      <c r="D785" s="116"/>
      <c r="F785" s="118"/>
    </row>
    <row r="786" spans="1:6" ht="13.8" thickBot="1" x14ac:dyDescent="0.3">
      <c r="A786" s="118"/>
      <c r="B786" s="115"/>
      <c r="C786" s="116"/>
      <c r="D786" s="116"/>
      <c r="F786" s="118"/>
    </row>
    <row r="787" spans="1:6" ht="13.8" thickBot="1" x14ac:dyDescent="0.3">
      <c r="A787" s="118"/>
      <c r="B787" s="115"/>
      <c r="C787" s="116"/>
      <c r="D787" s="116"/>
      <c r="F787" s="118"/>
    </row>
    <row r="788" spans="1:6" ht="13.8" thickBot="1" x14ac:dyDescent="0.3">
      <c r="A788" s="118"/>
      <c r="B788" s="115"/>
      <c r="C788" s="116"/>
      <c r="D788" s="116"/>
      <c r="F788" s="118"/>
    </row>
    <row r="789" spans="1:6" ht="13.8" thickBot="1" x14ac:dyDescent="0.3">
      <c r="A789" s="118"/>
      <c r="B789" s="115"/>
      <c r="C789" s="116"/>
      <c r="D789" s="116"/>
      <c r="F789" s="118"/>
    </row>
    <row r="790" spans="1:6" ht="13.8" thickBot="1" x14ac:dyDescent="0.3">
      <c r="A790" s="118"/>
      <c r="B790" s="115"/>
      <c r="C790" s="116"/>
      <c r="D790" s="116"/>
      <c r="F790" s="118"/>
    </row>
    <row r="791" spans="1:6" ht="13.8" thickBot="1" x14ac:dyDescent="0.3">
      <c r="A791" s="118"/>
      <c r="B791" s="115"/>
      <c r="C791" s="116"/>
      <c r="D791" s="116"/>
      <c r="F791" s="118"/>
    </row>
    <row r="792" spans="1:6" ht="13.8" thickBot="1" x14ac:dyDescent="0.3">
      <c r="A792" s="118"/>
      <c r="B792" s="115"/>
      <c r="C792" s="116"/>
      <c r="D792" s="116"/>
      <c r="F792" s="118"/>
    </row>
    <row r="793" spans="1:6" ht="13.8" thickBot="1" x14ac:dyDescent="0.3">
      <c r="A793" s="118"/>
      <c r="B793" s="115"/>
      <c r="C793" s="116"/>
      <c r="D793" s="116"/>
      <c r="F793" s="118"/>
    </row>
    <row r="794" spans="1:6" ht="13.8" thickBot="1" x14ac:dyDescent="0.3">
      <c r="A794" s="118"/>
      <c r="B794" s="115"/>
      <c r="C794" s="116"/>
      <c r="D794" s="116"/>
      <c r="F794" s="118"/>
    </row>
    <row r="795" spans="1:6" ht="13.8" thickBot="1" x14ac:dyDescent="0.3">
      <c r="A795" s="118"/>
      <c r="B795" s="115"/>
      <c r="C795" s="116"/>
      <c r="D795" s="116"/>
      <c r="F795" s="118"/>
    </row>
    <row r="796" spans="1:6" ht="13.8" thickBot="1" x14ac:dyDescent="0.3">
      <c r="A796" s="118"/>
      <c r="B796" s="115"/>
      <c r="C796" s="116"/>
      <c r="D796" s="116"/>
      <c r="F796" s="118"/>
    </row>
    <row r="797" spans="1:6" ht="13.8" thickBot="1" x14ac:dyDescent="0.3">
      <c r="A797" s="118"/>
      <c r="B797" s="115"/>
      <c r="C797" s="116"/>
      <c r="D797" s="116"/>
      <c r="F797" s="118"/>
    </row>
    <row r="798" spans="1:6" ht="13.8" thickBot="1" x14ac:dyDescent="0.3">
      <c r="A798" s="118"/>
      <c r="B798" s="115"/>
      <c r="C798" s="116"/>
      <c r="D798" s="116"/>
      <c r="F798" s="118"/>
    </row>
    <row r="799" spans="1:6" ht="13.8" thickBot="1" x14ac:dyDescent="0.3">
      <c r="A799" s="118"/>
      <c r="B799" s="115"/>
      <c r="C799" s="116"/>
      <c r="D799" s="116"/>
      <c r="F799" s="118"/>
    </row>
    <row r="800" spans="1:6" ht="13.8" thickBot="1" x14ac:dyDescent="0.3">
      <c r="A800" s="118"/>
      <c r="B800" s="115"/>
      <c r="C800" s="116"/>
      <c r="D800" s="116"/>
      <c r="F800" s="118"/>
    </row>
    <row r="801" spans="1:6" ht="13.8" thickBot="1" x14ac:dyDescent="0.3">
      <c r="A801" s="118"/>
      <c r="B801" s="115"/>
      <c r="C801" s="116"/>
      <c r="D801" s="116"/>
      <c r="F801" s="118"/>
    </row>
    <row r="802" spans="1:6" ht="13.8" thickBot="1" x14ac:dyDescent="0.3">
      <c r="A802" s="118"/>
      <c r="B802" s="115"/>
      <c r="C802" s="116"/>
      <c r="D802" s="116"/>
      <c r="F802" s="118"/>
    </row>
    <row r="803" spans="1:6" ht="13.8" thickBot="1" x14ac:dyDescent="0.3">
      <c r="A803" s="118"/>
      <c r="B803" s="115"/>
      <c r="C803" s="116"/>
      <c r="D803" s="116"/>
      <c r="F803" s="118"/>
    </row>
    <row r="804" spans="1:6" ht="13.8" thickBot="1" x14ac:dyDescent="0.3">
      <c r="A804" s="118"/>
      <c r="B804" s="115"/>
      <c r="C804" s="116"/>
      <c r="D804" s="116"/>
      <c r="F804" s="118"/>
    </row>
    <row r="805" spans="1:6" ht="13.8" thickBot="1" x14ac:dyDescent="0.3">
      <c r="A805" s="118"/>
      <c r="B805" s="115"/>
      <c r="C805" s="116"/>
      <c r="D805" s="116"/>
      <c r="F805" s="118"/>
    </row>
    <row r="806" spans="1:6" ht="13.8" thickBot="1" x14ac:dyDescent="0.3">
      <c r="A806" s="118"/>
      <c r="B806" s="115"/>
      <c r="C806" s="116"/>
      <c r="D806" s="116"/>
      <c r="F806" s="118"/>
    </row>
    <row r="807" spans="1:6" ht="13.8" thickBot="1" x14ac:dyDescent="0.3">
      <c r="A807" s="118"/>
      <c r="B807" s="115"/>
      <c r="C807" s="116"/>
      <c r="D807" s="116"/>
      <c r="F807" s="118"/>
    </row>
    <row r="808" spans="1:6" ht="13.8" thickBot="1" x14ac:dyDescent="0.3">
      <c r="A808" s="118"/>
      <c r="B808" s="115"/>
      <c r="C808" s="116"/>
      <c r="D808" s="116"/>
      <c r="F808" s="118"/>
    </row>
    <row r="809" spans="1:6" ht="13.8" thickBot="1" x14ac:dyDescent="0.3">
      <c r="A809" s="118"/>
      <c r="B809" s="115"/>
      <c r="C809" s="116"/>
      <c r="D809" s="116"/>
      <c r="F809" s="118"/>
    </row>
    <row r="810" spans="1:6" ht="13.8" thickBot="1" x14ac:dyDescent="0.3">
      <c r="A810" s="118"/>
      <c r="B810" s="115"/>
      <c r="C810" s="116"/>
      <c r="D810" s="116"/>
      <c r="F810" s="118"/>
    </row>
    <row r="811" spans="1:6" ht="13.8" thickBot="1" x14ac:dyDescent="0.3">
      <c r="A811" s="118"/>
      <c r="B811" s="115"/>
      <c r="C811" s="116"/>
      <c r="D811" s="116"/>
      <c r="F811" s="118"/>
    </row>
    <row r="812" spans="1:6" ht="13.8" thickBot="1" x14ac:dyDescent="0.3">
      <c r="A812" s="118"/>
      <c r="B812" s="115"/>
      <c r="C812" s="116"/>
      <c r="D812" s="116"/>
      <c r="F812" s="118"/>
    </row>
    <row r="813" spans="1:6" ht="13.8" thickBot="1" x14ac:dyDescent="0.3">
      <c r="A813" s="118"/>
      <c r="B813" s="115"/>
      <c r="C813" s="116"/>
      <c r="D813" s="116"/>
      <c r="F813" s="118"/>
    </row>
    <row r="814" spans="1:6" ht="13.8" thickBot="1" x14ac:dyDescent="0.3">
      <c r="A814" s="118"/>
      <c r="B814" s="115"/>
      <c r="C814" s="116"/>
      <c r="D814" s="116"/>
      <c r="F814" s="118"/>
    </row>
    <row r="815" spans="1:6" ht="13.8" thickBot="1" x14ac:dyDescent="0.3">
      <c r="A815" s="118"/>
      <c r="B815" s="115"/>
      <c r="C815" s="116"/>
      <c r="D815" s="116"/>
      <c r="F815" s="118"/>
    </row>
    <row r="816" spans="1:6" ht="13.8" thickBot="1" x14ac:dyDescent="0.3">
      <c r="A816" s="118"/>
      <c r="B816" s="115"/>
      <c r="C816" s="116"/>
      <c r="D816" s="116"/>
      <c r="F816" s="118"/>
    </row>
    <row r="817" spans="1:6" ht="13.8" thickBot="1" x14ac:dyDescent="0.3">
      <c r="A817" s="118"/>
      <c r="B817" s="115"/>
      <c r="C817" s="116"/>
      <c r="D817" s="116"/>
      <c r="F817" s="118"/>
    </row>
    <row r="818" spans="1:6" ht="13.8" thickBot="1" x14ac:dyDescent="0.3">
      <c r="A818" s="118"/>
      <c r="B818" s="115"/>
      <c r="C818" s="116"/>
      <c r="D818" s="116"/>
      <c r="F818" s="118"/>
    </row>
    <row r="819" spans="1:6" ht="13.8" thickBot="1" x14ac:dyDescent="0.3">
      <c r="A819" s="118"/>
      <c r="B819" s="115"/>
      <c r="C819" s="116"/>
      <c r="D819" s="116"/>
      <c r="F819" s="118"/>
    </row>
    <row r="820" spans="1:6" ht="13.8" thickBot="1" x14ac:dyDescent="0.3">
      <c r="A820" s="118"/>
      <c r="B820" s="115"/>
      <c r="C820" s="116"/>
      <c r="D820" s="116"/>
      <c r="F820" s="118"/>
    </row>
    <row r="821" spans="1:6" ht="13.8" thickBot="1" x14ac:dyDescent="0.3">
      <c r="A821" s="118"/>
      <c r="B821" s="115"/>
      <c r="C821" s="116"/>
      <c r="D821" s="116"/>
      <c r="F821" s="118"/>
    </row>
    <row r="822" spans="1:6" ht="13.8" thickBot="1" x14ac:dyDescent="0.3">
      <c r="A822" s="118"/>
      <c r="B822" s="115"/>
      <c r="C822" s="116"/>
      <c r="D822" s="116"/>
      <c r="F822" s="118"/>
    </row>
    <row r="823" spans="1:6" ht="13.8" thickBot="1" x14ac:dyDescent="0.3">
      <c r="A823" s="118"/>
      <c r="B823" s="115"/>
      <c r="C823" s="116"/>
      <c r="D823" s="116"/>
      <c r="F823" s="118"/>
    </row>
    <row r="824" spans="1:6" ht="13.8" thickBot="1" x14ac:dyDescent="0.3">
      <c r="A824" s="118"/>
      <c r="B824" s="115"/>
      <c r="C824" s="116"/>
      <c r="D824" s="116"/>
      <c r="F824" s="118"/>
    </row>
    <row r="825" spans="1:6" ht="13.8" thickBot="1" x14ac:dyDescent="0.3">
      <c r="A825" s="118"/>
      <c r="B825" s="115"/>
      <c r="C825" s="116"/>
      <c r="D825" s="116"/>
      <c r="F825" s="118"/>
    </row>
    <row r="826" spans="1:6" ht="13.8" thickBot="1" x14ac:dyDescent="0.3">
      <c r="A826" s="118"/>
      <c r="B826" s="115"/>
      <c r="C826" s="116"/>
      <c r="D826" s="116"/>
      <c r="F826" s="118"/>
    </row>
    <row r="827" spans="1:6" ht="13.8" thickBot="1" x14ac:dyDescent="0.3">
      <c r="A827" s="118"/>
      <c r="B827" s="115"/>
      <c r="C827" s="116"/>
      <c r="F827" s="118"/>
    </row>
    <row r="828" spans="1:6" ht="13.8" thickBot="1" x14ac:dyDescent="0.3">
      <c r="A828" s="118"/>
      <c r="B828" s="115"/>
      <c r="F828" s="118"/>
    </row>
    <row r="829" spans="1:6" ht="15.75" customHeight="1" thickBot="1" x14ac:dyDescent="0.3">
      <c r="A829" s="118"/>
      <c r="B829" s="115"/>
      <c r="F829" s="118"/>
    </row>
    <row r="830" spans="1:6" ht="15.75" customHeight="1" thickBot="1" x14ac:dyDescent="0.3">
      <c r="A830" s="118"/>
      <c r="B830" s="115"/>
      <c r="F830" s="118"/>
    </row>
    <row r="831" spans="1:6" ht="15.75" customHeight="1" thickBot="1" x14ac:dyDescent="0.3">
      <c r="A831" s="118"/>
      <c r="B831" s="115"/>
      <c r="F831" s="118"/>
    </row>
    <row r="832" spans="1:6" ht="15.75" customHeight="1" thickBot="1" x14ac:dyDescent="0.3">
      <c r="A832" s="118"/>
      <c r="B832" s="115"/>
      <c r="F832" s="118"/>
    </row>
    <row r="833" spans="1:6" ht="15.75" customHeight="1" thickBot="1" x14ac:dyDescent="0.3">
      <c r="A833" s="118"/>
      <c r="B833" s="115"/>
      <c r="F833" s="118"/>
    </row>
    <row r="834" spans="1:6" ht="15.75" customHeight="1" thickBot="1" x14ac:dyDescent="0.3">
      <c r="A834" s="118"/>
      <c r="B834" s="115"/>
      <c r="F834" s="118"/>
    </row>
    <row r="835" spans="1:6" ht="15.75" customHeight="1" thickBot="1" x14ac:dyDescent="0.3">
      <c r="A835" s="118"/>
      <c r="B835" s="115"/>
      <c r="F835" s="118"/>
    </row>
    <row r="836" spans="1:6" ht="15.75" customHeight="1" thickBot="1" x14ac:dyDescent="0.3">
      <c r="A836" s="118"/>
      <c r="B836" s="115"/>
      <c r="F836" s="118"/>
    </row>
    <row r="837" spans="1:6" ht="15.75" customHeight="1" thickBot="1" x14ac:dyDescent="0.3">
      <c r="A837" s="118"/>
      <c r="B837" s="115"/>
      <c r="F837" s="118"/>
    </row>
    <row r="838" spans="1:6" ht="15.75" customHeight="1" thickBot="1" x14ac:dyDescent="0.3">
      <c r="A838" s="118"/>
      <c r="B838" s="115"/>
      <c r="F838" s="118"/>
    </row>
    <row r="839" spans="1:6" ht="15.75" customHeight="1" thickBot="1" x14ac:dyDescent="0.3">
      <c r="A839" s="118"/>
      <c r="B839" s="115"/>
      <c r="F839" s="118"/>
    </row>
    <row r="840" spans="1:6" ht="15.75" customHeight="1" thickBot="1" x14ac:dyDescent="0.3">
      <c r="A840" s="118"/>
      <c r="B840" s="115"/>
      <c r="F840" s="118"/>
    </row>
    <row r="841" spans="1:6" ht="15.75" customHeight="1" thickBot="1" x14ac:dyDescent="0.3">
      <c r="A841" s="118"/>
      <c r="B841" s="115"/>
      <c r="F841" s="118"/>
    </row>
    <row r="842" spans="1:6" ht="15.75" customHeight="1" thickBot="1" x14ac:dyDescent="0.3">
      <c r="A842" s="118"/>
      <c r="B842" s="115"/>
      <c r="F842" s="118"/>
    </row>
    <row r="843" spans="1:6" ht="15.75" customHeight="1" thickBot="1" x14ac:dyDescent="0.3">
      <c r="A843" s="118"/>
      <c r="B843" s="115"/>
      <c r="F843" s="118"/>
    </row>
    <row r="844" spans="1:6" ht="15.75" customHeight="1" thickBot="1" x14ac:dyDescent="0.3">
      <c r="A844" s="118"/>
      <c r="B844" s="115"/>
      <c r="F844" s="118"/>
    </row>
    <row r="845" spans="1:6" ht="15.75" customHeight="1" thickBot="1" x14ac:dyDescent="0.3">
      <c r="A845" s="118"/>
      <c r="B845" s="115"/>
      <c r="F845" s="118"/>
    </row>
    <row r="846" spans="1:6" ht="15.75" customHeight="1" thickBot="1" x14ac:dyDescent="0.3">
      <c r="A846" s="118"/>
      <c r="B846" s="115"/>
      <c r="F846" s="118"/>
    </row>
    <row r="847" spans="1:6" ht="15.75" customHeight="1" thickBot="1" x14ac:dyDescent="0.3">
      <c r="A847" s="118"/>
      <c r="B847" s="115"/>
      <c r="F847" s="118"/>
    </row>
    <row r="848" spans="1:6" ht="15.75" customHeight="1" thickBot="1" x14ac:dyDescent="0.3">
      <c r="A848" s="124"/>
      <c r="B848" s="125"/>
      <c r="F848" s="124"/>
    </row>
    <row r="849" spans="1:6" ht="15.75" customHeight="1" thickBot="1" x14ac:dyDescent="0.3">
      <c r="A849" s="124"/>
      <c r="B849" s="125"/>
      <c r="F849" s="124"/>
    </row>
    <row r="850" spans="1:6" ht="15.75" customHeight="1" thickBot="1" x14ac:dyDescent="0.3">
      <c r="A850" s="124"/>
      <c r="B850" s="125"/>
      <c r="F850" s="124"/>
    </row>
    <row r="851" spans="1:6" ht="15.75" customHeight="1" thickBot="1" x14ac:dyDescent="0.3">
      <c r="A851" s="124"/>
      <c r="B851" s="125"/>
      <c r="F851" s="124"/>
    </row>
    <row r="852" spans="1:6" ht="15.75" customHeight="1" thickBot="1" x14ac:dyDescent="0.3">
      <c r="A852" s="124"/>
      <c r="B852" s="125"/>
      <c r="F852" s="124"/>
    </row>
    <row r="853" spans="1:6" ht="15.75" customHeight="1" thickBot="1" x14ac:dyDescent="0.3">
      <c r="A853" s="124"/>
      <c r="B853" s="125"/>
      <c r="F853" s="124"/>
    </row>
    <row r="854" spans="1:6" ht="15.75" customHeight="1" thickBot="1" x14ac:dyDescent="0.3">
      <c r="A854" s="124"/>
      <c r="B854" s="125"/>
      <c r="F854" s="124"/>
    </row>
    <row r="855" spans="1:6" ht="15.75" customHeight="1" thickBot="1" x14ac:dyDescent="0.3">
      <c r="A855" s="124"/>
      <c r="B855" s="125"/>
      <c r="F855" s="124"/>
    </row>
    <row r="856" spans="1:6" ht="15.75" customHeight="1" thickBot="1" x14ac:dyDescent="0.3">
      <c r="A856" s="124"/>
      <c r="B856" s="125"/>
      <c r="F856" s="124"/>
    </row>
    <row r="857" spans="1:6" ht="15.75" customHeight="1" thickBot="1" x14ac:dyDescent="0.3">
      <c r="A857" s="124"/>
      <c r="B857" s="125"/>
      <c r="F857" s="124"/>
    </row>
    <row r="858" spans="1:6" ht="15.75" customHeight="1" thickBot="1" x14ac:dyDescent="0.3">
      <c r="A858" s="124"/>
      <c r="B858" s="125"/>
      <c r="F858" s="124"/>
    </row>
    <row r="859" spans="1:6" ht="15.75" customHeight="1" thickBot="1" x14ac:dyDescent="0.3">
      <c r="A859" s="124"/>
      <c r="B859" s="125"/>
      <c r="F859" s="124"/>
    </row>
    <row r="860" spans="1:6" ht="15.75" customHeight="1" thickBot="1" x14ac:dyDescent="0.3">
      <c r="A860" s="124"/>
      <c r="B860" s="125"/>
      <c r="F860" s="124"/>
    </row>
    <row r="861" spans="1:6" ht="15.75" customHeight="1" thickBot="1" x14ac:dyDescent="0.3">
      <c r="A861" s="124"/>
      <c r="B861" s="125"/>
      <c r="F861" s="124"/>
    </row>
    <row r="862" spans="1:6" ht="15.75" customHeight="1" thickBot="1" x14ac:dyDescent="0.3">
      <c r="A862" s="124"/>
      <c r="B862" s="125"/>
      <c r="F862" s="124"/>
    </row>
    <row r="863" spans="1:6" ht="15.75" customHeight="1" thickBot="1" x14ac:dyDescent="0.3">
      <c r="A863" s="124"/>
      <c r="B863" s="125"/>
      <c r="F863" s="124"/>
    </row>
    <row r="864" spans="1:6" ht="15.75" customHeight="1" thickBot="1" x14ac:dyDescent="0.3">
      <c r="A864" s="124"/>
      <c r="B864" s="125"/>
      <c r="F864" s="124"/>
    </row>
    <row r="865" spans="1:6" ht="15.75" customHeight="1" thickBot="1" x14ac:dyDescent="0.3">
      <c r="A865" s="124"/>
      <c r="B865" s="125"/>
      <c r="F865" s="124"/>
    </row>
    <row r="866" spans="1:6" ht="15.75" customHeight="1" thickBot="1" x14ac:dyDescent="0.3">
      <c r="A866" s="124"/>
      <c r="B866" s="125"/>
      <c r="F866" s="124"/>
    </row>
    <row r="867" spans="1:6" ht="15.75" customHeight="1" thickBot="1" x14ac:dyDescent="0.3">
      <c r="A867" s="124"/>
      <c r="B867" s="125"/>
      <c r="F867" s="124"/>
    </row>
    <row r="868" spans="1:6" ht="15.75" customHeight="1" thickBot="1" x14ac:dyDescent="0.3">
      <c r="A868" s="124"/>
      <c r="B868" s="125"/>
      <c r="F868" s="124"/>
    </row>
    <row r="869" spans="1:6" ht="15.75" customHeight="1" thickBot="1" x14ac:dyDescent="0.3">
      <c r="A869" s="124"/>
      <c r="B869" s="125"/>
      <c r="F869" s="124"/>
    </row>
    <row r="870" spans="1:6" ht="15.75" customHeight="1" thickBot="1" x14ac:dyDescent="0.3">
      <c r="A870" s="124"/>
      <c r="B870" s="125"/>
      <c r="F870" s="124"/>
    </row>
    <row r="871" spans="1:6" ht="15.75" customHeight="1" thickBot="1" x14ac:dyDescent="0.3">
      <c r="A871" s="124"/>
      <c r="B871" s="125"/>
      <c r="F871" s="124"/>
    </row>
    <row r="872" spans="1:6" ht="15.75" customHeight="1" thickBot="1" x14ac:dyDescent="0.3">
      <c r="A872" s="124"/>
      <c r="B872" s="125"/>
      <c r="F872" s="124"/>
    </row>
    <row r="873" spans="1:6" ht="15.75" customHeight="1" thickBot="1" x14ac:dyDescent="0.3">
      <c r="A873" s="124"/>
      <c r="B873" s="125"/>
      <c r="F873" s="124"/>
    </row>
    <row r="874" spans="1:6" ht="15.75" customHeight="1" thickBot="1" x14ac:dyDescent="0.3">
      <c r="A874" s="124"/>
      <c r="B874" s="125"/>
      <c r="F874" s="124"/>
    </row>
    <row r="875" spans="1:6" ht="15.75" customHeight="1" thickBot="1" x14ac:dyDescent="0.3">
      <c r="A875" s="124"/>
      <c r="B875" s="125"/>
      <c r="F875" s="124"/>
    </row>
    <row r="876" spans="1:6" ht="15.75" customHeight="1" thickBot="1" x14ac:dyDescent="0.3">
      <c r="A876" s="124"/>
      <c r="B876" s="125"/>
      <c r="F876" s="124"/>
    </row>
    <row r="877" spans="1:6" ht="15.75" customHeight="1" thickBot="1" x14ac:dyDescent="0.3">
      <c r="A877" s="124"/>
      <c r="B877" s="125"/>
      <c r="F877" s="124"/>
    </row>
    <row r="878" spans="1:6" ht="15.75" customHeight="1" thickBot="1" x14ac:dyDescent="0.3">
      <c r="A878" s="124"/>
      <c r="B878" s="125"/>
      <c r="F878" s="124"/>
    </row>
    <row r="879" spans="1:6" ht="15.75" customHeight="1" thickBot="1" x14ac:dyDescent="0.3">
      <c r="A879" s="124"/>
      <c r="B879" s="125"/>
      <c r="F879" s="124"/>
    </row>
    <row r="880" spans="1:6" ht="15.75" customHeight="1" thickBot="1" x14ac:dyDescent="0.3">
      <c r="A880" s="124"/>
      <c r="B880" s="125"/>
      <c r="F880" s="124"/>
    </row>
    <row r="881" spans="1:6" ht="15.75" customHeight="1" thickBot="1" x14ac:dyDescent="0.3">
      <c r="A881" s="124"/>
      <c r="B881" s="125"/>
      <c r="F881" s="124"/>
    </row>
    <row r="882" spans="1:6" ht="15.75" customHeight="1" thickBot="1" x14ac:dyDescent="0.3">
      <c r="A882" s="124"/>
      <c r="B882" s="125"/>
      <c r="F882" s="124"/>
    </row>
    <row r="883" spans="1:6" ht="15.75" customHeight="1" thickBot="1" x14ac:dyDescent="0.3">
      <c r="A883" s="124"/>
      <c r="B883" s="125"/>
      <c r="F883" s="124"/>
    </row>
    <row r="884" spans="1:6" ht="15.75" customHeight="1" thickBot="1" x14ac:dyDescent="0.3">
      <c r="A884" s="124"/>
      <c r="B884" s="125"/>
      <c r="F884" s="124"/>
    </row>
    <row r="885" spans="1:6" ht="15.75" customHeight="1" thickBot="1" x14ac:dyDescent="0.3">
      <c r="A885" s="124"/>
      <c r="B885" s="125"/>
      <c r="F885" s="124"/>
    </row>
    <row r="886" spans="1:6" ht="15.75" customHeight="1" thickBot="1" x14ac:dyDescent="0.3">
      <c r="A886" s="124"/>
      <c r="B886" s="125"/>
      <c r="F886" s="124"/>
    </row>
    <row r="887" spans="1:6" ht="15.75" customHeight="1" thickBot="1" x14ac:dyDescent="0.3">
      <c r="A887" s="124"/>
      <c r="B887" s="125"/>
      <c r="F887" s="124"/>
    </row>
    <row r="888" spans="1:6" ht="15.75" customHeight="1" thickBot="1" x14ac:dyDescent="0.3">
      <c r="A888" s="124"/>
      <c r="B888" s="125"/>
      <c r="F888" s="124"/>
    </row>
    <row r="889" spans="1:6" ht="15.75" customHeight="1" thickBot="1" x14ac:dyDescent="0.3">
      <c r="A889" s="124"/>
      <c r="B889" s="125"/>
      <c r="F889" s="124"/>
    </row>
    <row r="890" spans="1:6" ht="15.75" customHeight="1" thickBot="1" x14ac:dyDescent="0.3">
      <c r="A890" s="124"/>
      <c r="B890" s="125"/>
      <c r="F890" s="124"/>
    </row>
    <row r="891" spans="1:6" ht="15.75" customHeight="1" thickBot="1" x14ac:dyDescent="0.3">
      <c r="A891" s="124"/>
      <c r="B891" s="125"/>
      <c r="F891" s="124"/>
    </row>
    <row r="892" spans="1:6" ht="15.75" customHeight="1" thickBot="1" x14ac:dyDescent="0.3">
      <c r="A892" s="124"/>
      <c r="B892" s="125"/>
      <c r="F892" s="124"/>
    </row>
    <row r="893" spans="1:6" ht="15.75" customHeight="1" thickBot="1" x14ac:dyDescent="0.3">
      <c r="A893" s="124"/>
      <c r="B893" s="125"/>
      <c r="F893" s="124"/>
    </row>
    <row r="894" spans="1:6" ht="15.75" customHeight="1" thickBot="1" x14ac:dyDescent="0.3">
      <c r="A894" s="124"/>
      <c r="B894" s="125"/>
      <c r="F894" s="124"/>
    </row>
    <row r="895" spans="1:6" ht="15.75" customHeight="1" thickBot="1" x14ac:dyDescent="0.3">
      <c r="A895" s="124"/>
      <c r="B895" s="125"/>
      <c r="F895" s="124"/>
    </row>
    <row r="896" spans="1:6" ht="15.75" customHeight="1" thickBot="1" x14ac:dyDescent="0.3">
      <c r="A896" s="124"/>
      <c r="B896" s="125"/>
      <c r="F896" s="124"/>
    </row>
    <row r="897" spans="1:6" ht="15.75" customHeight="1" thickBot="1" x14ac:dyDescent="0.3">
      <c r="A897" s="124"/>
      <c r="B897" s="125"/>
      <c r="F897" s="124"/>
    </row>
    <row r="898" spans="1:6" ht="15.75" customHeight="1" thickBot="1" x14ac:dyDescent="0.3">
      <c r="A898" s="124"/>
      <c r="B898" s="125"/>
      <c r="F898" s="124"/>
    </row>
    <row r="899" spans="1:6" ht="15.75" customHeight="1" thickBot="1" x14ac:dyDescent="0.3">
      <c r="A899" s="124"/>
      <c r="B899" s="125"/>
      <c r="F899" s="124"/>
    </row>
    <row r="900" spans="1:6" ht="15.75" customHeight="1" thickBot="1" x14ac:dyDescent="0.3">
      <c r="A900" s="124"/>
      <c r="B900" s="125"/>
      <c r="F900" s="124"/>
    </row>
    <row r="901" spans="1:6" ht="15.75" customHeight="1" thickBot="1" x14ac:dyDescent="0.3">
      <c r="A901" s="124"/>
      <c r="B901" s="125"/>
      <c r="F901" s="124"/>
    </row>
    <row r="902" spans="1:6" ht="15.75" customHeight="1" thickBot="1" x14ac:dyDescent="0.3">
      <c r="A902" s="124"/>
      <c r="B902" s="125"/>
      <c r="F902" s="124"/>
    </row>
    <row r="903" spans="1:6" ht="15.75" customHeight="1" thickBot="1" x14ac:dyDescent="0.3">
      <c r="A903" s="124"/>
      <c r="B903" s="125"/>
      <c r="F903" s="124"/>
    </row>
    <row r="904" spans="1:6" ht="15.75" customHeight="1" thickBot="1" x14ac:dyDescent="0.3">
      <c r="A904" s="124"/>
      <c r="B904" s="125"/>
      <c r="F904" s="124"/>
    </row>
    <row r="905" spans="1:6" ht="15.75" customHeight="1" thickBot="1" x14ac:dyDescent="0.3">
      <c r="A905" s="124"/>
      <c r="B905" s="125"/>
      <c r="F905" s="124"/>
    </row>
    <row r="906" spans="1:6" ht="15.75" customHeight="1" thickBot="1" x14ac:dyDescent="0.3">
      <c r="A906" s="124"/>
      <c r="B906" s="125"/>
      <c r="F906" s="124"/>
    </row>
    <row r="907" spans="1:6" ht="15.75" customHeight="1" thickBot="1" x14ac:dyDescent="0.3">
      <c r="A907" s="124"/>
      <c r="B907" s="125"/>
      <c r="F907" s="124"/>
    </row>
    <row r="908" spans="1:6" ht="15.75" customHeight="1" thickBot="1" x14ac:dyDescent="0.3">
      <c r="A908" s="124"/>
      <c r="B908" s="125"/>
      <c r="F908" s="124"/>
    </row>
    <row r="909" spans="1:6" ht="15.75" customHeight="1" thickBot="1" x14ac:dyDescent="0.3">
      <c r="A909" s="124"/>
      <c r="B909" s="125"/>
      <c r="F909" s="124"/>
    </row>
    <row r="910" spans="1:6" ht="15.75" customHeight="1" thickBot="1" x14ac:dyDescent="0.3">
      <c r="A910" s="124"/>
      <c r="B910" s="125"/>
      <c r="F910" s="124"/>
    </row>
    <row r="911" spans="1:6" ht="15.75" customHeight="1" thickBot="1" x14ac:dyDescent="0.3">
      <c r="A911" s="124"/>
      <c r="B911" s="125"/>
      <c r="F911" s="124"/>
    </row>
    <row r="912" spans="1:6" ht="15.75" customHeight="1" thickBot="1" x14ac:dyDescent="0.3">
      <c r="A912" s="124"/>
      <c r="B912" s="125"/>
      <c r="F912" s="124"/>
    </row>
    <row r="913" spans="1:6" ht="15.75" customHeight="1" thickBot="1" x14ac:dyDescent="0.3">
      <c r="A913" s="124"/>
      <c r="B913" s="125"/>
      <c r="F913" s="124"/>
    </row>
    <row r="914" spans="1:6" ht="15.75" customHeight="1" thickBot="1" x14ac:dyDescent="0.3">
      <c r="A914" s="124"/>
      <c r="B914" s="125"/>
      <c r="F914" s="124"/>
    </row>
    <row r="915" spans="1:6" ht="15.75" customHeight="1" thickBot="1" x14ac:dyDescent="0.3">
      <c r="A915" s="124"/>
      <c r="B915" s="125"/>
      <c r="F915" s="124"/>
    </row>
    <row r="916" spans="1:6" ht="15.75" customHeight="1" thickBot="1" x14ac:dyDescent="0.3">
      <c r="A916" s="124"/>
      <c r="B916" s="125"/>
      <c r="F916" s="124"/>
    </row>
    <row r="917" spans="1:6" ht="15.75" customHeight="1" thickBot="1" x14ac:dyDescent="0.3">
      <c r="A917" s="124"/>
      <c r="B917" s="125"/>
      <c r="F917" s="124"/>
    </row>
    <row r="918" spans="1:6" ht="15.75" customHeight="1" thickBot="1" x14ac:dyDescent="0.3">
      <c r="A918" s="124"/>
      <c r="B918" s="125"/>
      <c r="F918" s="124"/>
    </row>
    <row r="919" spans="1:6" ht="15.75" customHeight="1" thickBot="1" x14ac:dyDescent="0.3">
      <c r="A919" s="124"/>
      <c r="B919" s="125"/>
      <c r="F919" s="124"/>
    </row>
    <row r="920" spans="1:6" ht="15.75" customHeight="1" thickBot="1" x14ac:dyDescent="0.3">
      <c r="A920" s="124"/>
      <c r="B920" s="125"/>
      <c r="F920" s="124"/>
    </row>
    <row r="921" spans="1:6" ht="15.75" customHeight="1" thickBot="1" x14ac:dyDescent="0.3">
      <c r="A921" s="124"/>
      <c r="B921" s="125"/>
      <c r="F921" s="124"/>
    </row>
    <row r="922" spans="1:6" ht="15.75" customHeight="1" thickBot="1" x14ac:dyDescent="0.3">
      <c r="A922" s="124"/>
      <c r="B922" s="125"/>
      <c r="F922" s="124"/>
    </row>
    <row r="923" spans="1:6" ht="15.75" customHeight="1" thickBot="1" x14ac:dyDescent="0.3">
      <c r="A923" s="124"/>
      <c r="B923" s="125"/>
      <c r="F923" s="124"/>
    </row>
    <row r="924" spans="1:6" ht="15.75" customHeight="1" thickBot="1" x14ac:dyDescent="0.3">
      <c r="A924" s="124"/>
      <c r="B924" s="125"/>
      <c r="F924" s="124"/>
    </row>
    <row r="925" spans="1:6" ht="15.75" customHeight="1" thickBot="1" x14ac:dyDescent="0.3">
      <c r="A925" s="124"/>
      <c r="B925" s="125"/>
      <c r="F925" s="124"/>
    </row>
    <row r="926" spans="1:6" ht="15.75" customHeight="1" thickBot="1" x14ac:dyDescent="0.3">
      <c r="A926" s="124"/>
      <c r="B926" s="125"/>
      <c r="F926" s="124"/>
    </row>
    <row r="927" spans="1:6" ht="15.75" customHeight="1" thickBot="1" x14ac:dyDescent="0.3">
      <c r="A927" s="124"/>
      <c r="B927" s="125"/>
      <c r="F927" s="124"/>
    </row>
    <row r="928" spans="1:6" ht="15.75" customHeight="1" thickBot="1" x14ac:dyDescent="0.3">
      <c r="A928" s="124"/>
      <c r="B928" s="125"/>
      <c r="F928" s="124"/>
    </row>
    <row r="929" spans="1:6" ht="15.75" customHeight="1" thickBot="1" x14ac:dyDescent="0.3">
      <c r="A929" s="124"/>
      <c r="B929" s="125"/>
      <c r="F929" s="124"/>
    </row>
    <row r="930" spans="1:6" ht="15.75" customHeight="1" thickBot="1" x14ac:dyDescent="0.3">
      <c r="A930" s="124"/>
      <c r="B930" s="125"/>
      <c r="F930" s="124"/>
    </row>
    <row r="931" spans="1:6" ht="15.75" customHeight="1" thickBot="1" x14ac:dyDescent="0.3">
      <c r="A931" s="124"/>
      <c r="B931" s="125"/>
      <c r="F931" s="124"/>
    </row>
    <row r="932" spans="1:6" ht="15.75" customHeight="1" thickBot="1" x14ac:dyDescent="0.3">
      <c r="A932" s="124"/>
      <c r="B932" s="125"/>
      <c r="F932" s="124"/>
    </row>
    <row r="933" spans="1:6" ht="15.75" customHeight="1" thickBot="1" x14ac:dyDescent="0.3">
      <c r="A933" s="124"/>
      <c r="B933" s="125"/>
      <c r="F933" s="124"/>
    </row>
    <row r="934" spans="1:6" ht="15.75" customHeight="1" thickBot="1" x14ac:dyDescent="0.3">
      <c r="A934" s="124"/>
      <c r="B934" s="125"/>
      <c r="F934" s="124"/>
    </row>
    <row r="935" spans="1:6" ht="15.75" customHeight="1" thickBot="1" x14ac:dyDescent="0.3">
      <c r="A935" s="124"/>
      <c r="B935" s="125"/>
      <c r="F935" s="124"/>
    </row>
    <row r="936" spans="1:6" ht="15.75" customHeight="1" thickBot="1" x14ac:dyDescent="0.3">
      <c r="A936" s="124"/>
      <c r="B936" s="125"/>
      <c r="F936" s="124"/>
    </row>
    <row r="937" spans="1:6" ht="15.75" customHeight="1" thickBot="1" x14ac:dyDescent="0.3">
      <c r="A937" s="124"/>
      <c r="B937" s="125"/>
      <c r="F937" s="124"/>
    </row>
    <row r="938" spans="1:6" ht="15.75" customHeight="1" thickBot="1" x14ac:dyDescent="0.3">
      <c r="A938" s="124"/>
      <c r="B938" s="125"/>
      <c r="F938" s="124"/>
    </row>
    <row r="939" spans="1:6" ht="15.75" customHeight="1" thickBot="1" x14ac:dyDescent="0.3">
      <c r="A939" s="124"/>
      <c r="B939" s="125"/>
      <c r="F939" s="124"/>
    </row>
    <row r="940" spans="1:6" ht="15.75" customHeight="1" thickBot="1" x14ac:dyDescent="0.3">
      <c r="A940" s="124"/>
      <c r="B940" s="125"/>
      <c r="F940" s="124"/>
    </row>
    <row r="941" spans="1:6" ht="15.75" customHeight="1" thickBot="1" x14ac:dyDescent="0.3">
      <c r="A941" s="124"/>
      <c r="B941" s="125"/>
      <c r="F941" s="124"/>
    </row>
    <row r="942" spans="1:6" ht="15.75" customHeight="1" thickBot="1" x14ac:dyDescent="0.3">
      <c r="A942" s="124"/>
      <c r="B942" s="125"/>
      <c r="F942" s="124"/>
    </row>
    <row r="943" spans="1:6" ht="15.75" customHeight="1" thickBot="1" x14ac:dyDescent="0.3">
      <c r="A943" s="124"/>
      <c r="B943" s="125"/>
      <c r="F943" s="124"/>
    </row>
    <row r="944" spans="1:6" ht="15.75" customHeight="1" thickBot="1" x14ac:dyDescent="0.3">
      <c r="A944" s="124"/>
      <c r="B944" s="125"/>
      <c r="F944" s="124"/>
    </row>
    <row r="945" spans="1:6" ht="15.75" customHeight="1" thickBot="1" x14ac:dyDescent="0.3">
      <c r="A945" s="124"/>
      <c r="B945" s="125"/>
      <c r="F945" s="124"/>
    </row>
    <row r="946" spans="1:6" ht="15.75" customHeight="1" thickBot="1" x14ac:dyDescent="0.3">
      <c r="A946" s="124"/>
      <c r="B946" s="125"/>
      <c r="F946" s="124"/>
    </row>
    <row r="947" spans="1:6" ht="15.75" customHeight="1" thickBot="1" x14ac:dyDescent="0.3">
      <c r="A947" s="124"/>
      <c r="B947" s="125"/>
      <c r="F947" s="124"/>
    </row>
    <row r="948" spans="1:6" ht="15.75" customHeight="1" thickBot="1" x14ac:dyDescent="0.3">
      <c r="A948" s="124"/>
      <c r="B948" s="125"/>
      <c r="F948" s="124"/>
    </row>
    <row r="949" spans="1:6" ht="15.75" customHeight="1" thickBot="1" x14ac:dyDescent="0.3">
      <c r="A949" s="124"/>
      <c r="B949" s="125"/>
      <c r="F949" s="124"/>
    </row>
    <row r="950" spans="1:6" ht="15.75" customHeight="1" thickBot="1" x14ac:dyDescent="0.3">
      <c r="A950" s="124"/>
      <c r="B950" s="125"/>
      <c r="F950" s="124"/>
    </row>
    <row r="951" spans="1:6" ht="15.75" customHeight="1" thickBot="1" x14ac:dyDescent="0.3">
      <c r="A951" s="124"/>
      <c r="B951" s="125"/>
      <c r="F951" s="124"/>
    </row>
    <row r="952" spans="1:6" ht="15.75" customHeight="1" thickBot="1" x14ac:dyDescent="0.3">
      <c r="A952" s="124"/>
      <c r="B952" s="125"/>
      <c r="F952" s="124"/>
    </row>
    <row r="953" spans="1:6" ht="15.75" customHeight="1" thickBot="1" x14ac:dyDescent="0.3">
      <c r="A953" s="124"/>
      <c r="B953" s="125"/>
      <c r="F953" s="124"/>
    </row>
    <row r="954" spans="1:6" ht="15.75" customHeight="1" thickBot="1" x14ac:dyDescent="0.3">
      <c r="A954" s="124"/>
      <c r="B954" s="125"/>
      <c r="F954" s="124"/>
    </row>
    <row r="955" spans="1:6" ht="15.75" customHeight="1" thickBot="1" x14ac:dyDescent="0.3">
      <c r="A955" s="124"/>
      <c r="B955" s="125"/>
      <c r="F955" s="124"/>
    </row>
    <row r="956" spans="1:6" ht="15.75" customHeight="1" thickBot="1" x14ac:dyDescent="0.3">
      <c r="A956" s="124"/>
      <c r="B956" s="125"/>
      <c r="F956" s="124"/>
    </row>
    <row r="957" spans="1:6" ht="15.75" customHeight="1" thickBot="1" x14ac:dyDescent="0.3">
      <c r="A957" s="124"/>
      <c r="B957" s="125"/>
      <c r="F957" s="124"/>
    </row>
    <row r="958" spans="1:6" ht="15.75" customHeight="1" thickBot="1" x14ac:dyDescent="0.3">
      <c r="A958" s="124"/>
      <c r="B958" s="125"/>
      <c r="F958" s="124"/>
    </row>
    <row r="959" spans="1:6" ht="15.75" customHeight="1" thickBot="1" x14ac:dyDescent="0.3">
      <c r="A959" s="124"/>
      <c r="B959" s="125"/>
      <c r="F959" s="124"/>
    </row>
    <row r="960" spans="1:6" ht="15.75" customHeight="1" thickBot="1" x14ac:dyDescent="0.3">
      <c r="A960" s="124"/>
      <c r="B960" s="125"/>
      <c r="F960" s="124"/>
    </row>
    <row r="961" spans="1:6" ht="15.75" customHeight="1" thickBot="1" x14ac:dyDescent="0.3">
      <c r="A961" s="124"/>
      <c r="B961" s="125"/>
      <c r="F961" s="124"/>
    </row>
    <row r="962" spans="1:6" ht="15.75" customHeight="1" thickBot="1" x14ac:dyDescent="0.3">
      <c r="A962" s="124"/>
      <c r="B962" s="125"/>
      <c r="F962" s="124"/>
    </row>
    <row r="963" spans="1:6" ht="15.75" customHeight="1" thickBot="1" x14ac:dyDescent="0.3">
      <c r="A963" s="124"/>
      <c r="B963" s="125"/>
      <c r="F963" s="124"/>
    </row>
    <row r="964" spans="1:6" ht="15.75" customHeight="1" thickBot="1" x14ac:dyDescent="0.3">
      <c r="A964" s="124"/>
      <c r="B964" s="125"/>
      <c r="F964" s="124"/>
    </row>
    <row r="965" spans="1:6" ht="15.75" customHeight="1" thickBot="1" x14ac:dyDescent="0.3">
      <c r="A965" s="124"/>
      <c r="B965" s="125"/>
      <c r="F965" s="124"/>
    </row>
    <row r="966" spans="1:6" ht="15.75" customHeight="1" thickBot="1" x14ac:dyDescent="0.3">
      <c r="A966" s="124"/>
      <c r="B966" s="125"/>
      <c r="F966" s="124"/>
    </row>
    <row r="967" spans="1:6" ht="15.75" customHeight="1" thickBot="1" x14ac:dyDescent="0.3">
      <c r="A967" s="124"/>
      <c r="B967" s="125"/>
      <c r="F967" s="124"/>
    </row>
    <row r="968" spans="1:6" ht="15.75" customHeight="1" thickBot="1" x14ac:dyDescent="0.3">
      <c r="A968" s="124"/>
      <c r="B968" s="125"/>
      <c r="F968" s="124"/>
    </row>
    <row r="969" spans="1:6" ht="15.75" customHeight="1" thickBot="1" x14ac:dyDescent="0.3">
      <c r="A969" s="124"/>
      <c r="B969" s="125"/>
      <c r="F969" s="124"/>
    </row>
    <row r="970" spans="1:6" ht="15.75" customHeight="1" thickBot="1" x14ac:dyDescent="0.3">
      <c r="A970" s="124"/>
      <c r="B970" s="125"/>
      <c r="F970" s="124"/>
    </row>
    <row r="971" spans="1:6" ht="15.75" customHeight="1" thickBot="1" x14ac:dyDescent="0.3">
      <c r="A971" s="124"/>
      <c r="B971" s="125"/>
      <c r="F971" s="124"/>
    </row>
    <row r="972" spans="1:6" ht="15.75" customHeight="1" thickBot="1" x14ac:dyDescent="0.3">
      <c r="A972" s="124"/>
      <c r="B972" s="125"/>
      <c r="F972" s="124"/>
    </row>
    <row r="973" spans="1:6" ht="15.75" customHeight="1" thickBot="1" x14ac:dyDescent="0.3">
      <c r="A973" s="124"/>
      <c r="B973" s="125"/>
      <c r="F973" s="124"/>
    </row>
    <row r="974" spans="1:6" ht="15.75" customHeight="1" thickBot="1" x14ac:dyDescent="0.3">
      <c r="A974" s="124"/>
      <c r="B974" s="125"/>
      <c r="F974" s="124"/>
    </row>
    <row r="975" spans="1:6" ht="15.75" customHeight="1" thickBot="1" x14ac:dyDescent="0.3">
      <c r="A975" s="124"/>
      <c r="B975" s="125"/>
      <c r="F975" s="124"/>
    </row>
    <row r="976" spans="1:6" ht="15.75" customHeight="1" thickBot="1" x14ac:dyDescent="0.3">
      <c r="A976" s="124"/>
      <c r="B976" s="125"/>
      <c r="F976" s="124"/>
    </row>
    <row r="977" spans="1:6" ht="15.75" customHeight="1" thickBot="1" x14ac:dyDescent="0.3">
      <c r="A977" s="124"/>
      <c r="B977" s="125"/>
      <c r="F977" s="124"/>
    </row>
    <row r="978" spans="1:6" ht="15.75" customHeight="1" thickBot="1" x14ac:dyDescent="0.3">
      <c r="A978" s="124"/>
      <c r="B978" s="125"/>
      <c r="F978" s="124"/>
    </row>
    <row r="979" spans="1:6" ht="15.75" customHeight="1" thickBot="1" x14ac:dyDescent="0.3">
      <c r="A979" s="124"/>
      <c r="B979" s="125"/>
      <c r="F979" s="124"/>
    </row>
    <row r="980" spans="1:6" ht="15.75" customHeight="1" thickBot="1" x14ac:dyDescent="0.3">
      <c r="A980" s="124"/>
      <c r="B980" s="125"/>
      <c r="F980" s="124"/>
    </row>
    <row r="981" spans="1:6" ht="15.75" customHeight="1" thickBot="1" x14ac:dyDescent="0.3">
      <c r="A981" s="124"/>
      <c r="B981" s="125"/>
      <c r="F981" s="124"/>
    </row>
    <row r="982" spans="1:6" ht="15.75" customHeight="1" thickBot="1" x14ac:dyDescent="0.3">
      <c r="A982" s="124"/>
      <c r="B982" s="125"/>
      <c r="F982" s="124"/>
    </row>
    <row r="983" spans="1:6" ht="15.75" customHeight="1" thickBot="1" x14ac:dyDescent="0.3">
      <c r="A983" s="124"/>
      <c r="B983" s="125"/>
      <c r="F983" s="124"/>
    </row>
    <row r="984" spans="1:6" ht="15.75" customHeight="1" thickBot="1" x14ac:dyDescent="0.3">
      <c r="A984" s="124"/>
      <c r="B984" s="125"/>
      <c r="F984" s="124"/>
    </row>
    <row r="985" spans="1:6" ht="15.75" customHeight="1" thickBot="1" x14ac:dyDescent="0.3">
      <c r="A985" s="124"/>
      <c r="B985" s="125"/>
      <c r="F985" s="124"/>
    </row>
    <row r="986" spans="1:6" ht="15.75" customHeight="1" thickBot="1" x14ac:dyDescent="0.3">
      <c r="A986" s="124"/>
      <c r="B986" s="125"/>
      <c r="F986" s="124"/>
    </row>
    <row r="987" spans="1:6" ht="15.75" customHeight="1" thickBot="1" x14ac:dyDescent="0.3">
      <c r="A987" s="124"/>
      <c r="B987" s="125"/>
      <c r="F987" s="124"/>
    </row>
    <row r="988" spans="1:6" ht="15.75" customHeight="1" thickBot="1" x14ac:dyDescent="0.3">
      <c r="A988" s="124"/>
      <c r="B988" s="125"/>
      <c r="F988" s="124"/>
    </row>
    <row r="989" spans="1:6" ht="15.75" customHeight="1" thickBot="1" x14ac:dyDescent="0.3">
      <c r="A989" s="124"/>
      <c r="B989" s="125"/>
      <c r="F989" s="124"/>
    </row>
    <row r="990" spans="1:6" ht="15.75" customHeight="1" thickBot="1" x14ac:dyDescent="0.3">
      <c r="A990" s="124"/>
      <c r="B990" s="125"/>
      <c r="F990" s="124"/>
    </row>
    <row r="991" spans="1:6" ht="15.75" customHeight="1" thickBot="1" x14ac:dyDescent="0.3">
      <c r="A991" s="124"/>
      <c r="B991" s="125"/>
      <c r="F991" s="124"/>
    </row>
    <row r="992" spans="1:6" ht="15.75" customHeight="1" thickBot="1" x14ac:dyDescent="0.3">
      <c r="A992" s="124"/>
      <c r="B992" s="125"/>
      <c r="F992" s="124"/>
    </row>
    <row r="993" spans="1:6" ht="15.75" customHeight="1" thickBot="1" x14ac:dyDescent="0.3">
      <c r="A993" s="124"/>
      <c r="B993" s="125"/>
      <c r="F993" s="124"/>
    </row>
    <row r="994" spans="1:6" ht="15.75" customHeight="1" thickBot="1" x14ac:dyDescent="0.3">
      <c r="A994" s="124"/>
      <c r="B994" s="125"/>
      <c r="F994" s="124"/>
    </row>
    <row r="995" spans="1:6" ht="15.75" customHeight="1" thickBot="1" x14ac:dyDescent="0.3">
      <c r="A995" s="124"/>
      <c r="B995" s="125"/>
      <c r="F995" s="124"/>
    </row>
    <row r="996" spans="1:6" ht="15.75" customHeight="1" thickBot="1" x14ac:dyDescent="0.3">
      <c r="A996" s="124"/>
      <c r="B996" s="125"/>
      <c r="F996" s="124"/>
    </row>
    <row r="997" spans="1:6" ht="15.75" customHeight="1" thickBot="1" x14ac:dyDescent="0.3">
      <c r="A997" s="124"/>
      <c r="B997" s="125"/>
      <c r="F997" s="124"/>
    </row>
    <row r="998" spans="1:6" ht="15.75" customHeight="1" thickBot="1" x14ac:dyDescent="0.3">
      <c r="A998" s="124"/>
      <c r="B998" s="125"/>
      <c r="F998" s="124"/>
    </row>
    <row r="999" spans="1:6" ht="15.75" customHeight="1" thickBot="1" x14ac:dyDescent="0.3">
      <c r="A999" s="124"/>
      <c r="B999" s="125"/>
      <c r="F999" s="124"/>
    </row>
    <row r="1000" spans="1:6" ht="15.75" customHeight="1" thickBot="1" x14ac:dyDescent="0.3">
      <c r="A1000" s="124"/>
      <c r="B1000" s="125"/>
      <c r="F1000" s="124"/>
    </row>
    <row r="1001" spans="1:6" ht="15.75" customHeight="1" thickBot="1" x14ac:dyDescent="0.3">
      <c r="A1001" s="124"/>
      <c r="B1001" s="125"/>
      <c r="F1001" s="124"/>
    </row>
    <row r="1002" spans="1:6" ht="15.75" customHeight="1" thickBot="1" x14ac:dyDescent="0.3">
      <c r="A1002" s="124"/>
      <c r="B1002" s="125"/>
      <c r="F1002" s="124"/>
    </row>
    <row r="1003" spans="1:6" ht="15.75" customHeight="1" thickBot="1" x14ac:dyDescent="0.3">
      <c r="A1003" s="124"/>
      <c r="B1003" s="125"/>
      <c r="F1003" s="124"/>
    </row>
    <row r="1004" spans="1:6" ht="15.75" customHeight="1" thickBot="1" x14ac:dyDescent="0.3">
      <c r="A1004" s="124"/>
      <c r="B1004" s="125"/>
      <c r="F1004" s="124"/>
    </row>
    <row r="1005" spans="1:6" ht="15.75" customHeight="1" thickBot="1" x14ac:dyDescent="0.3">
      <c r="A1005" s="124"/>
      <c r="B1005" s="125"/>
      <c r="F1005" s="124"/>
    </row>
    <row r="1006" spans="1:6" ht="15.75" customHeight="1" thickBot="1" x14ac:dyDescent="0.3">
      <c r="A1006" s="124"/>
      <c r="B1006" s="125"/>
      <c r="F1006" s="124"/>
    </row>
    <row r="1007" spans="1:6" ht="15.75" customHeight="1" thickBot="1" x14ac:dyDescent="0.3">
      <c r="A1007" s="124"/>
      <c r="B1007" s="125"/>
      <c r="F1007" s="124"/>
    </row>
    <row r="1008" spans="1:6" ht="15.75" customHeight="1" thickBot="1" x14ac:dyDescent="0.3">
      <c r="A1008" s="124"/>
      <c r="B1008" s="125"/>
      <c r="F1008" s="124"/>
    </row>
    <row r="1009" spans="1:6" ht="15.75" customHeight="1" thickBot="1" x14ac:dyDescent="0.3">
      <c r="A1009" s="124"/>
      <c r="B1009" s="125"/>
      <c r="F1009" s="124"/>
    </row>
    <row r="1010" spans="1:6" ht="15.75" customHeight="1" thickBot="1" x14ac:dyDescent="0.3">
      <c r="A1010" s="124"/>
      <c r="B1010" s="125"/>
      <c r="F1010" s="124"/>
    </row>
    <row r="1011" spans="1:6" ht="15.75" customHeight="1" thickBot="1" x14ac:dyDescent="0.3">
      <c r="A1011" s="124"/>
      <c r="B1011" s="125"/>
      <c r="F1011" s="124"/>
    </row>
    <row r="1012" spans="1:6" ht="15.75" customHeight="1" thickBot="1" x14ac:dyDescent="0.3">
      <c r="A1012" s="124"/>
      <c r="B1012" s="125"/>
      <c r="F1012" s="124"/>
    </row>
    <row r="1013" spans="1:6" ht="15.75" customHeight="1" thickBot="1" x14ac:dyDescent="0.3">
      <c r="A1013" s="124"/>
      <c r="B1013" s="125"/>
      <c r="F1013" s="124"/>
    </row>
    <row r="1014" spans="1:6" ht="15.75" customHeight="1" thickBot="1" x14ac:dyDescent="0.3">
      <c r="A1014" s="124"/>
      <c r="B1014" s="125"/>
      <c r="F1014" s="124"/>
    </row>
    <row r="1015" spans="1:6" ht="15.75" customHeight="1" thickBot="1" x14ac:dyDescent="0.3">
      <c r="A1015" s="124"/>
      <c r="B1015" s="125"/>
      <c r="F1015" s="124"/>
    </row>
    <row r="1016" spans="1:6" ht="15.75" customHeight="1" thickBot="1" x14ac:dyDescent="0.3">
      <c r="A1016" s="124"/>
      <c r="B1016" s="125"/>
      <c r="F1016" s="124"/>
    </row>
    <row r="1017" spans="1:6" ht="15.75" customHeight="1" thickBot="1" x14ac:dyDescent="0.3">
      <c r="A1017" s="124"/>
      <c r="B1017" s="125"/>
      <c r="F1017" s="124"/>
    </row>
    <row r="1018" spans="1:6" ht="15.75" customHeight="1" thickBot="1" x14ac:dyDescent="0.3">
      <c r="A1018" s="124"/>
      <c r="B1018" s="125"/>
      <c r="F1018" s="124"/>
    </row>
    <row r="1019" spans="1:6" ht="15.75" customHeight="1" thickBot="1" x14ac:dyDescent="0.3">
      <c r="A1019" s="124"/>
      <c r="B1019" s="125"/>
      <c r="F1019" s="124"/>
    </row>
    <row r="1020" spans="1:6" ht="15.75" customHeight="1" thickBot="1" x14ac:dyDescent="0.3">
      <c r="A1020" s="124"/>
      <c r="B1020" s="125"/>
      <c r="F1020" s="124"/>
    </row>
    <row r="1021" spans="1:6" ht="15.75" customHeight="1" thickBot="1" x14ac:dyDescent="0.3">
      <c r="A1021" s="124"/>
      <c r="B1021" s="125"/>
      <c r="F1021" s="124"/>
    </row>
    <row r="1022" spans="1:6" ht="15.75" customHeight="1" thickBot="1" x14ac:dyDescent="0.3">
      <c r="A1022" s="124"/>
      <c r="B1022" s="125"/>
      <c r="F1022" s="124"/>
    </row>
    <row r="1023" spans="1:6" ht="15.75" customHeight="1" thickBot="1" x14ac:dyDescent="0.3">
      <c r="A1023" s="124"/>
      <c r="B1023" s="125"/>
      <c r="F1023" s="124"/>
    </row>
    <row r="1024" spans="1:6" ht="15.75" customHeight="1" thickBot="1" x14ac:dyDescent="0.3">
      <c r="A1024" s="124"/>
      <c r="B1024" s="125"/>
      <c r="F1024" s="124"/>
    </row>
    <row r="1025" spans="1:6" ht="15.75" customHeight="1" thickBot="1" x14ac:dyDescent="0.3">
      <c r="A1025" s="124"/>
      <c r="B1025" s="125"/>
      <c r="F1025" s="124"/>
    </row>
    <row r="1026" spans="1:6" ht="15.75" customHeight="1" thickBot="1" x14ac:dyDescent="0.3">
      <c r="A1026" s="124"/>
      <c r="B1026" s="125"/>
      <c r="F1026" s="124"/>
    </row>
    <row r="1027" spans="1:6" ht="15.75" customHeight="1" thickBot="1" x14ac:dyDescent="0.3">
      <c r="A1027" s="124"/>
      <c r="B1027" s="125"/>
      <c r="F1027" s="124"/>
    </row>
    <row r="1028" spans="1:6" ht="15.75" customHeight="1" thickBot="1" x14ac:dyDescent="0.3">
      <c r="A1028" s="124"/>
      <c r="B1028" s="125"/>
      <c r="F1028" s="124"/>
    </row>
    <row r="1029" spans="1:6" ht="15.75" customHeight="1" thickBot="1" x14ac:dyDescent="0.3">
      <c r="A1029" s="124"/>
      <c r="B1029" s="125"/>
      <c r="F1029" s="124"/>
    </row>
    <row r="1030" spans="1:6" ht="15.75" customHeight="1" thickBot="1" x14ac:dyDescent="0.3">
      <c r="A1030" s="124"/>
      <c r="B1030" s="125"/>
      <c r="F1030" s="124"/>
    </row>
    <row r="1031" spans="1:6" ht="15.75" customHeight="1" thickBot="1" x14ac:dyDescent="0.3">
      <c r="A1031" s="124"/>
      <c r="B1031" s="125"/>
      <c r="F1031" s="124"/>
    </row>
    <row r="1032" spans="1:6" ht="15.75" customHeight="1" thickBot="1" x14ac:dyDescent="0.3">
      <c r="A1032" s="124"/>
      <c r="B1032" s="125"/>
      <c r="F1032" s="124"/>
    </row>
    <row r="1033" spans="1:6" ht="15.75" customHeight="1" thickBot="1" x14ac:dyDescent="0.3">
      <c r="A1033" s="124"/>
      <c r="B1033" s="125"/>
      <c r="F1033" s="124"/>
    </row>
    <row r="1034" spans="1:6" ht="15.75" customHeight="1" thickBot="1" x14ac:dyDescent="0.3">
      <c r="A1034" s="124"/>
      <c r="B1034" s="125"/>
      <c r="F1034" s="124"/>
    </row>
    <row r="1035" spans="1:6" ht="15.75" customHeight="1" thickBot="1" x14ac:dyDescent="0.3">
      <c r="A1035" s="124"/>
      <c r="B1035" s="125"/>
      <c r="F1035" s="124"/>
    </row>
    <row r="1036" spans="1:6" ht="15.75" customHeight="1" thickBot="1" x14ac:dyDescent="0.3">
      <c r="A1036" s="124"/>
      <c r="B1036" s="125"/>
      <c r="F1036" s="124"/>
    </row>
    <row r="1037" spans="1:6" ht="15.75" customHeight="1" thickBot="1" x14ac:dyDescent="0.3">
      <c r="A1037" s="124"/>
      <c r="B1037" s="125"/>
      <c r="F1037" s="124"/>
    </row>
    <row r="1038" spans="1:6" ht="15.75" customHeight="1" thickBot="1" x14ac:dyDescent="0.3">
      <c r="A1038" s="124"/>
      <c r="B1038" s="125"/>
      <c r="F1038" s="124"/>
    </row>
    <row r="1039" spans="1:6" ht="15.75" customHeight="1" thickBot="1" x14ac:dyDescent="0.3">
      <c r="A1039" s="124"/>
      <c r="B1039" s="125"/>
      <c r="F1039" s="124"/>
    </row>
    <row r="1040" spans="1:6" ht="15.75" customHeight="1" thickBot="1" x14ac:dyDescent="0.3">
      <c r="A1040" s="124"/>
      <c r="B1040" s="125"/>
      <c r="F1040" s="124"/>
    </row>
    <row r="1041" spans="1:6" ht="15.75" customHeight="1" thickBot="1" x14ac:dyDescent="0.3">
      <c r="A1041" s="124"/>
      <c r="B1041" s="125"/>
      <c r="F1041" s="124"/>
    </row>
    <row r="1042" spans="1:6" ht="15.75" customHeight="1" thickBot="1" x14ac:dyDescent="0.3">
      <c r="A1042" s="124"/>
      <c r="B1042" s="125"/>
      <c r="F1042" s="124"/>
    </row>
    <row r="1043" spans="1:6" ht="15.75" customHeight="1" thickBot="1" x14ac:dyDescent="0.3">
      <c r="A1043" s="124"/>
      <c r="B1043" s="125"/>
      <c r="F1043" s="124"/>
    </row>
    <row r="1044" spans="1:6" ht="15.75" customHeight="1" thickBot="1" x14ac:dyDescent="0.3">
      <c r="A1044" s="124"/>
      <c r="B1044" s="125"/>
      <c r="F1044" s="124"/>
    </row>
    <row r="1045" spans="1:6" ht="15.75" customHeight="1" thickBot="1" x14ac:dyDescent="0.3">
      <c r="A1045" s="124"/>
      <c r="B1045" s="125"/>
      <c r="F1045" s="124"/>
    </row>
    <row r="1046" spans="1:6" ht="15.75" customHeight="1" thickBot="1" x14ac:dyDescent="0.3">
      <c r="A1046" s="124"/>
      <c r="B1046" s="125"/>
      <c r="F1046" s="124"/>
    </row>
    <row r="1047" spans="1:6" ht="15.75" customHeight="1" thickBot="1" x14ac:dyDescent="0.3">
      <c r="A1047" s="124"/>
      <c r="B1047" s="125"/>
      <c r="F1047" s="124"/>
    </row>
    <row r="1048" spans="1:6" ht="15.75" customHeight="1" thickBot="1" x14ac:dyDescent="0.3">
      <c r="A1048" s="124"/>
      <c r="B1048" s="125"/>
      <c r="F1048" s="124"/>
    </row>
    <row r="1049" spans="1:6" ht="15.75" customHeight="1" thickBot="1" x14ac:dyDescent="0.3">
      <c r="A1049" s="124"/>
      <c r="B1049" s="125"/>
      <c r="F1049" s="124"/>
    </row>
    <row r="1050" spans="1:6" ht="15.75" customHeight="1" thickBot="1" x14ac:dyDescent="0.3">
      <c r="A1050" s="124"/>
      <c r="B1050" s="125"/>
      <c r="F1050" s="124"/>
    </row>
    <row r="1051" spans="1:6" ht="15.75" customHeight="1" thickBot="1" x14ac:dyDescent="0.3">
      <c r="A1051" s="124"/>
      <c r="B1051" s="125"/>
      <c r="F1051" s="124"/>
    </row>
    <row r="1052" spans="1:6" ht="15.75" customHeight="1" thickBot="1" x14ac:dyDescent="0.3">
      <c r="A1052" s="124"/>
      <c r="B1052" s="125"/>
      <c r="F1052" s="124"/>
    </row>
    <row r="1053" spans="1:6" ht="15.75" customHeight="1" thickBot="1" x14ac:dyDescent="0.3">
      <c r="A1053" s="124"/>
      <c r="B1053" s="125"/>
      <c r="F1053" s="124"/>
    </row>
    <row r="1054" spans="1:6" ht="15.75" customHeight="1" thickBot="1" x14ac:dyDescent="0.3">
      <c r="A1054" s="124"/>
      <c r="B1054" s="125"/>
      <c r="F1054" s="124"/>
    </row>
    <row r="1055" spans="1:6" ht="15.75" customHeight="1" thickBot="1" x14ac:dyDescent="0.3">
      <c r="A1055" s="124"/>
      <c r="B1055" s="125"/>
      <c r="F1055" s="124"/>
    </row>
    <row r="1056" spans="1:6" ht="15.75" customHeight="1" thickBot="1" x14ac:dyDescent="0.3">
      <c r="A1056" s="124"/>
      <c r="B1056" s="125"/>
      <c r="F1056" s="124"/>
    </row>
    <row r="1057" spans="1:6" ht="15.75" customHeight="1" thickBot="1" x14ac:dyDescent="0.3">
      <c r="A1057" s="124"/>
      <c r="B1057" s="125"/>
      <c r="F1057" s="124"/>
    </row>
    <row r="1058" spans="1:6" ht="15.75" customHeight="1" thickBot="1" x14ac:dyDescent="0.3">
      <c r="A1058" s="124"/>
      <c r="B1058" s="125"/>
      <c r="F1058" s="124"/>
    </row>
    <row r="1059" spans="1:6" ht="15.75" customHeight="1" thickBot="1" x14ac:dyDescent="0.3">
      <c r="A1059" s="124"/>
      <c r="B1059" s="125"/>
      <c r="F1059" s="124"/>
    </row>
    <row r="1060" spans="1:6" ht="15.75" customHeight="1" thickBot="1" x14ac:dyDescent="0.3">
      <c r="A1060" s="124"/>
      <c r="B1060" s="125"/>
      <c r="F1060" s="124"/>
    </row>
    <row r="1061" spans="1:6" ht="15.75" customHeight="1" thickBot="1" x14ac:dyDescent="0.3">
      <c r="A1061" s="124"/>
      <c r="B1061" s="125"/>
      <c r="F1061" s="124"/>
    </row>
    <row r="1062" spans="1:6" ht="15.75" customHeight="1" thickBot="1" x14ac:dyDescent="0.3">
      <c r="A1062" s="124"/>
      <c r="B1062" s="125"/>
      <c r="F1062" s="124"/>
    </row>
    <row r="1063" spans="1:6" ht="15.75" customHeight="1" thickBot="1" x14ac:dyDescent="0.3">
      <c r="A1063" s="124"/>
      <c r="B1063" s="125"/>
      <c r="F1063" s="124"/>
    </row>
    <row r="1064" spans="1:6" ht="15.75" customHeight="1" thickBot="1" x14ac:dyDescent="0.3">
      <c r="A1064" s="124"/>
      <c r="B1064" s="125"/>
      <c r="F1064" s="124"/>
    </row>
    <row r="1065" spans="1:6" ht="15.75" customHeight="1" thickBot="1" x14ac:dyDescent="0.3">
      <c r="A1065" s="124"/>
      <c r="B1065" s="125"/>
      <c r="F1065" s="124"/>
    </row>
    <row r="1066" spans="1:6" ht="15.75" customHeight="1" thickBot="1" x14ac:dyDescent="0.3">
      <c r="A1066" s="124"/>
      <c r="B1066" s="125"/>
      <c r="F1066" s="124"/>
    </row>
    <row r="1067" spans="1:6" ht="15.75" customHeight="1" thickBot="1" x14ac:dyDescent="0.3">
      <c r="A1067" s="124"/>
      <c r="B1067" s="125"/>
      <c r="F1067" s="124"/>
    </row>
    <row r="1068" spans="1:6" ht="15.75" customHeight="1" thickBot="1" x14ac:dyDescent="0.3">
      <c r="A1068" s="124"/>
      <c r="B1068" s="125"/>
      <c r="F1068" s="124"/>
    </row>
    <row r="1069" spans="1:6" ht="15.75" customHeight="1" thickBot="1" x14ac:dyDescent="0.3">
      <c r="A1069" s="124"/>
      <c r="B1069" s="125"/>
      <c r="F1069" s="124"/>
    </row>
    <row r="1070" spans="1:6" ht="15.75" customHeight="1" thickBot="1" x14ac:dyDescent="0.3">
      <c r="A1070" s="124"/>
      <c r="B1070" s="125"/>
      <c r="F1070" s="124"/>
    </row>
    <row r="1071" spans="1:6" ht="15.75" customHeight="1" thickBot="1" x14ac:dyDescent="0.3">
      <c r="A1071" s="124"/>
      <c r="B1071" s="125"/>
      <c r="F1071" s="124"/>
    </row>
    <row r="1072" spans="1:6" ht="15.75" customHeight="1" thickBot="1" x14ac:dyDescent="0.3">
      <c r="A1072" s="124"/>
      <c r="B1072" s="125"/>
      <c r="F1072" s="124"/>
    </row>
    <row r="1073" spans="1:6" ht="15.75" customHeight="1" thickBot="1" x14ac:dyDescent="0.3">
      <c r="A1073" s="124"/>
      <c r="B1073" s="125"/>
      <c r="F1073" s="124"/>
    </row>
    <row r="1074" spans="1:6" ht="15.75" customHeight="1" thickBot="1" x14ac:dyDescent="0.3">
      <c r="A1074" s="124"/>
      <c r="B1074" s="125"/>
      <c r="F1074" s="124"/>
    </row>
    <row r="1075" spans="1:6" ht="15.75" customHeight="1" thickBot="1" x14ac:dyDescent="0.3">
      <c r="A1075" s="124"/>
      <c r="B1075" s="125"/>
      <c r="F1075" s="124"/>
    </row>
    <row r="1076" spans="1:6" ht="15.75" customHeight="1" thickBot="1" x14ac:dyDescent="0.3">
      <c r="A1076" s="124"/>
      <c r="B1076" s="125"/>
      <c r="F1076" s="124"/>
    </row>
    <row r="1077" spans="1:6" ht="15.75" customHeight="1" thickBot="1" x14ac:dyDescent="0.3">
      <c r="A1077" s="124"/>
      <c r="B1077" s="125"/>
      <c r="F1077" s="124"/>
    </row>
    <row r="1078" spans="1:6" ht="15.75" customHeight="1" thickBot="1" x14ac:dyDescent="0.3">
      <c r="A1078" s="124"/>
      <c r="B1078" s="125"/>
      <c r="F1078" s="124"/>
    </row>
    <row r="1079" spans="1:6" ht="15.75" customHeight="1" thickBot="1" x14ac:dyDescent="0.3">
      <c r="A1079" s="124"/>
      <c r="B1079" s="125"/>
      <c r="F1079" s="124"/>
    </row>
    <row r="1080" spans="1:6" ht="15.75" customHeight="1" thickBot="1" x14ac:dyDescent="0.3">
      <c r="A1080" s="124"/>
      <c r="B1080" s="125"/>
      <c r="F1080" s="124"/>
    </row>
    <row r="1081" spans="1:6" ht="15.75" customHeight="1" thickBot="1" x14ac:dyDescent="0.3">
      <c r="A1081" s="124"/>
      <c r="B1081" s="125"/>
      <c r="F1081" s="124"/>
    </row>
    <row r="1082" spans="1:6" ht="15.75" customHeight="1" thickBot="1" x14ac:dyDescent="0.3">
      <c r="A1082" s="124"/>
      <c r="B1082" s="125"/>
      <c r="F1082" s="124"/>
    </row>
    <row r="1083" spans="1:6" ht="15.75" customHeight="1" thickBot="1" x14ac:dyDescent="0.3">
      <c r="A1083" s="124"/>
      <c r="B1083" s="125"/>
      <c r="F1083" s="124"/>
    </row>
    <row r="1084" spans="1:6" ht="15.75" customHeight="1" thickBot="1" x14ac:dyDescent="0.3">
      <c r="A1084" s="124"/>
      <c r="B1084" s="125"/>
      <c r="F1084" s="124"/>
    </row>
    <row r="1085" spans="1:6" ht="15.75" customHeight="1" thickBot="1" x14ac:dyDescent="0.3">
      <c r="A1085" s="124"/>
      <c r="B1085" s="125"/>
      <c r="F1085" s="124"/>
    </row>
    <row r="1086" spans="1:6" ht="15.75" customHeight="1" thickBot="1" x14ac:dyDescent="0.3">
      <c r="A1086" s="124"/>
      <c r="B1086" s="125"/>
      <c r="F1086" s="124"/>
    </row>
    <row r="1087" spans="1:6" ht="15.75" customHeight="1" thickBot="1" x14ac:dyDescent="0.3">
      <c r="A1087" s="124"/>
      <c r="B1087" s="125"/>
      <c r="F1087" s="124"/>
    </row>
    <row r="1088" spans="1:6" ht="15.75" customHeight="1" thickBot="1" x14ac:dyDescent="0.3">
      <c r="A1088" s="124"/>
      <c r="B1088" s="125"/>
      <c r="F1088" s="124"/>
    </row>
    <row r="1089" spans="1:6" ht="15.75" customHeight="1" thickBot="1" x14ac:dyDescent="0.3">
      <c r="A1089" s="124"/>
      <c r="B1089" s="125"/>
      <c r="F1089" s="124"/>
    </row>
    <row r="1090" spans="1:6" ht="15.75" customHeight="1" thickBot="1" x14ac:dyDescent="0.3">
      <c r="A1090" s="124"/>
      <c r="B1090" s="125"/>
      <c r="F1090" s="124"/>
    </row>
    <row r="1091" spans="1:6" ht="15.75" customHeight="1" thickBot="1" x14ac:dyDescent="0.3">
      <c r="A1091" s="124"/>
      <c r="B1091" s="125"/>
      <c r="F1091" s="124"/>
    </row>
    <row r="1092" spans="1:6" ht="15.75" customHeight="1" thickBot="1" x14ac:dyDescent="0.3">
      <c r="A1092" s="124"/>
      <c r="B1092" s="125"/>
      <c r="F1092" s="124"/>
    </row>
    <row r="1093" spans="1:6" ht="15.75" customHeight="1" thickBot="1" x14ac:dyDescent="0.3">
      <c r="A1093" s="124"/>
      <c r="B1093" s="125"/>
      <c r="F1093" s="124"/>
    </row>
    <row r="1094" spans="1:6" ht="15.75" customHeight="1" thickBot="1" x14ac:dyDescent="0.3">
      <c r="A1094" s="124"/>
      <c r="B1094" s="125"/>
      <c r="F1094" s="124"/>
    </row>
    <row r="1095" spans="1:6" ht="15.75" customHeight="1" thickBot="1" x14ac:dyDescent="0.3">
      <c r="A1095" s="124"/>
      <c r="B1095" s="125"/>
      <c r="F1095" s="124"/>
    </row>
    <row r="1096" spans="1:6" ht="15.75" customHeight="1" thickBot="1" x14ac:dyDescent="0.3">
      <c r="A1096" s="124"/>
      <c r="B1096" s="125"/>
      <c r="F1096" s="124"/>
    </row>
    <row r="1097" spans="1:6" ht="15.75" customHeight="1" thickBot="1" x14ac:dyDescent="0.3">
      <c r="A1097" s="124"/>
      <c r="B1097" s="125"/>
      <c r="F1097" s="124"/>
    </row>
    <row r="1098" spans="1:6" ht="15.75" customHeight="1" thickBot="1" x14ac:dyDescent="0.3">
      <c r="A1098" s="124"/>
      <c r="B1098" s="125"/>
      <c r="F1098" s="124"/>
    </row>
    <row r="1099" spans="1:6" ht="15.75" customHeight="1" thickBot="1" x14ac:dyDescent="0.3">
      <c r="A1099" s="124"/>
      <c r="B1099" s="125"/>
      <c r="F1099" s="124"/>
    </row>
    <row r="1100" spans="1:6" ht="15.75" customHeight="1" thickBot="1" x14ac:dyDescent="0.3">
      <c r="A1100" s="124"/>
      <c r="B1100" s="125"/>
      <c r="F1100" s="124"/>
    </row>
    <row r="1101" spans="1:6" ht="15.75" customHeight="1" thickBot="1" x14ac:dyDescent="0.3">
      <c r="A1101" s="124"/>
      <c r="B1101" s="125"/>
      <c r="F1101" s="124"/>
    </row>
    <row r="1102" spans="1:6" ht="15.75" customHeight="1" thickBot="1" x14ac:dyDescent="0.3">
      <c r="A1102" s="124"/>
      <c r="B1102" s="125"/>
      <c r="F1102" s="124"/>
    </row>
    <row r="1103" spans="1:6" ht="15.75" customHeight="1" thickBot="1" x14ac:dyDescent="0.3">
      <c r="A1103" s="124"/>
      <c r="B1103" s="125"/>
      <c r="F1103" s="124"/>
    </row>
    <row r="1104" spans="1:6" ht="15.75" customHeight="1" thickBot="1" x14ac:dyDescent="0.3">
      <c r="A1104" s="124"/>
      <c r="B1104" s="125"/>
      <c r="F1104" s="124"/>
    </row>
    <row r="1105" spans="1:6" ht="15.75" customHeight="1" thickBot="1" x14ac:dyDescent="0.3">
      <c r="A1105" s="124"/>
      <c r="B1105" s="125"/>
      <c r="F1105" s="124"/>
    </row>
    <row r="1106" spans="1:6" ht="15.75" customHeight="1" thickBot="1" x14ac:dyDescent="0.3">
      <c r="A1106" s="124"/>
      <c r="B1106" s="125"/>
      <c r="F1106" s="124"/>
    </row>
    <row r="1107" spans="1:6" ht="15.75" customHeight="1" thickBot="1" x14ac:dyDescent="0.3">
      <c r="A1107" s="124"/>
      <c r="B1107" s="125"/>
      <c r="F1107" s="124"/>
    </row>
    <row r="1108" spans="1:6" ht="15.75" customHeight="1" thickBot="1" x14ac:dyDescent="0.3">
      <c r="A1108" s="124"/>
      <c r="B1108" s="125"/>
      <c r="F1108" s="124"/>
    </row>
    <row r="1109" spans="1:6" ht="15.75" customHeight="1" thickBot="1" x14ac:dyDescent="0.3">
      <c r="A1109" s="124"/>
      <c r="B1109" s="125"/>
      <c r="F1109" s="124"/>
    </row>
    <row r="1110" spans="1:6" ht="15.75" customHeight="1" thickBot="1" x14ac:dyDescent="0.3">
      <c r="A1110" s="124"/>
      <c r="B1110" s="125"/>
      <c r="F1110" s="124"/>
    </row>
    <row r="1111" spans="1:6" ht="15.75" customHeight="1" thickBot="1" x14ac:dyDescent="0.3">
      <c r="A1111" s="124"/>
      <c r="B1111" s="125"/>
      <c r="F1111" s="124"/>
    </row>
    <row r="1112" spans="1:6" ht="15.75" customHeight="1" thickBot="1" x14ac:dyDescent="0.3">
      <c r="A1112" s="124"/>
      <c r="B1112" s="125"/>
      <c r="F1112" s="124"/>
    </row>
    <row r="1113" spans="1:6" ht="15.75" customHeight="1" thickBot="1" x14ac:dyDescent="0.3">
      <c r="A1113" s="124"/>
      <c r="B1113" s="125"/>
      <c r="F1113" s="124"/>
    </row>
    <row r="1114" spans="1:6" ht="15.75" customHeight="1" thickBot="1" x14ac:dyDescent="0.3">
      <c r="A1114" s="124"/>
      <c r="B1114" s="125"/>
      <c r="F1114" s="124"/>
    </row>
    <row r="1115" spans="1:6" ht="15.75" customHeight="1" thickBot="1" x14ac:dyDescent="0.3">
      <c r="A1115" s="124"/>
      <c r="B1115" s="125"/>
      <c r="F1115" s="124"/>
    </row>
    <row r="1116" spans="1:6" ht="15.75" customHeight="1" thickBot="1" x14ac:dyDescent="0.3">
      <c r="A1116" s="124"/>
      <c r="B1116" s="125"/>
      <c r="F1116" s="124"/>
    </row>
    <row r="1117" spans="1:6" ht="15.75" customHeight="1" thickBot="1" x14ac:dyDescent="0.3">
      <c r="A1117" s="124"/>
      <c r="B1117" s="125"/>
      <c r="F1117" s="124"/>
    </row>
    <row r="1118" spans="1:6" ht="15.75" customHeight="1" thickBot="1" x14ac:dyDescent="0.3">
      <c r="A1118" s="124"/>
      <c r="B1118" s="125"/>
      <c r="F1118" s="124"/>
    </row>
    <row r="1119" spans="1:6" ht="15.75" customHeight="1" thickBot="1" x14ac:dyDescent="0.3">
      <c r="A1119" s="124"/>
      <c r="B1119" s="125"/>
      <c r="F1119" s="124"/>
    </row>
    <row r="1120" spans="1:6" ht="15.75" customHeight="1" thickBot="1" x14ac:dyDescent="0.3">
      <c r="A1120" s="124"/>
      <c r="B1120" s="125"/>
      <c r="F1120" s="124"/>
    </row>
    <row r="1121" spans="1:6" ht="15.75" customHeight="1" thickBot="1" x14ac:dyDescent="0.3">
      <c r="A1121" s="124"/>
      <c r="B1121" s="125"/>
      <c r="F1121" s="124"/>
    </row>
    <row r="1122" spans="1:6" ht="15.75" customHeight="1" thickBot="1" x14ac:dyDescent="0.3">
      <c r="A1122" s="124"/>
      <c r="B1122" s="125"/>
      <c r="F1122" s="124"/>
    </row>
    <row r="1123" spans="1:6" ht="15.75" customHeight="1" thickBot="1" x14ac:dyDescent="0.3">
      <c r="A1123" s="124"/>
      <c r="B1123" s="125"/>
      <c r="F1123" s="124"/>
    </row>
    <row r="1124" spans="1:6" ht="15.75" customHeight="1" thickBot="1" x14ac:dyDescent="0.3">
      <c r="A1124" s="124"/>
      <c r="B1124" s="125"/>
      <c r="F1124" s="124"/>
    </row>
    <row r="1125" spans="1:6" ht="15.75" customHeight="1" thickBot="1" x14ac:dyDescent="0.3">
      <c r="A1125" s="124"/>
      <c r="B1125" s="125"/>
      <c r="F1125" s="124"/>
    </row>
    <row r="1126" spans="1:6" ht="15.75" customHeight="1" thickBot="1" x14ac:dyDescent="0.3">
      <c r="A1126" s="124"/>
      <c r="B1126" s="125"/>
      <c r="F1126" s="124"/>
    </row>
    <row r="1127" spans="1:6" ht="15.75" customHeight="1" thickBot="1" x14ac:dyDescent="0.3">
      <c r="A1127" s="124"/>
      <c r="B1127" s="125"/>
      <c r="F1127" s="124"/>
    </row>
    <row r="1128" spans="1:6" ht="15.75" customHeight="1" thickBot="1" x14ac:dyDescent="0.3">
      <c r="A1128" s="124"/>
      <c r="B1128" s="125"/>
      <c r="F1128" s="124"/>
    </row>
    <row r="1129" spans="1:6" ht="15.75" customHeight="1" thickBot="1" x14ac:dyDescent="0.3">
      <c r="A1129" s="124"/>
      <c r="B1129" s="125"/>
      <c r="F1129" s="124"/>
    </row>
    <row r="1130" spans="1:6" ht="15.75" customHeight="1" thickBot="1" x14ac:dyDescent="0.3">
      <c r="A1130" s="124"/>
      <c r="B1130" s="125"/>
      <c r="F1130" s="124"/>
    </row>
    <row r="1131" spans="1:6" ht="15.75" customHeight="1" thickBot="1" x14ac:dyDescent="0.3">
      <c r="A1131" s="124"/>
      <c r="B1131" s="125"/>
      <c r="F1131" s="124"/>
    </row>
    <row r="1132" spans="1:6" ht="15.75" customHeight="1" thickBot="1" x14ac:dyDescent="0.3">
      <c r="A1132" s="124"/>
      <c r="B1132" s="125"/>
      <c r="F1132" s="124"/>
    </row>
    <row r="1133" spans="1:6" ht="15.75" customHeight="1" thickBot="1" x14ac:dyDescent="0.3">
      <c r="A1133" s="124"/>
      <c r="B1133" s="125"/>
      <c r="F1133" s="124"/>
    </row>
    <row r="1134" spans="1:6" ht="15.75" customHeight="1" thickBot="1" x14ac:dyDescent="0.3">
      <c r="A1134" s="124"/>
      <c r="B1134" s="125"/>
      <c r="F1134" s="124"/>
    </row>
    <row r="1135" spans="1:6" ht="15.75" customHeight="1" thickBot="1" x14ac:dyDescent="0.3">
      <c r="A1135" s="124"/>
      <c r="B1135" s="125"/>
      <c r="F1135" s="124"/>
    </row>
    <row r="1136" spans="1:6" ht="15.75" customHeight="1" thickBot="1" x14ac:dyDescent="0.3">
      <c r="A1136" s="124"/>
      <c r="B1136" s="125"/>
      <c r="F1136" s="124"/>
    </row>
    <row r="1137" spans="1:6" ht="15.75" customHeight="1" thickBot="1" x14ac:dyDescent="0.3">
      <c r="A1137" s="124"/>
      <c r="B1137" s="125"/>
      <c r="F1137" s="124"/>
    </row>
    <row r="1138" spans="1:6" ht="15.75" customHeight="1" thickBot="1" x14ac:dyDescent="0.3">
      <c r="A1138" s="124"/>
      <c r="B1138" s="125"/>
      <c r="F1138" s="124"/>
    </row>
    <row r="1139" spans="1:6" ht="15.75" customHeight="1" thickBot="1" x14ac:dyDescent="0.3">
      <c r="A1139" s="124"/>
      <c r="B1139" s="125"/>
      <c r="F1139" s="124"/>
    </row>
    <row r="1140" spans="1:6" ht="15.75" customHeight="1" thickBot="1" x14ac:dyDescent="0.3">
      <c r="A1140" s="124"/>
      <c r="B1140" s="125"/>
      <c r="F1140" s="124"/>
    </row>
    <row r="1141" spans="1:6" ht="15.75" customHeight="1" thickBot="1" x14ac:dyDescent="0.3">
      <c r="A1141" s="124"/>
      <c r="B1141" s="125"/>
      <c r="F1141" s="124"/>
    </row>
    <row r="1142" spans="1:6" ht="15.75" customHeight="1" thickBot="1" x14ac:dyDescent="0.3">
      <c r="A1142" s="124"/>
      <c r="B1142" s="125"/>
      <c r="F1142" s="124"/>
    </row>
    <row r="1143" spans="1:6" ht="15.75" customHeight="1" thickBot="1" x14ac:dyDescent="0.3">
      <c r="A1143" s="124"/>
      <c r="B1143" s="125"/>
      <c r="F1143" s="124"/>
    </row>
    <row r="1144" spans="1:6" ht="15.75" customHeight="1" thickBot="1" x14ac:dyDescent="0.3">
      <c r="A1144" s="124"/>
      <c r="B1144" s="125"/>
      <c r="F1144" s="124"/>
    </row>
    <row r="1145" spans="1:6" ht="15.75" customHeight="1" thickBot="1" x14ac:dyDescent="0.3">
      <c r="A1145" s="124"/>
      <c r="B1145" s="125"/>
      <c r="F1145" s="124"/>
    </row>
    <row r="1146" spans="1:6" ht="15.75" customHeight="1" thickBot="1" x14ac:dyDescent="0.3">
      <c r="A1146" s="124"/>
      <c r="B1146" s="125"/>
      <c r="F1146" s="124"/>
    </row>
    <row r="1147" spans="1:6" ht="15.75" customHeight="1" thickBot="1" x14ac:dyDescent="0.3">
      <c r="A1147" s="124"/>
      <c r="B1147" s="125"/>
      <c r="F1147" s="124"/>
    </row>
    <row r="1148" spans="1:6" ht="15.75" customHeight="1" thickBot="1" x14ac:dyDescent="0.3">
      <c r="A1148" s="124"/>
      <c r="B1148" s="125"/>
      <c r="F1148" s="124"/>
    </row>
    <row r="1149" spans="1:6" ht="15.75" customHeight="1" thickBot="1" x14ac:dyDescent="0.3">
      <c r="A1149" s="124"/>
      <c r="B1149" s="125"/>
      <c r="F1149" s="124"/>
    </row>
    <row r="1150" spans="1:6" ht="15.75" customHeight="1" thickBot="1" x14ac:dyDescent="0.3">
      <c r="A1150" s="124"/>
      <c r="B1150" s="125"/>
      <c r="F1150" s="124"/>
    </row>
    <row r="1151" spans="1:6" ht="15.75" customHeight="1" thickBot="1" x14ac:dyDescent="0.3">
      <c r="A1151" s="124"/>
      <c r="B1151" s="125"/>
      <c r="F1151" s="124"/>
    </row>
    <row r="1152" spans="1:6" ht="15.75" customHeight="1" thickBot="1" x14ac:dyDescent="0.3">
      <c r="A1152" s="124"/>
      <c r="B1152" s="125"/>
      <c r="F1152" s="124"/>
    </row>
    <row r="1153" spans="1:6" ht="15.75" customHeight="1" thickBot="1" x14ac:dyDescent="0.3">
      <c r="A1153" s="124"/>
      <c r="B1153" s="125"/>
      <c r="F1153" s="124"/>
    </row>
    <row r="1154" spans="1:6" ht="15.75" customHeight="1" thickBot="1" x14ac:dyDescent="0.3">
      <c r="A1154" s="124"/>
      <c r="B1154" s="125"/>
      <c r="F1154" s="124"/>
    </row>
    <row r="1155" spans="1:6" ht="15.75" customHeight="1" thickBot="1" x14ac:dyDescent="0.3">
      <c r="A1155" s="124"/>
      <c r="B1155" s="125"/>
      <c r="F1155" s="124"/>
    </row>
    <row r="1156" spans="1:6" ht="15.75" customHeight="1" thickBot="1" x14ac:dyDescent="0.3">
      <c r="A1156" s="124"/>
      <c r="B1156" s="125"/>
      <c r="F1156" s="124"/>
    </row>
    <row r="1157" spans="1:6" ht="15.75" customHeight="1" thickBot="1" x14ac:dyDescent="0.3">
      <c r="A1157" s="124"/>
      <c r="B1157" s="125"/>
      <c r="F1157" s="124"/>
    </row>
    <row r="1158" spans="1:6" ht="15.75" customHeight="1" thickBot="1" x14ac:dyDescent="0.3">
      <c r="A1158" s="124"/>
      <c r="B1158" s="125"/>
      <c r="F1158" s="124"/>
    </row>
    <row r="1159" spans="1:6" ht="15.75" customHeight="1" thickBot="1" x14ac:dyDescent="0.3">
      <c r="A1159" s="124"/>
      <c r="B1159" s="125"/>
      <c r="F1159" s="124"/>
    </row>
    <row r="1160" spans="1:6" ht="15.75" customHeight="1" thickBot="1" x14ac:dyDescent="0.3">
      <c r="A1160" s="124"/>
      <c r="B1160" s="125"/>
      <c r="F1160" s="124"/>
    </row>
    <row r="1161" spans="1:6" ht="15.75" customHeight="1" thickBot="1" x14ac:dyDescent="0.3">
      <c r="A1161" s="124"/>
      <c r="B1161" s="125"/>
      <c r="F1161" s="124"/>
    </row>
    <row r="1162" spans="1:6" ht="15.75" customHeight="1" thickBot="1" x14ac:dyDescent="0.3">
      <c r="A1162" s="124"/>
      <c r="B1162" s="125"/>
      <c r="F1162" s="124"/>
    </row>
    <row r="1163" spans="1:6" ht="15.75" customHeight="1" thickBot="1" x14ac:dyDescent="0.3">
      <c r="A1163" s="124"/>
      <c r="B1163" s="125"/>
      <c r="F1163" s="124"/>
    </row>
    <row r="1164" spans="1:6" ht="15.75" customHeight="1" thickBot="1" x14ac:dyDescent="0.3">
      <c r="A1164" s="124"/>
      <c r="B1164" s="125"/>
      <c r="F1164" s="124"/>
    </row>
    <row r="1165" spans="1:6" ht="15.75" customHeight="1" thickBot="1" x14ac:dyDescent="0.3">
      <c r="A1165" s="124"/>
      <c r="B1165" s="125"/>
      <c r="F1165" s="124"/>
    </row>
    <row r="1166" spans="1:6" ht="15.75" customHeight="1" thickBot="1" x14ac:dyDescent="0.3">
      <c r="A1166" s="124"/>
      <c r="B1166" s="125"/>
      <c r="F1166" s="124"/>
    </row>
    <row r="1167" spans="1:6" ht="15.75" customHeight="1" thickBot="1" x14ac:dyDescent="0.3">
      <c r="A1167" s="124"/>
      <c r="B1167" s="125"/>
      <c r="F1167" s="124"/>
    </row>
    <row r="1168" spans="1:6" ht="15.75" customHeight="1" thickBot="1" x14ac:dyDescent="0.3">
      <c r="A1168" s="124"/>
      <c r="B1168" s="125"/>
      <c r="F1168" s="124"/>
    </row>
    <row r="1169" spans="1:6" ht="15.75" customHeight="1" thickBot="1" x14ac:dyDescent="0.3">
      <c r="A1169" s="124"/>
      <c r="B1169" s="125"/>
      <c r="F1169" s="124"/>
    </row>
    <row r="1170" spans="1:6" ht="15.75" customHeight="1" thickBot="1" x14ac:dyDescent="0.3">
      <c r="A1170" s="124"/>
      <c r="B1170" s="125"/>
      <c r="F1170" s="124"/>
    </row>
    <row r="1171" spans="1:6" ht="15.75" customHeight="1" thickBot="1" x14ac:dyDescent="0.3">
      <c r="A1171" s="124"/>
      <c r="B1171" s="125"/>
      <c r="F1171" s="124"/>
    </row>
    <row r="1172" spans="1:6" ht="15.75" customHeight="1" thickBot="1" x14ac:dyDescent="0.3">
      <c r="A1172" s="124"/>
      <c r="B1172" s="125"/>
      <c r="F1172" s="124"/>
    </row>
    <row r="1173" spans="1:6" ht="15.75" customHeight="1" thickBot="1" x14ac:dyDescent="0.3">
      <c r="A1173" s="124"/>
      <c r="B1173" s="125"/>
      <c r="F1173" s="124"/>
    </row>
    <row r="1174" spans="1:6" ht="15.75" customHeight="1" thickBot="1" x14ac:dyDescent="0.3">
      <c r="A1174" s="124"/>
      <c r="B1174" s="125"/>
      <c r="F1174" s="124"/>
    </row>
    <row r="1175" spans="1:6" ht="15.75" customHeight="1" thickBot="1" x14ac:dyDescent="0.3">
      <c r="A1175" s="124"/>
      <c r="B1175" s="125"/>
      <c r="F1175" s="124"/>
    </row>
    <row r="1176" spans="1:6" ht="15.75" customHeight="1" thickBot="1" x14ac:dyDescent="0.3">
      <c r="A1176" s="124"/>
      <c r="B1176" s="125"/>
      <c r="F1176" s="124"/>
    </row>
    <row r="1177" spans="1:6" ht="15.75" customHeight="1" thickBot="1" x14ac:dyDescent="0.3">
      <c r="A1177" s="124"/>
      <c r="B1177" s="125"/>
      <c r="F1177" s="124"/>
    </row>
    <row r="1178" spans="1:6" ht="15.75" customHeight="1" thickBot="1" x14ac:dyDescent="0.3">
      <c r="A1178" s="124"/>
      <c r="B1178" s="125"/>
      <c r="F1178" s="124"/>
    </row>
    <row r="1179" spans="1:6" ht="15.75" customHeight="1" thickBot="1" x14ac:dyDescent="0.3">
      <c r="A1179" s="124"/>
      <c r="B1179" s="125"/>
      <c r="F1179" s="124"/>
    </row>
    <row r="1180" spans="1:6" ht="15.75" customHeight="1" thickBot="1" x14ac:dyDescent="0.3">
      <c r="A1180" s="124"/>
      <c r="B1180" s="125"/>
      <c r="F1180" s="124"/>
    </row>
    <row r="1181" spans="1:6" ht="15.75" customHeight="1" thickBot="1" x14ac:dyDescent="0.3">
      <c r="A1181" s="124"/>
      <c r="B1181" s="125"/>
      <c r="F1181" s="124"/>
    </row>
    <row r="1182" spans="1:6" ht="15.75" customHeight="1" thickBot="1" x14ac:dyDescent="0.3">
      <c r="A1182" s="124"/>
      <c r="B1182" s="125"/>
      <c r="F1182" s="124"/>
    </row>
    <row r="1183" spans="1:6" ht="15.75" customHeight="1" thickBot="1" x14ac:dyDescent="0.3">
      <c r="A1183" s="124"/>
      <c r="B1183" s="125"/>
      <c r="F1183" s="124"/>
    </row>
    <row r="1184" spans="1:6" ht="15.75" customHeight="1" thickBot="1" x14ac:dyDescent="0.3">
      <c r="A1184" s="124"/>
      <c r="B1184" s="125"/>
      <c r="F1184" s="124"/>
    </row>
    <row r="1185" spans="1:6" ht="15.75" customHeight="1" thickBot="1" x14ac:dyDescent="0.3">
      <c r="A1185" s="124"/>
      <c r="B1185" s="125"/>
      <c r="F1185" s="124"/>
    </row>
    <row r="1186" spans="1:6" ht="15.75" customHeight="1" thickBot="1" x14ac:dyDescent="0.3">
      <c r="A1186" s="124"/>
      <c r="B1186" s="125"/>
      <c r="F1186" s="124"/>
    </row>
    <row r="1187" spans="1:6" ht="15.75" customHeight="1" thickBot="1" x14ac:dyDescent="0.3">
      <c r="A1187" s="124"/>
      <c r="B1187" s="125"/>
      <c r="F1187" s="124"/>
    </row>
    <row r="1188" spans="1:6" ht="15.75" customHeight="1" thickBot="1" x14ac:dyDescent="0.3">
      <c r="A1188" s="124"/>
      <c r="B1188" s="125"/>
      <c r="F1188" s="124"/>
    </row>
    <row r="1189" spans="1:6" ht="15.75" customHeight="1" thickBot="1" x14ac:dyDescent="0.3">
      <c r="A1189" s="124"/>
      <c r="B1189" s="125"/>
      <c r="F1189" s="124"/>
    </row>
    <row r="1190" spans="1:6" ht="15.75" customHeight="1" thickBot="1" x14ac:dyDescent="0.3">
      <c r="A1190" s="124"/>
      <c r="B1190" s="125"/>
      <c r="F1190" s="124"/>
    </row>
    <row r="1191" spans="1:6" ht="15.75" customHeight="1" thickBot="1" x14ac:dyDescent="0.3">
      <c r="A1191" s="124"/>
      <c r="B1191" s="125"/>
      <c r="F1191" s="124"/>
    </row>
    <row r="1192" spans="1:6" ht="15.75" customHeight="1" thickBot="1" x14ac:dyDescent="0.3">
      <c r="A1192" s="124"/>
      <c r="B1192" s="125"/>
      <c r="F1192" s="124"/>
    </row>
    <row r="1193" spans="1:6" ht="15.75" customHeight="1" thickBot="1" x14ac:dyDescent="0.3">
      <c r="A1193" s="124"/>
      <c r="B1193" s="125"/>
      <c r="F1193" s="124"/>
    </row>
    <row r="1194" spans="1:6" ht="15.75" customHeight="1" thickBot="1" x14ac:dyDescent="0.3">
      <c r="A1194" s="124"/>
      <c r="B1194" s="125"/>
      <c r="F1194" s="124"/>
    </row>
    <row r="1195" spans="1:6" ht="15.75" customHeight="1" thickBot="1" x14ac:dyDescent="0.3">
      <c r="A1195" s="124"/>
      <c r="B1195" s="125"/>
      <c r="F1195" s="124"/>
    </row>
    <row r="1196" spans="1:6" ht="15.75" customHeight="1" thickBot="1" x14ac:dyDescent="0.3">
      <c r="A1196" s="124"/>
      <c r="B1196" s="125"/>
      <c r="F1196" s="124"/>
    </row>
    <row r="1197" spans="1:6" ht="15.75" customHeight="1" thickBot="1" x14ac:dyDescent="0.3">
      <c r="A1197" s="124"/>
      <c r="B1197" s="125"/>
      <c r="F1197" s="124"/>
    </row>
    <row r="1198" spans="1:6" ht="15.75" customHeight="1" thickBot="1" x14ac:dyDescent="0.3">
      <c r="A1198" s="124"/>
      <c r="B1198" s="125"/>
      <c r="F1198" s="124"/>
    </row>
    <row r="1199" spans="1:6" ht="15.75" customHeight="1" thickBot="1" x14ac:dyDescent="0.3">
      <c r="A1199" s="124"/>
      <c r="B1199" s="125"/>
      <c r="F1199" s="124"/>
    </row>
    <row r="1200" spans="1:6" ht="15.75" customHeight="1" thickBot="1" x14ac:dyDescent="0.3">
      <c r="A1200" s="124"/>
      <c r="B1200" s="125"/>
      <c r="F1200" s="124"/>
    </row>
    <row r="1201" spans="1:6" ht="15.75" customHeight="1" thickBot="1" x14ac:dyDescent="0.3">
      <c r="A1201" s="124"/>
      <c r="B1201" s="125"/>
      <c r="F1201" s="124"/>
    </row>
    <row r="1202" spans="1:6" ht="15.75" customHeight="1" thickBot="1" x14ac:dyDescent="0.3">
      <c r="A1202" s="124"/>
      <c r="B1202" s="125"/>
      <c r="F1202" s="124"/>
    </row>
    <row r="1203" spans="1:6" ht="15.75" customHeight="1" thickBot="1" x14ac:dyDescent="0.3">
      <c r="A1203" s="124"/>
      <c r="B1203" s="125"/>
      <c r="F1203" s="124"/>
    </row>
    <row r="1204" spans="1:6" ht="15.75" customHeight="1" thickBot="1" x14ac:dyDescent="0.3">
      <c r="A1204" s="124"/>
      <c r="B1204" s="125"/>
      <c r="F1204" s="124"/>
    </row>
    <row r="1205" spans="1:6" ht="15.75" customHeight="1" thickBot="1" x14ac:dyDescent="0.3">
      <c r="A1205" s="124"/>
      <c r="B1205" s="125"/>
      <c r="F1205" s="124"/>
    </row>
    <row r="1206" spans="1:6" ht="15.75" customHeight="1" thickBot="1" x14ac:dyDescent="0.3">
      <c r="A1206" s="124"/>
      <c r="B1206" s="125"/>
      <c r="F1206" s="124"/>
    </row>
    <row r="1207" spans="1:6" ht="15.75" customHeight="1" thickBot="1" x14ac:dyDescent="0.3">
      <c r="A1207" s="124"/>
      <c r="B1207" s="125"/>
      <c r="F1207" s="124"/>
    </row>
    <row r="1208" spans="1:6" ht="15.75" customHeight="1" thickBot="1" x14ac:dyDescent="0.3">
      <c r="A1208" s="124"/>
      <c r="B1208" s="125"/>
      <c r="F1208" s="124"/>
    </row>
    <row r="1209" spans="1:6" ht="15.75" customHeight="1" thickBot="1" x14ac:dyDescent="0.3">
      <c r="A1209" s="124"/>
      <c r="B1209" s="125"/>
      <c r="F1209" s="124"/>
    </row>
    <row r="1210" spans="1:6" ht="15.75" customHeight="1" thickBot="1" x14ac:dyDescent="0.3">
      <c r="A1210" s="124"/>
      <c r="B1210" s="125"/>
      <c r="F1210" s="124"/>
    </row>
    <row r="1211" spans="1:6" ht="15.75" customHeight="1" thickBot="1" x14ac:dyDescent="0.3">
      <c r="A1211" s="124"/>
      <c r="B1211" s="125"/>
      <c r="F1211" s="124"/>
    </row>
    <row r="1212" spans="1:6" ht="15.75" customHeight="1" thickBot="1" x14ac:dyDescent="0.3">
      <c r="A1212" s="124"/>
      <c r="B1212" s="125"/>
      <c r="F1212" s="124"/>
    </row>
    <row r="1213" spans="1:6" ht="15.75" customHeight="1" thickBot="1" x14ac:dyDescent="0.3">
      <c r="A1213" s="124"/>
      <c r="B1213" s="125"/>
      <c r="F1213" s="124"/>
    </row>
    <row r="1214" spans="1:6" ht="15.75" customHeight="1" thickBot="1" x14ac:dyDescent="0.3">
      <c r="A1214" s="124"/>
      <c r="B1214" s="125"/>
      <c r="F1214" s="124"/>
    </row>
    <row r="1215" spans="1:6" ht="15.75" customHeight="1" thickBot="1" x14ac:dyDescent="0.3">
      <c r="A1215" s="124"/>
      <c r="B1215" s="125"/>
      <c r="F1215" s="124"/>
    </row>
    <row r="1216" spans="1:6" ht="15.75" customHeight="1" thickBot="1" x14ac:dyDescent="0.3">
      <c r="A1216" s="124"/>
      <c r="B1216" s="125"/>
      <c r="F1216" s="124"/>
    </row>
    <row r="1217" spans="1:6" ht="15.75" customHeight="1" thickBot="1" x14ac:dyDescent="0.3">
      <c r="A1217" s="124"/>
      <c r="B1217" s="125"/>
      <c r="F1217" s="124"/>
    </row>
    <row r="1218" spans="1:6" ht="15.75" customHeight="1" thickBot="1" x14ac:dyDescent="0.3">
      <c r="A1218" s="124"/>
      <c r="B1218" s="125"/>
      <c r="F1218" s="124"/>
    </row>
    <row r="1219" spans="1:6" ht="15.75" customHeight="1" thickBot="1" x14ac:dyDescent="0.3">
      <c r="A1219" s="124"/>
      <c r="B1219" s="125"/>
      <c r="F1219" s="124"/>
    </row>
    <row r="1220" spans="1:6" ht="15.75" customHeight="1" thickBot="1" x14ac:dyDescent="0.3">
      <c r="A1220" s="124"/>
      <c r="B1220" s="125"/>
      <c r="F1220" s="124"/>
    </row>
    <row r="1221" spans="1:6" ht="15.75" customHeight="1" thickBot="1" x14ac:dyDescent="0.3">
      <c r="A1221" s="124"/>
      <c r="B1221" s="125"/>
      <c r="F1221" s="124"/>
    </row>
    <row r="1222" spans="1:6" ht="15.75" customHeight="1" thickBot="1" x14ac:dyDescent="0.3">
      <c r="A1222" s="124"/>
      <c r="B1222" s="125"/>
      <c r="F1222" s="124"/>
    </row>
    <row r="1223" spans="1:6" ht="15.75" customHeight="1" thickBot="1" x14ac:dyDescent="0.3">
      <c r="A1223" s="124"/>
      <c r="B1223" s="125"/>
      <c r="F1223" s="124"/>
    </row>
    <row r="1224" spans="1:6" ht="15.75" customHeight="1" thickBot="1" x14ac:dyDescent="0.3">
      <c r="A1224" s="124"/>
      <c r="B1224" s="125"/>
      <c r="F1224" s="124"/>
    </row>
    <row r="1225" spans="1:6" ht="15.75" customHeight="1" thickBot="1" x14ac:dyDescent="0.3">
      <c r="A1225" s="124"/>
      <c r="B1225" s="125"/>
      <c r="F1225" s="124"/>
    </row>
    <row r="1226" spans="1:6" ht="15.75" customHeight="1" thickBot="1" x14ac:dyDescent="0.3">
      <c r="A1226" s="124"/>
      <c r="B1226" s="125"/>
      <c r="F1226" s="124"/>
    </row>
    <row r="1227" spans="1:6" ht="15.75" customHeight="1" thickBot="1" x14ac:dyDescent="0.3">
      <c r="A1227" s="124"/>
      <c r="B1227" s="125"/>
      <c r="F1227" s="124"/>
    </row>
    <row r="1228" spans="1:6" ht="15.75" customHeight="1" thickBot="1" x14ac:dyDescent="0.3">
      <c r="A1228" s="124"/>
      <c r="B1228" s="125"/>
      <c r="F1228" s="124"/>
    </row>
    <row r="1229" spans="1:6" ht="15.75" customHeight="1" thickBot="1" x14ac:dyDescent="0.3">
      <c r="A1229" s="124"/>
      <c r="B1229" s="125"/>
      <c r="F1229" s="124"/>
    </row>
    <row r="1230" spans="1:6" ht="15.75" customHeight="1" thickBot="1" x14ac:dyDescent="0.3">
      <c r="A1230" s="124"/>
      <c r="B1230" s="125"/>
      <c r="F1230" s="124"/>
    </row>
    <row r="1231" spans="1:6" ht="15.75" customHeight="1" thickBot="1" x14ac:dyDescent="0.3">
      <c r="A1231" s="124"/>
      <c r="B1231" s="125"/>
      <c r="F1231" s="124"/>
    </row>
    <row r="1232" spans="1:6" ht="15.75" customHeight="1" thickBot="1" x14ac:dyDescent="0.3">
      <c r="A1232" s="124"/>
      <c r="B1232" s="125"/>
      <c r="F1232" s="124"/>
    </row>
    <row r="1233" spans="1:6" ht="15.75" customHeight="1" thickBot="1" x14ac:dyDescent="0.3">
      <c r="A1233" s="124"/>
      <c r="B1233" s="125"/>
      <c r="F1233" s="124"/>
    </row>
    <row r="1234" spans="1:6" ht="15.75" customHeight="1" thickBot="1" x14ac:dyDescent="0.3">
      <c r="A1234" s="124"/>
      <c r="B1234" s="125"/>
      <c r="F1234" s="124"/>
    </row>
    <row r="1235" spans="1:6" ht="15.75" customHeight="1" thickBot="1" x14ac:dyDescent="0.3">
      <c r="A1235" s="124"/>
      <c r="B1235" s="125"/>
      <c r="F1235" s="124"/>
    </row>
    <row r="1236" spans="1:6" ht="15.75" customHeight="1" thickBot="1" x14ac:dyDescent="0.3">
      <c r="A1236" s="124"/>
      <c r="B1236" s="125"/>
      <c r="F1236" s="124"/>
    </row>
    <row r="1237" spans="1:6" ht="15.75" customHeight="1" thickBot="1" x14ac:dyDescent="0.3">
      <c r="A1237" s="124"/>
      <c r="B1237" s="125"/>
      <c r="F1237" s="124"/>
    </row>
    <row r="1238" spans="1:6" ht="15.75" customHeight="1" thickBot="1" x14ac:dyDescent="0.3">
      <c r="A1238" s="124"/>
      <c r="B1238" s="125"/>
      <c r="F1238" s="124"/>
    </row>
    <row r="1239" spans="1:6" ht="15.75" customHeight="1" thickBot="1" x14ac:dyDescent="0.3">
      <c r="A1239" s="124"/>
      <c r="B1239" s="125"/>
      <c r="F1239" s="124"/>
    </row>
    <row r="1240" spans="1:6" ht="15.75" customHeight="1" thickBot="1" x14ac:dyDescent="0.3">
      <c r="A1240" s="124"/>
      <c r="B1240" s="125"/>
      <c r="F1240" s="124"/>
    </row>
    <row r="1241" spans="1:6" ht="15.75" customHeight="1" thickBot="1" x14ac:dyDescent="0.3">
      <c r="A1241" s="124"/>
      <c r="B1241" s="125"/>
      <c r="F1241" s="124"/>
    </row>
    <row r="1242" spans="1:6" ht="15.75" customHeight="1" thickBot="1" x14ac:dyDescent="0.3">
      <c r="A1242" s="124"/>
      <c r="B1242" s="125"/>
      <c r="F1242" s="124"/>
    </row>
    <row r="1243" spans="1:6" ht="15.75" customHeight="1" thickBot="1" x14ac:dyDescent="0.3">
      <c r="A1243" s="124"/>
      <c r="B1243" s="125"/>
      <c r="F1243" s="124"/>
    </row>
    <row r="1244" spans="1:6" ht="15.75" customHeight="1" thickBot="1" x14ac:dyDescent="0.3">
      <c r="A1244" s="124"/>
      <c r="B1244" s="125"/>
      <c r="F1244" s="124"/>
    </row>
    <row r="1245" spans="1:6" ht="15.75" customHeight="1" thickBot="1" x14ac:dyDescent="0.3">
      <c r="A1245" s="124"/>
      <c r="B1245" s="125"/>
      <c r="F1245" s="124"/>
    </row>
    <row r="1246" spans="1:6" ht="15.75" customHeight="1" thickBot="1" x14ac:dyDescent="0.3">
      <c r="A1246" s="124"/>
      <c r="B1246" s="125"/>
      <c r="F1246" s="124"/>
    </row>
    <row r="1247" spans="1:6" ht="15.75" customHeight="1" thickBot="1" x14ac:dyDescent="0.3">
      <c r="A1247" s="124"/>
      <c r="B1247" s="125"/>
      <c r="F1247" s="124"/>
    </row>
    <row r="1248" spans="1:6" ht="15.75" customHeight="1" thickBot="1" x14ac:dyDescent="0.3">
      <c r="A1248" s="124"/>
      <c r="B1248" s="125"/>
      <c r="F1248" s="124"/>
    </row>
    <row r="1249" spans="1:6" ht="15.75" customHeight="1" thickBot="1" x14ac:dyDescent="0.3">
      <c r="A1249" s="124"/>
      <c r="B1249" s="125"/>
      <c r="F1249" s="124"/>
    </row>
    <row r="1250" spans="1:6" ht="15.75" customHeight="1" thickBot="1" x14ac:dyDescent="0.3">
      <c r="A1250" s="124"/>
      <c r="B1250" s="125"/>
      <c r="F1250" s="124"/>
    </row>
    <row r="1251" spans="1:6" ht="15.75" customHeight="1" thickBot="1" x14ac:dyDescent="0.3">
      <c r="A1251" s="124"/>
      <c r="B1251" s="125"/>
      <c r="F1251" s="124"/>
    </row>
    <row r="1252" spans="1:6" ht="15.75" customHeight="1" thickBot="1" x14ac:dyDescent="0.3">
      <c r="A1252" s="124"/>
      <c r="B1252" s="125"/>
      <c r="F1252" s="124"/>
    </row>
    <row r="1253" spans="1:6" ht="15.75" customHeight="1" thickBot="1" x14ac:dyDescent="0.3">
      <c r="A1253" s="124"/>
      <c r="B1253" s="125"/>
      <c r="F1253" s="124"/>
    </row>
    <row r="1254" spans="1:6" ht="15.75" customHeight="1" thickBot="1" x14ac:dyDescent="0.3">
      <c r="A1254" s="124"/>
      <c r="B1254" s="125"/>
      <c r="F1254" s="124"/>
    </row>
    <row r="1255" spans="1:6" ht="15.75" customHeight="1" thickBot="1" x14ac:dyDescent="0.3">
      <c r="A1255" s="124"/>
      <c r="B1255" s="125"/>
      <c r="F1255" s="124"/>
    </row>
    <row r="1256" spans="1:6" ht="15.75" customHeight="1" thickBot="1" x14ac:dyDescent="0.3">
      <c r="A1256" s="124"/>
      <c r="B1256" s="125"/>
      <c r="F1256" s="124"/>
    </row>
    <row r="1257" spans="1:6" ht="15.75" customHeight="1" thickBot="1" x14ac:dyDescent="0.3">
      <c r="A1257" s="124"/>
      <c r="B1257" s="125"/>
      <c r="F1257" s="124"/>
    </row>
    <row r="1258" spans="1:6" ht="15.75" customHeight="1" thickBot="1" x14ac:dyDescent="0.3">
      <c r="A1258" s="124"/>
      <c r="B1258" s="125"/>
      <c r="F1258" s="124"/>
    </row>
    <row r="1259" spans="1:6" ht="15.75" customHeight="1" thickBot="1" x14ac:dyDescent="0.3">
      <c r="A1259" s="124"/>
      <c r="B1259" s="125"/>
      <c r="F1259" s="124"/>
    </row>
    <row r="1260" spans="1:6" ht="15.75" customHeight="1" thickBot="1" x14ac:dyDescent="0.3">
      <c r="A1260" s="124"/>
      <c r="B1260" s="125"/>
      <c r="F1260" s="124"/>
    </row>
    <row r="1261" spans="1:6" ht="15.75" customHeight="1" thickBot="1" x14ac:dyDescent="0.3">
      <c r="A1261" s="124"/>
      <c r="B1261" s="125"/>
      <c r="F1261" s="124"/>
    </row>
    <row r="1262" spans="1:6" ht="15.75" customHeight="1" thickBot="1" x14ac:dyDescent="0.3">
      <c r="A1262" s="124"/>
      <c r="B1262" s="125"/>
      <c r="F1262" s="124"/>
    </row>
    <row r="1263" spans="1:6" ht="15.75" customHeight="1" thickBot="1" x14ac:dyDescent="0.3">
      <c r="A1263" s="124"/>
      <c r="B1263" s="125"/>
      <c r="F1263" s="124"/>
    </row>
    <row r="1264" spans="1:6" ht="15.75" customHeight="1" thickBot="1" x14ac:dyDescent="0.3">
      <c r="A1264" s="124"/>
      <c r="B1264" s="125"/>
      <c r="F1264" s="124"/>
    </row>
    <row r="1265" spans="1:6" ht="15.75" customHeight="1" thickBot="1" x14ac:dyDescent="0.3">
      <c r="A1265" s="124"/>
      <c r="B1265" s="125"/>
      <c r="F1265" s="124"/>
    </row>
    <row r="1266" spans="1:6" ht="15.75" customHeight="1" thickBot="1" x14ac:dyDescent="0.3">
      <c r="A1266" s="124"/>
      <c r="B1266" s="125"/>
      <c r="F1266" s="124"/>
    </row>
    <row r="1267" spans="1:6" ht="15.75" customHeight="1" thickBot="1" x14ac:dyDescent="0.3">
      <c r="A1267" s="124"/>
      <c r="B1267" s="125"/>
      <c r="F1267" s="124"/>
    </row>
    <row r="1268" spans="1:6" ht="15.75" customHeight="1" thickBot="1" x14ac:dyDescent="0.3">
      <c r="A1268" s="124"/>
      <c r="B1268" s="125"/>
      <c r="F1268" s="124"/>
    </row>
    <row r="1269" spans="1:6" ht="15.75" customHeight="1" thickBot="1" x14ac:dyDescent="0.3">
      <c r="A1269" s="124"/>
      <c r="B1269" s="125"/>
      <c r="F1269" s="124"/>
    </row>
    <row r="1270" spans="1:6" ht="15.75" customHeight="1" thickBot="1" x14ac:dyDescent="0.3">
      <c r="A1270" s="124"/>
      <c r="B1270" s="125"/>
      <c r="F1270" s="124"/>
    </row>
    <row r="1271" spans="1:6" ht="15.75" customHeight="1" thickBot="1" x14ac:dyDescent="0.3">
      <c r="A1271" s="124"/>
      <c r="B1271" s="125"/>
      <c r="F1271" s="124"/>
    </row>
    <row r="1272" spans="1:6" ht="15.75" customHeight="1" thickBot="1" x14ac:dyDescent="0.3">
      <c r="A1272" s="124"/>
      <c r="B1272" s="125"/>
      <c r="F1272" s="124"/>
    </row>
    <row r="1273" spans="1:6" ht="15.75" customHeight="1" thickBot="1" x14ac:dyDescent="0.3">
      <c r="A1273" s="124"/>
      <c r="B1273" s="125"/>
      <c r="F1273" s="124"/>
    </row>
    <row r="1274" spans="1:6" ht="15.75" customHeight="1" thickBot="1" x14ac:dyDescent="0.3">
      <c r="A1274" s="124"/>
      <c r="B1274" s="125"/>
      <c r="F1274" s="124"/>
    </row>
    <row r="1275" spans="1:6" ht="15.75" customHeight="1" thickBot="1" x14ac:dyDescent="0.3">
      <c r="A1275" s="124"/>
      <c r="B1275" s="125"/>
      <c r="F1275" s="124"/>
    </row>
    <row r="1276" spans="1:6" ht="15.75" customHeight="1" thickBot="1" x14ac:dyDescent="0.3">
      <c r="A1276" s="124"/>
      <c r="B1276" s="125"/>
      <c r="F1276" s="124"/>
    </row>
    <row r="1277" spans="1:6" ht="15.75" customHeight="1" thickBot="1" x14ac:dyDescent="0.3">
      <c r="A1277" s="124"/>
      <c r="B1277" s="125"/>
      <c r="F1277" s="124"/>
    </row>
    <row r="1278" spans="1:6" ht="15.75" customHeight="1" thickBot="1" x14ac:dyDescent="0.3">
      <c r="A1278" s="124"/>
      <c r="B1278" s="125"/>
      <c r="F1278" s="124"/>
    </row>
    <row r="1279" spans="1:6" ht="15.75" customHeight="1" thickBot="1" x14ac:dyDescent="0.3">
      <c r="A1279" s="124"/>
      <c r="B1279" s="125"/>
      <c r="F1279" s="124"/>
    </row>
    <row r="1280" spans="1:6" ht="15.75" customHeight="1" thickBot="1" x14ac:dyDescent="0.3">
      <c r="A1280" s="124"/>
      <c r="B1280" s="125"/>
      <c r="F1280" s="124"/>
    </row>
    <row r="1281" spans="1:6" ht="15.75" customHeight="1" thickBot="1" x14ac:dyDescent="0.3">
      <c r="A1281" s="124"/>
      <c r="B1281" s="125"/>
      <c r="F1281" s="124"/>
    </row>
    <row r="1282" spans="1:6" ht="15.75" customHeight="1" thickBot="1" x14ac:dyDescent="0.3">
      <c r="A1282" s="124"/>
      <c r="B1282" s="125"/>
      <c r="F1282" s="124"/>
    </row>
    <row r="1283" spans="1:6" ht="15.75" customHeight="1" thickBot="1" x14ac:dyDescent="0.3">
      <c r="A1283" s="124"/>
      <c r="B1283" s="125"/>
      <c r="F1283" s="124"/>
    </row>
    <row r="1284" spans="1:6" ht="15.75" customHeight="1" thickBot="1" x14ac:dyDescent="0.3">
      <c r="A1284" s="124"/>
      <c r="B1284" s="125"/>
      <c r="F1284" s="124"/>
    </row>
    <row r="1285" spans="1:6" ht="15.75" customHeight="1" thickBot="1" x14ac:dyDescent="0.3">
      <c r="A1285" s="124"/>
      <c r="B1285" s="125"/>
      <c r="F1285" s="124"/>
    </row>
    <row r="1286" spans="1:6" ht="15.75" customHeight="1" thickBot="1" x14ac:dyDescent="0.3">
      <c r="A1286" s="124"/>
      <c r="B1286" s="125"/>
      <c r="F1286" s="124"/>
    </row>
    <row r="1287" spans="1:6" ht="15.75" customHeight="1" thickBot="1" x14ac:dyDescent="0.3">
      <c r="A1287" s="124"/>
      <c r="B1287" s="125"/>
      <c r="F1287" s="124"/>
    </row>
    <row r="1288" spans="1:6" ht="15.75" customHeight="1" thickBot="1" x14ac:dyDescent="0.3">
      <c r="A1288" s="124"/>
      <c r="B1288" s="125"/>
      <c r="F1288" s="124"/>
    </row>
    <row r="1289" spans="1:6" ht="15.75" customHeight="1" thickBot="1" x14ac:dyDescent="0.3">
      <c r="A1289" s="124"/>
      <c r="B1289" s="125"/>
      <c r="F1289" s="124"/>
    </row>
    <row r="1290" spans="1:6" ht="15.75" customHeight="1" thickBot="1" x14ac:dyDescent="0.3">
      <c r="A1290" s="124"/>
      <c r="B1290" s="125"/>
      <c r="F1290" s="124"/>
    </row>
    <row r="1291" spans="1:6" ht="15.75" customHeight="1" thickBot="1" x14ac:dyDescent="0.3">
      <c r="A1291" s="124"/>
      <c r="B1291" s="125"/>
      <c r="F1291" s="124"/>
    </row>
    <row r="1292" spans="1:6" ht="15.75" customHeight="1" thickBot="1" x14ac:dyDescent="0.3">
      <c r="A1292" s="124"/>
      <c r="B1292" s="125"/>
      <c r="F1292" s="124"/>
    </row>
    <row r="1293" spans="1:6" ht="15.75" customHeight="1" thickBot="1" x14ac:dyDescent="0.3">
      <c r="A1293" s="124"/>
      <c r="B1293" s="125"/>
      <c r="F1293" s="124"/>
    </row>
    <row r="1294" spans="1:6" ht="15.75" customHeight="1" thickBot="1" x14ac:dyDescent="0.3">
      <c r="A1294" s="124"/>
      <c r="B1294" s="125"/>
      <c r="F1294" s="124"/>
    </row>
    <row r="1295" spans="1:6" ht="15.75" customHeight="1" thickBot="1" x14ac:dyDescent="0.3">
      <c r="A1295" s="124"/>
      <c r="B1295" s="125"/>
      <c r="F1295" s="124"/>
    </row>
    <row r="1296" spans="1:6" ht="15.75" customHeight="1" thickBot="1" x14ac:dyDescent="0.3">
      <c r="A1296" s="124"/>
      <c r="B1296" s="125"/>
      <c r="F1296" s="124"/>
    </row>
    <row r="1297" spans="1:6" ht="15.75" customHeight="1" thickBot="1" x14ac:dyDescent="0.3">
      <c r="A1297" s="124"/>
      <c r="B1297" s="125"/>
      <c r="F1297" s="124"/>
    </row>
    <row r="1298" spans="1:6" ht="15.75" customHeight="1" thickBot="1" x14ac:dyDescent="0.3">
      <c r="A1298" s="124"/>
      <c r="B1298" s="125"/>
      <c r="F1298" s="124"/>
    </row>
    <row r="1299" spans="1:6" ht="15.75" customHeight="1" thickBot="1" x14ac:dyDescent="0.3">
      <c r="A1299" s="124"/>
      <c r="B1299" s="125"/>
      <c r="F1299" s="124"/>
    </row>
    <row r="1300" spans="1:6" ht="15.75" customHeight="1" thickBot="1" x14ac:dyDescent="0.3">
      <c r="A1300" s="124"/>
      <c r="B1300" s="125"/>
      <c r="F1300" s="124"/>
    </row>
    <row r="1301" spans="1:6" ht="15.75" customHeight="1" thickBot="1" x14ac:dyDescent="0.3">
      <c r="A1301" s="124"/>
      <c r="B1301" s="125"/>
      <c r="F1301" s="124"/>
    </row>
    <row r="1302" spans="1:6" ht="15.75" customHeight="1" thickBot="1" x14ac:dyDescent="0.3">
      <c r="A1302" s="124"/>
      <c r="B1302" s="125"/>
      <c r="F1302" s="124"/>
    </row>
    <row r="1303" spans="1:6" ht="15.75" customHeight="1" thickBot="1" x14ac:dyDescent="0.3">
      <c r="A1303" s="124"/>
      <c r="B1303" s="125"/>
      <c r="F1303" s="124"/>
    </row>
    <row r="1304" spans="1:6" ht="15.75" customHeight="1" thickBot="1" x14ac:dyDescent="0.3">
      <c r="A1304" s="124"/>
      <c r="B1304" s="125"/>
      <c r="F1304" s="124"/>
    </row>
    <row r="1305" spans="1:6" ht="15.75" customHeight="1" thickBot="1" x14ac:dyDescent="0.3">
      <c r="A1305" s="124"/>
      <c r="B1305" s="125"/>
      <c r="F1305" s="124"/>
    </row>
    <row r="1306" spans="1:6" ht="15.75" customHeight="1" thickBot="1" x14ac:dyDescent="0.3">
      <c r="A1306" s="124"/>
      <c r="B1306" s="125"/>
      <c r="F1306" s="124"/>
    </row>
    <row r="1307" spans="1:6" ht="15.75" customHeight="1" thickBot="1" x14ac:dyDescent="0.3">
      <c r="A1307" s="124"/>
      <c r="B1307" s="125"/>
      <c r="F1307" s="124"/>
    </row>
    <row r="1308" spans="1:6" ht="15.75" customHeight="1" thickBot="1" x14ac:dyDescent="0.3">
      <c r="A1308" s="124"/>
      <c r="B1308" s="125"/>
      <c r="F1308" s="124"/>
    </row>
    <row r="1309" spans="1:6" ht="15.75" customHeight="1" thickBot="1" x14ac:dyDescent="0.3">
      <c r="A1309" s="124"/>
      <c r="B1309" s="125"/>
      <c r="F1309" s="124"/>
    </row>
    <row r="1310" spans="1:6" ht="15.75" customHeight="1" thickBot="1" x14ac:dyDescent="0.3">
      <c r="A1310" s="124"/>
      <c r="B1310" s="125"/>
      <c r="F1310" s="124"/>
    </row>
    <row r="1311" spans="1:6" ht="15.75" customHeight="1" thickBot="1" x14ac:dyDescent="0.3">
      <c r="A1311" s="124"/>
      <c r="B1311" s="125"/>
      <c r="F1311" s="124"/>
    </row>
    <row r="1312" spans="1:6" ht="15.75" customHeight="1" thickBot="1" x14ac:dyDescent="0.3">
      <c r="A1312" s="124"/>
      <c r="B1312" s="125"/>
      <c r="F1312" s="124"/>
    </row>
    <row r="1313" spans="1:6" ht="15.75" customHeight="1" thickBot="1" x14ac:dyDescent="0.3">
      <c r="A1313" s="124"/>
      <c r="B1313" s="125"/>
      <c r="F1313" s="124"/>
    </row>
    <row r="1314" spans="1:6" ht="15.75" customHeight="1" thickBot="1" x14ac:dyDescent="0.3">
      <c r="A1314" s="124"/>
      <c r="B1314" s="125"/>
      <c r="F1314" s="124"/>
    </row>
    <row r="1315" spans="1:6" ht="15.75" customHeight="1" thickBot="1" x14ac:dyDescent="0.3">
      <c r="A1315" s="124"/>
      <c r="B1315" s="125"/>
      <c r="F1315" s="124"/>
    </row>
    <row r="1316" spans="1:6" ht="15.75" customHeight="1" thickBot="1" x14ac:dyDescent="0.3">
      <c r="A1316" s="124"/>
      <c r="B1316" s="125"/>
      <c r="F1316" s="124"/>
    </row>
    <row r="1317" spans="1:6" ht="15.75" customHeight="1" thickBot="1" x14ac:dyDescent="0.3">
      <c r="A1317" s="124"/>
      <c r="B1317" s="125"/>
      <c r="F1317" s="124"/>
    </row>
    <row r="1318" spans="1:6" ht="15.75" customHeight="1" thickBot="1" x14ac:dyDescent="0.3">
      <c r="A1318" s="124"/>
      <c r="B1318" s="125"/>
      <c r="F1318" s="124"/>
    </row>
    <row r="1319" spans="1:6" ht="15.75" customHeight="1" thickBot="1" x14ac:dyDescent="0.3">
      <c r="A1319" s="124"/>
      <c r="B1319" s="125"/>
      <c r="F1319" s="124"/>
    </row>
    <row r="1320" spans="1:6" ht="15.75" customHeight="1" thickBot="1" x14ac:dyDescent="0.3">
      <c r="A1320" s="124"/>
      <c r="B1320" s="125"/>
      <c r="F1320" s="124"/>
    </row>
    <row r="1321" spans="1:6" ht="15.75" customHeight="1" thickBot="1" x14ac:dyDescent="0.3">
      <c r="A1321" s="124"/>
      <c r="B1321" s="125"/>
      <c r="F1321" s="124"/>
    </row>
    <row r="1322" spans="1:6" ht="15.75" customHeight="1" thickBot="1" x14ac:dyDescent="0.3">
      <c r="A1322" s="124"/>
      <c r="B1322" s="125"/>
      <c r="F1322" s="124"/>
    </row>
    <row r="1323" spans="1:6" ht="15.75" customHeight="1" thickBot="1" x14ac:dyDescent="0.3">
      <c r="A1323" s="124"/>
      <c r="B1323" s="125"/>
      <c r="F1323" s="124"/>
    </row>
    <row r="1324" spans="1:6" ht="15.75" customHeight="1" thickBot="1" x14ac:dyDescent="0.3">
      <c r="A1324" s="124"/>
      <c r="B1324" s="125"/>
      <c r="F1324" s="124"/>
    </row>
    <row r="1325" spans="1:6" ht="15.75" customHeight="1" thickBot="1" x14ac:dyDescent="0.3">
      <c r="A1325" s="124"/>
      <c r="B1325" s="125"/>
      <c r="F1325" s="124"/>
    </row>
    <row r="1326" spans="1:6" ht="15.75" customHeight="1" thickBot="1" x14ac:dyDescent="0.3">
      <c r="A1326" s="124"/>
      <c r="B1326" s="125"/>
      <c r="F1326" s="124"/>
    </row>
    <row r="1327" spans="1:6" ht="15.75" customHeight="1" thickBot="1" x14ac:dyDescent="0.3">
      <c r="A1327" s="124"/>
      <c r="B1327" s="125"/>
      <c r="F1327" s="124"/>
    </row>
    <row r="1328" spans="1:6" ht="15.75" customHeight="1" thickBot="1" x14ac:dyDescent="0.3">
      <c r="A1328" s="124"/>
      <c r="B1328" s="125"/>
      <c r="F1328" s="124"/>
    </row>
    <row r="1329" spans="1:6" ht="15.75" customHeight="1" thickBot="1" x14ac:dyDescent="0.3">
      <c r="A1329" s="124"/>
      <c r="B1329" s="125"/>
      <c r="F1329" s="124"/>
    </row>
    <row r="1330" spans="1:6" ht="15.75" customHeight="1" thickBot="1" x14ac:dyDescent="0.3">
      <c r="A1330" s="124"/>
      <c r="B1330" s="125"/>
      <c r="F1330" s="124"/>
    </row>
    <row r="1331" spans="1:6" ht="15.75" customHeight="1" thickBot="1" x14ac:dyDescent="0.3">
      <c r="A1331" s="124"/>
      <c r="B1331" s="125"/>
      <c r="F1331" s="124"/>
    </row>
    <row r="1332" spans="1:6" ht="15.75" customHeight="1" thickBot="1" x14ac:dyDescent="0.3">
      <c r="A1332" s="124"/>
      <c r="B1332" s="125"/>
      <c r="F1332" s="124"/>
    </row>
    <row r="1333" spans="1:6" ht="15.75" customHeight="1" thickBot="1" x14ac:dyDescent="0.3">
      <c r="A1333" s="124"/>
      <c r="B1333" s="125"/>
      <c r="F1333" s="124"/>
    </row>
    <row r="1334" spans="1:6" ht="15.75" customHeight="1" thickBot="1" x14ac:dyDescent="0.3">
      <c r="A1334" s="124"/>
      <c r="B1334" s="125"/>
      <c r="F1334" s="124"/>
    </row>
    <row r="1335" spans="1:6" ht="15.75" customHeight="1" thickBot="1" x14ac:dyDescent="0.3">
      <c r="A1335" s="124"/>
      <c r="B1335" s="125"/>
      <c r="F1335" s="124"/>
    </row>
    <row r="1336" spans="1:6" ht="15.75" customHeight="1" thickBot="1" x14ac:dyDescent="0.3">
      <c r="A1336" s="124"/>
      <c r="B1336" s="125"/>
      <c r="F1336" s="124"/>
    </row>
    <row r="1337" spans="1:6" ht="15.75" customHeight="1" thickBot="1" x14ac:dyDescent="0.3">
      <c r="A1337" s="124"/>
      <c r="B1337" s="125"/>
      <c r="F1337" s="124"/>
    </row>
    <row r="1338" spans="1:6" ht="15.75" customHeight="1" thickBot="1" x14ac:dyDescent="0.3">
      <c r="A1338" s="124"/>
      <c r="B1338" s="125"/>
      <c r="F1338" s="124"/>
    </row>
    <row r="1339" spans="1:6" ht="15.75" customHeight="1" thickBot="1" x14ac:dyDescent="0.3">
      <c r="A1339" s="124"/>
      <c r="B1339" s="125"/>
      <c r="F1339" s="124"/>
    </row>
    <row r="1340" spans="1:6" ht="15.75" customHeight="1" thickBot="1" x14ac:dyDescent="0.3">
      <c r="A1340" s="124"/>
      <c r="B1340" s="125"/>
      <c r="F1340" s="124"/>
    </row>
    <row r="1341" spans="1:6" ht="15.75" customHeight="1" thickBot="1" x14ac:dyDescent="0.3">
      <c r="A1341" s="124"/>
      <c r="B1341" s="125"/>
      <c r="F1341" s="124"/>
    </row>
    <row r="1342" spans="1:6" ht="15.75" customHeight="1" thickBot="1" x14ac:dyDescent="0.3">
      <c r="A1342" s="124"/>
      <c r="B1342" s="125"/>
      <c r="F1342" s="124"/>
    </row>
    <row r="1343" spans="1:6" ht="15.75" customHeight="1" thickBot="1" x14ac:dyDescent="0.3">
      <c r="A1343" s="124"/>
      <c r="B1343" s="125"/>
      <c r="F1343" s="124"/>
    </row>
    <row r="1344" spans="1:6" ht="15.75" customHeight="1" thickBot="1" x14ac:dyDescent="0.3">
      <c r="A1344" s="124"/>
      <c r="B1344" s="125"/>
      <c r="F1344" s="124"/>
    </row>
    <row r="1345" spans="1:6" ht="15.75" customHeight="1" thickBot="1" x14ac:dyDescent="0.3">
      <c r="A1345" s="124"/>
      <c r="B1345" s="125"/>
      <c r="F1345" s="124"/>
    </row>
    <row r="1346" spans="1:6" ht="15.75" customHeight="1" thickBot="1" x14ac:dyDescent="0.3">
      <c r="A1346" s="124"/>
      <c r="B1346" s="125"/>
      <c r="F1346" s="124"/>
    </row>
    <row r="1347" spans="1:6" ht="15.75" customHeight="1" thickBot="1" x14ac:dyDescent="0.3">
      <c r="A1347" s="124"/>
      <c r="B1347" s="125"/>
      <c r="F1347" s="124"/>
    </row>
    <row r="1348" spans="1:6" ht="15.75" customHeight="1" thickBot="1" x14ac:dyDescent="0.3">
      <c r="A1348" s="124"/>
      <c r="B1348" s="125"/>
      <c r="F1348" s="124"/>
    </row>
    <row r="1349" spans="1:6" ht="15.75" customHeight="1" thickBot="1" x14ac:dyDescent="0.3">
      <c r="A1349" s="124"/>
      <c r="B1349" s="125"/>
      <c r="F1349" s="124"/>
    </row>
    <row r="1350" spans="1:6" ht="15.75" customHeight="1" thickBot="1" x14ac:dyDescent="0.3">
      <c r="A1350" s="124"/>
      <c r="B1350" s="125"/>
      <c r="F1350" s="124"/>
    </row>
    <row r="1351" spans="1:6" ht="15.75" customHeight="1" thickBot="1" x14ac:dyDescent="0.3">
      <c r="A1351" s="124"/>
      <c r="B1351" s="125"/>
      <c r="F1351" s="124"/>
    </row>
    <row r="1352" spans="1:6" ht="15.75" customHeight="1" thickBot="1" x14ac:dyDescent="0.3">
      <c r="A1352" s="124"/>
      <c r="B1352" s="125"/>
      <c r="F1352" s="124"/>
    </row>
    <row r="1353" spans="1:6" ht="15.75" customHeight="1" thickBot="1" x14ac:dyDescent="0.3">
      <c r="A1353" s="124"/>
      <c r="B1353" s="125"/>
      <c r="F1353" s="124"/>
    </row>
    <row r="1354" spans="1:6" ht="15.75" customHeight="1" thickBot="1" x14ac:dyDescent="0.3">
      <c r="A1354" s="124"/>
      <c r="B1354" s="125"/>
      <c r="F1354" s="124"/>
    </row>
    <row r="1355" spans="1:6" ht="15.75" customHeight="1" thickBot="1" x14ac:dyDescent="0.3">
      <c r="A1355" s="124"/>
      <c r="B1355" s="125"/>
      <c r="F1355" s="124"/>
    </row>
    <row r="1356" spans="1:6" ht="15.75" customHeight="1" thickBot="1" x14ac:dyDescent="0.3">
      <c r="A1356" s="124"/>
      <c r="B1356" s="125"/>
      <c r="F1356" s="124"/>
    </row>
    <row r="1357" spans="1:6" ht="15.75" customHeight="1" thickBot="1" x14ac:dyDescent="0.3">
      <c r="A1357" s="124"/>
      <c r="B1357" s="125"/>
      <c r="F1357" s="124"/>
    </row>
    <row r="1358" spans="1:6" ht="15.75" customHeight="1" thickBot="1" x14ac:dyDescent="0.3">
      <c r="A1358" s="124"/>
      <c r="B1358" s="125"/>
      <c r="F1358" s="124"/>
    </row>
    <row r="1359" spans="1:6" ht="15.75" customHeight="1" thickBot="1" x14ac:dyDescent="0.3">
      <c r="A1359" s="124"/>
      <c r="B1359" s="125"/>
      <c r="F1359" s="124"/>
    </row>
    <row r="1360" spans="1:6" ht="15.75" customHeight="1" thickBot="1" x14ac:dyDescent="0.3">
      <c r="A1360" s="124"/>
      <c r="B1360" s="125"/>
      <c r="F1360" s="124"/>
    </row>
    <row r="1361" spans="1:6" ht="15.75" customHeight="1" thickBot="1" x14ac:dyDescent="0.3">
      <c r="A1361" s="124"/>
      <c r="B1361" s="125"/>
      <c r="F1361" s="124"/>
    </row>
    <row r="1362" spans="1:6" ht="15.75" customHeight="1" thickBot="1" x14ac:dyDescent="0.3">
      <c r="A1362" s="124"/>
      <c r="B1362" s="125"/>
      <c r="F1362" s="124"/>
    </row>
    <row r="1363" spans="1:6" ht="15.75" customHeight="1" thickBot="1" x14ac:dyDescent="0.3">
      <c r="A1363" s="124"/>
      <c r="B1363" s="125"/>
      <c r="F1363" s="124"/>
    </row>
    <row r="1364" spans="1:6" ht="15.75" customHeight="1" thickBot="1" x14ac:dyDescent="0.3">
      <c r="A1364" s="124"/>
      <c r="B1364" s="125"/>
      <c r="F1364" s="124"/>
    </row>
    <row r="1365" spans="1:6" ht="15.75" customHeight="1" thickBot="1" x14ac:dyDescent="0.3">
      <c r="A1365" s="124"/>
      <c r="B1365" s="125"/>
      <c r="F1365" s="124"/>
    </row>
    <row r="1366" spans="1:6" ht="15.75" customHeight="1" thickBot="1" x14ac:dyDescent="0.3">
      <c r="A1366" s="124"/>
      <c r="B1366" s="125"/>
      <c r="F1366" s="124"/>
    </row>
    <row r="1367" spans="1:6" ht="15.75" customHeight="1" thickBot="1" x14ac:dyDescent="0.3">
      <c r="A1367" s="124"/>
      <c r="B1367" s="125"/>
      <c r="F1367" s="124"/>
    </row>
    <row r="1368" spans="1:6" ht="15.75" customHeight="1" thickBot="1" x14ac:dyDescent="0.3">
      <c r="A1368" s="124"/>
      <c r="B1368" s="125"/>
      <c r="F1368" s="124"/>
    </row>
    <row r="1369" spans="1:6" ht="15.75" customHeight="1" thickBot="1" x14ac:dyDescent="0.3">
      <c r="A1369" s="124"/>
      <c r="B1369" s="125"/>
      <c r="F1369" s="124"/>
    </row>
    <row r="1370" spans="1:6" ht="15.75" customHeight="1" thickBot="1" x14ac:dyDescent="0.3">
      <c r="A1370" s="124"/>
      <c r="B1370" s="125"/>
      <c r="F1370" s="124"/>
    </row>
    <row r="1371" spans="1:6" ht="15.75" customHeight="1" thickBot="1" x14ac:dyDescent="0.3">
      <c r="A1371" s="124"/>
      <c r="B1371" s="125"/>
      <c r="F1371" s="124"/>
    </row>
    <row r="1372" spans="1:6" ht="15.75" customHeight="1" thickBot="1" x14ac:dyDescent="0.3">
      <c r="A1372" s="124"/>
      <c r="B1372" s="125"/>
      <c r="F1372" s="124"/>
    </row>
    <row r="1373" spans="1:6" ht="15.75" customHeight="1" thickBot="1" x14ac:dyDescent="0.3">
      <c r="A1373" s="124"/>
      <c r="B1373" s="125"/>
      <c r="F1373" s="124"/>
    </row>
    <row r="1374" spans="1:6" ht="15.75" customHeight="1" thickBot="1" x14ac:dyDescent="0.3">
      <c r="A1374" s="124"/>
      <c r="B1374" s="125"/>
      <c r="F1374" s="124"/>
    </row>
    <row r="1375" spans="1:6" ht="15.75" customHeight="1" thickBot="1" x14ac:dyDescent="0.3">
      <c r="A1375" s="124"/>
      <c r="B1375" s="125"/>
      <c r="F1375" s="124"/>
    </row>
    <row r="1376" spans="1:6" ht="15.75" customHeight="1" thickBot="1" x14ac:dyDescent="0.3">
      <c r="A1376" s="124"/>
      <c r="B1376" s="125"/>
      <c r="F1376" s="124"/>
    </row>
    <row r="1377" spans="1:6" ht="15.75" customHeight="1" thickBot="1" x14ac:dyDescent="0.3">
      <c r="A1377" s="124"/>
      <c r="B1377" s="125"/>
      <c r="F1377" s="124"/>
    </row>
    <row r="1378" spans="1:6" ht="15.75" customHeight="1" thickBot="1" x14ac:dyDescent="0.3">
      <c r="A1378" s="124"/>
      <c r="B1378" s="125"/>
      <c r="F1378" s="124"/>
    </row>
    <row r="1379" spans="1:6" ht="15.75" customHeight="1" thickBot="1" x14ac:dyDescent="0.3">
      <c r="A1379" s="124"/>
      <c r="B1379" s="125"/>
      <c r="F1379" s="124"/>
    </row>
    <row r="1380" spans="1:6" ht="15.75" customHeight="1" thickBot="1" x14ac:dyDescent="0.3">
      <c r="A1380" s="124"/>
      <c r="B1380" s="125"/>
      <c r="F1380" s="124"/>
    </row>
    <row r="1381" spans="1:6" ht="15.75" customHeight="1" thickBot="1" x14ac:dyDescent="0.3">
      <c r="A1381" s="124"/>
      <c r="B1381" s="125"/>
      <c r="F1381" s="124"/>
    </row>
    <row r="1382" spans="1:6" ht="15.75" customHeight="1" thickBot="1" x14ac:dyDescent="0.3">
      <c r="A1382" s="124"/>
      <c r="B1382" s="125"/>
      <c r="F1382" s="124"/>
    </row>
    <row r="1383" spans="1:6" ht="15.75" customHeight="1" thickBot="1" x14ac:dyDescent="0.3">
      <c r="A1383" s="124"/>
      <c r="B1383" s="125"/>
      <c r="F1383" s="124"/>
    </row>
    <row r="1384" spans="1:6" ht="15.75" customHeight="1" thickBot="1" x14ac:dyDescent="0.3">
      <c r="A1384" s="124"/>
      <c r="B1384" s="125"/>
      <c r="F1384" s="124"/>
    </row>
    <row r="1385" spans="1:6" ht="15.75" customHeight="1" thickBot="1" x14ac:dyDescent="0.3">
      <c r="A1385" s="124"/>
      <c r="B1385" s="125"/>
      <c r="F1385" s="124"/>
    </row>
    <row r="1386" spans="1:6" ht="15.75" customHeight="1" thickBot="1" x14ac:dyDescent="0.3">
      <c r="A1386" s="124"/>
      <c r="B1386" s="125"/>
      <c r="F1386" s="124"/>
    </row>
    <row r="1387" spans="1:6" ht="15.75" customHeight="1" thickBot="1" x14ac:dyDescent="0.3">
      <c r="A1387" s="124"/>
      <c r="B1387" s="125"/>
      <c r="F1387" s="124"/>
    </row>
    <row r="1388" spans="1:6" ht="15.75" customHeight="1" thickBot="1" x14ac:dyDescent="0.3">
      <c r="A1388" s="124"/>
      <c r="B1388" s="125"/>
      <c r="F1388" s="124"/>
    </row>
    <row r="1389" spans="1:6" ht="15.75" customHeight="1" thickBot="1" x14ac:dyDescent="0.3">
      <c r="A1389" s="124"/>
      <c r="B1389" s="125"/>
      <c r="F1389" s="124"/>
    </row>
    <row r="1390" spans="1:6" ht="15.75" customHeight="1" thickBot="1" x14ac:dyDescent="0.3">
      <c r="A1390" s="124"/>
      <c r="B1390" s="125"/>
      <c r="F1390" s="124"/>
    </row>
    <row r="1391" spans="1:6" ht="15.75" customHeight="1" thickBot="1" x14ac:dyDescent="0.3">
      <c r="A1391" s="124"/>
      <c r="B1391" s="125"/>
      <c r="F1391" s="124"/>
    </row>
    <row r="1392" spans="1:6" ht="15.75" customHeight="1" thickBot="1" x14ac:dyDescent="0.3">
      <c r="A1392" s="124"/>
      <c r="B1392" s="125"/>
      <c r="F1392" s="124"/>
    </row>
    <row r="1393" spans="1:6" ht="15.75" customHeight="1" thickBot="1" x14ac:dyDescent="0.3">
      <c r="A1393" s="124"/>
      <c r="B1393" s="125"/>
      <c r="F1393" s="124"/>
    </row>
    <row r="1394" spans="1:6" ht="15.75" customHeight="1" thickBot="1" x14ac:dyDescent="0.3">
      <c r="A1394" s="124"/>
      <c r="B1394" s="125"/>
      <c r="F1394" s="124"/>
    </row>
    <row r="1395" spans="1:6" ht="15.75" customHeight="1" thickBot="1" x14ac:dyDescent="0.3">
      <c r="A1395" s="124"/>
      <c r="B1395" s="125"/>
      <c r="F1395" s="124"/>
    </row>
    <row r="1396" spans="1:6" ht="15.75" customHeight="1" thickBot="1" x14ac:dyDescent="0.3">
      <c r="A1396" s="124"/>
      <c r="B1396" s="125"/>
      <c r="F1396" s="124"/>
    </row>
    <row r="1397" spans="1:6" ht="15.75" customHeight="1" thickBot="1" x14ac:dyDescent="0.3">
      <c r="A1397" s="124"/>
      <c r="B1397" s="125"/>
      <c r="F1397" s="124"/>
    </row>
    <row r="1398" spans="1:6" ht="15.75" customHeight="1" thickBot="1" x14ac:dyDescent="0.3">
      <c r="A1398" s="124"/>
      <c r="B1398" s="125"/>
      <c r="F1398" s="124"/>
    </row>
    <row r="1399" spans="1:6" ht="15.75" customHeight="1" thickBot="1" x14ac:dyDescent="0.3">
      <c r="A1399" s="124"/>
      <c r="B1399" s="125"/>
      <c r="F1399" s="124"/>
    </row>
    <row r="1400" spans="1:6" ht="15.75" customHeight="1" thickBot="1" x14ac:dyDescent="0.3">
      <c r="A1400" s="124"/>
      <c r="B1400" s="125"/>
      <c r="F1400" s="124"/>
    </row>
    <row r="1401" spans="1:6" ht="15.75" customHeight="1" thickBot="1" x14ac:dyDescent="0.3">
      <c r="A1401" s="124"/>
      <c r="B1401" s="125"/>
      <c r="F1401" s="124"/>
    </row>
    <row r="1402" spans="1:6" ht="15.75" customHeight="1" thickBot="1" x14ac:dyDescent="0.3">
      <c r="A1402" s="124"/>
      <c r="B1402" s="125"/>
      <c r="F1402" s="124"/>
    </row>
    <row r="1403" spans="1:6" ht="15.75" customHeight="1" thickBot="1" x14ac:dyDescent="0.3">
      <c r="A1403" s="124"/>
      <c r="B1403" s="125"/>
      <c r="F1403" s="124"/>
    </row>
    <row r="1404" spans="1:6" ht="15.75" customHeight="1" thickBot="1" x14ac:dyDescent="0.3">
      <c r="A1404" s="124"/>
      <c r="B1404" s="125"/>
      <c r="F1404" s="124"/>
    </row>
    <row r="1405" spans="1:6" ht="15.75" customHeight="1" thickBot="1" x14ac:dyDescent="0.3">
      <c r="A1405" s="124"/>
      <c r="B1405" s="125"/>
      <c r="F1405" s="124"/>
    </row>
    <row r="1406" spans="1:6" ht="15.75" customHeight="1" thickBot="1" x14ac:dyDescent="0.3">
      <c r="A1406" s="124"/>
      <c r="B1406" s="125"/>
      <c r="F1406" s="124"/>
    </row>
    <row r="1407" spans="1:6" ht="15.75" customHeight="1" thickBot="1" x14ac:dyDescent="0.3">
      <c r="A1407" s="124"/>
      <c r="B1407" s="125"/>
      <c r="F1407" s="124"/>
    </row>
    <row r="1408" spans="1:6" ht="15.75" customHeight="1" thickBot="1" x14ac:dyDescent="0.3">
      <c r="A1408" s="124"/>
      <c r="B1408" s="125"/>
      <c r="F1408" s="124"/>
    </row>
    <row r="1409" spans="1:6" ht="15.75" customHeight="1" thickBot="1" x14ac:dyDescent="0.3">
      <c r="A1409" s="124"/>
      <c r="B1409" s="125"/>
      <c r="F1409" s="124"/>
    </row>
    <row r="1410" spans="1:6" ht="15.75" customHeight="1" thickBot="1" x14ac:dyDescent="0.3">
      <c r="A1410" s="124"/>
      <c r="B1410" s="125"/>
      <c r="F1410" s="124"/>
    </row>
    <row r="1411" spans="1:6" ht="15.75" customHeight="1" thickBot="1" x14ac:dyDescent="0.3">
      <c r="A1411" s="124"/>
      <c r="B1411" s="125"/>
      <c r="F1411" s="124"/>
    </row>
    <row r="1412" spans="1:6" ht="15.75" customHeight="1" thickBot="1" x14ac:dyDescent="0.3">
      <c r="A1412" s="124"/>
      <c r="B1412" s="125"/>
      <c r="F1412" s="124"/>
    </row>
    <row r="1413" spans="1:6" ht="15.75" customHeight="1" thickBot="1" x14ac:dyDescent="0.3">
      <c r="A1413" s="124"/>
      <c r="B1413" s="125"/>
      <c r="F1413" s="124"/>
    </row>
    <row r="1414" spans="1:6" ht="15.75" customHeight="1" thickBot="1" x14ac:dyDescent="0.3">
      <c r="A1414" s="124"/>
      <c r="B1414" s="125"/>
      <c r="F1414" s="124"/>
    </row>
    <row r="1415" spans="1:6" ht="15.75" customHeight="1" thickBot="1" x14ac:dyDescent="0.3">
      <c r="A1415" s="124"/>
      <c r="B1415" s="125"/>
      <c r="F1415" s="124"/>
    </row>
    <row r="1416" spans="1:6" ht="15.75" customHeight="1" thickBot="1" x14ac:dyDescent="0.3">
      <c r="A1416" s="124"/>
      <c r="B1416" s="125"/>
      <c r="F1416" s="124"/>
    </row>
    <row r="1417" spans="1:6" ht="15.75" customHeight="1" thickBot="1" x14ac:dyDescent="0.3">
      <c r="A1417" s="124"/>
      <c r="B1417" s="125"/>
      <c r="F1417" s="124"/>
    </row>
    <row r="1418" spans="1:6" ht="15.75" customHeight="1" thickBot="1" x14ac:dyDescent="0.3">
      <c r="A1418" s="124"/>
      <c r="B1418" s="125"/>
      <c r="F1418" s="124"/>
    </row>
    <row r="1419" spans="1:6" ht="15.75" customHeight="1" thickBot="1" x14ac:dyDescent="0.3">
      <c r="A1419" s="124"/>
      <c r="B1419" s="125"/>
      <c r="F1419" s="124"/>
    </row>
    <row r="1420" spans="1:6" ht="15.75" customHeight="1" thickBot="1" x14ac:dyDescent="0.3">
      <c r="A1420" s="124"/>
      <c r="B1420" s="125"/>
      <c r="F1420" s="124"/>
    </row>
    <row r="1421" spans="1:6" ht="15.75" customHeight="1" thickBot="1" x14ac:dyDescent="0.3">
      <c r="A1421" s="124"/>
      <c r="B1421" s="125"/>
      <c r="F1421" s="124"/>
    </row>
    <row r="1422" spans="1:6" ht="15.75" customHeight="1" thickBot="1" x14ac:dyDescent="0.3">
      <c r="A1422" s="124"/>
      <c r="B1422" s="125"/>
      <c r="F1422" s="124"/>
    </row>
    <row r="1423" spans="1:6" ht="15.75" customHeight="1" thickBot="1" x14ac:dyDescent="0.3">
      <c r="A1423" s="124"/>
      <c r="B1423" s="125"/>
      <c r="F1423" s="124"/>
    </row>
    <row r="1424" spans="1:6" ht="15.75" customHeight="1" thickBot="1" x14ac:dyDescent="0.3">
      <c r="A1424" s="124"/>
      <c r="B1424" s="125"/>
      <c r="F1424" s="124"/>
    </row>
    <row r="1425" spans="1:6" ht="15.75" customHeight="1" thickBot="1" x14ac:dyDescent="0.3">
      <c r="A1425" s="124"/>
      <c r="B1425" s="125"/>
      <c r="F1425" s="124"/>
    </row>
    <row r="1426" spans="1:6" ht="15.75" customHeight="1" thickBot="1" x14ac:dyDescent="0.3">
      <c r="A1426" s="124"/>
      <c r="B1426" s="125"/>
      <c r="F1426" s="124"/>
    </row>
    <row r="1427" spans="1:6" ht="15.75" customHeight="1" thickBot="1" x14ac:dyDescent="0.3">
      <c r="A1427" s="124"/>
      <c r="B1427" s="125"/>
      <c r="F1427" s="124"/>
    </row>
    <row r="1428" spans="1:6" ht="15.75" customHeight="1" thickBot="1" x14ac:dyDescent="0.3">
      <c r="A1428" s="124"/>
      <c r="B1428" s="125"/>
      <c r="F1428" s="124"/>
    </row>
    <row r="1429" spans="1:6" ht="15.75" customHeight="1" thickBot="1" x14ac:dyDescent="0.3">
      <c r="A1429" s="124"/>
      <c r="B1429" s="125"/>
      <c r="F1429" s="124"/>
    </row>
    <row r="1430" spans="1:6" ht="15.75" customHeight="1" thickBot="1" x14ac:dyDescent="0.3">
      <c r="A1430" s="124"/>
      <c r="B1430" s="125"/>
      <c r="F1430" s="124"/>
    </row>
    <row r="1431" spans="1:6" ht="15.75" customHeight="1" thickBot="1" x14ac:dyDescent="0.3">
      <c r="A1431" s="124"/>
      <c r="B1431" s="125"/>
      <c r="F1431" s="124"/>
    </row>
    <row r="1432" spans="1:6" ht="15.75" customHeight="1" thickBot="1" x14ac:dyDescent="0.3">
      <c r="A1432" s="124"/>
      <c r="B1432" s="125"/>
      <c r="F1432" s="124"/>
    </row>
    <row r="1433" spans="1:6" ht="15.75" customHeight="1" thickBot="1" x14ac:dyDescent="0.3">
      <c r="A1433" s="124"/>
      <c r="B1433" s="125"/>
      <c r="F1433" s="124"/>
    </row>
    <row r="1434" spans="1:6" ht="15.75" customHeight="1" thickBot="1" x14ac:dyDescent="0.3">
      <c r="A1434" s="124"/>
      <c r="B1434" s="125"/>
      <c r="F1434" s="124"/>
    </row>
    <row r="1435" spans="1:6" ht="15.75" customHeight="1" thickBot="1" x14ac:dyDescent="0.3">
      <c r="A1435" s="124"/>
      <c r="B1435" s="125"/>
      <c r="F1435" s="124"/>
    </row>
    <row r="1436" spans="1:6" ht="15.75" customHeight="1" thickBot="1" x14ac:dyDescent="0.3">
      <c r="A1436" s="124"/>
      <c r="B1436" s="125"/>
      <c r="F1436" s="124"/>
    </row>
    <row r="1437" spans="1:6" ht="15.75" customHeight="1" thickBot="1" x14ac:dyDescent="0.3">
      <c r="A1437" s="124"/>
      <c r="B1437" s="125"/>
      <c r="F1437" s="124"/>
    </row>
    <row r="1438" spans="1:6" ht="15.75" customHeight="1" thickBot="1" x14ac:dyDescent="0.3">
      <c r="A1438" s="124"/>
      <c r="B1438" s="125"/>
      <c r="F1438" s="124"/>
    </row>
    <row r="1439" spans="1:6" ht="15.75" customHeight="1" thickBot="1" x14ac:dyDescent="0.3">
      <c r="A1439" s="124"/>
      <c r="B1439" s="125"/>
      <c r="F1439" s="124"/>
    </row>
    <row r="1440" spans="1:6" ht="15.75" customHeight="1" thickBot="1" x14ac:dyDescent="0.3">
      <c r="A1440" s="124"/>
      <c r="B1440" s="125"/>
      <c r="F1440" s="124"/>
    </row>
    <row r="1441" spans="1:6" ht="15.75" customHeight="1" thickBot="1" x14ac:dyDescent="0.3">
      <c r="A1441" s="124"/>
      <c r="B1441" s="125"/>
      <c r="F1441" s="124"/>
    </row>
    <row r="1442" spans="1:6" ht="15.75" customHeight="1" thickBot="1" x14ac:dyDescent="0.3">
      <c r="A1442" s="124"/>
      <c r="B1442" s="125"/>
      <c r="F1442" s="124"/>
    </row>
    <row r="1443" spans="1:6" ht="15.75" customHeight="1" thickBot="1" x14ac:dyDescent="0.3">
      <c r="A1443" s="124"/>
      <c r="B1443" s="125"/>
      <c r="F1443" s="124"/>
    </row>
    <row r="1444" spans="1:6" ht="15.75" customHeight="1" thickBot="1" x14ac:dyDescent="0.3">
      <c r="A1444" s="124"/>
      <c r="B1444" s="125"/>
      <c r="F1444" s="124"/>
    </row>
    <row r="1445" spans="1:6" ht="15.75" customHeight="1" thickBot="1" x14ac:dyDescent="0.3">
      <c r="A1445" s="124"/>
      <c r="B1445" s="125"/>
      <c r="F1445" s="124"/>
    </row>
    <row r="1446" spans="1:6" ht="15.75" customHeight="1" thickBot="1" x14ac:dyDescent="0.3">
      <c r="A1446" s="124"/>
      <c r="B1446" s="125"/>
      <c r="F1446" s="124"/>
    </row>
    <row r="1447" spans="1:6" ht="15.75" customHeight="1" thickBot="1" x14ac:dyDescent="0.3">
      <c r="A1447" s="124"/>
      <c r="B1447" s="125"/>
      <c r="F1447" s="124"/>
    </row>
    <row r="1448" spans="1:6" ht="15.75" customHeight="1" thickBot="1" x14ac:dyDescent="0.3">
      <c r="A1448" s="124"/>
      <c r="B1448" s="125"/>
      <c r="F1448" s="124"/>
    </row>
    <row r="1449" spans="1:6" ht="15.75" customHeight="1" thickBot="1" x14ac:dyDescent="0.3">
      <c r="A1449" s="124"/>
      <c r="B1449" s="125"/>
      <c r="F1449" s="124"/>
    </row>
    <row r="1450" spans="1:6" ht="15.75" customHeight="1" thickBot="1" x14ac:dyDescent="0.3">
      <c r="A1450" s="124"/>
      <c r="B1450" s="125"/>
      <c r="F1450" s="124"/>
    </row>
    <row r="1451" spans="1:6" ht="15.75" customHeight="1" thickBot="1" x14ac:dyDescent="0.3">
      <c r="A1451" s="124"/>
      <c r="B1451" s="125"/>
      <c r="F1451" s="124"/>
    </row>
    <row r="1452" spans="1:6" ht="15.75" customHeight="1" thickBot="1" x14ac:dyDescent="0.3">
      <c r="A1452" s="124"/>
      <c r="B1452" s="125"/>
      <c r="F1452" s="124"/>
    </row>
    <row r="1453" spans="1:6" ht="15.75" customHeight="1" thickBot="1" x14ac:dyDescent="0.3">
      <c r="A1453" s="124"/>
      <c r="B1453" s="125"/>
      <c r="F1453" s="124"/>
    </row>
    <row r="1454" spans="1:6" ht="15.75" customHeight="1" thickBot="1" x14ac:dyDescent="0.3">
      <c r="A1454" s="124"/>
      <c r="B1454" s="125"/>
      <c r="F1454" s="124"/>
    </row>
    <row r="1455" spans="1:6" ht="15.75" customHeight="1" thickBot="1" x14ac:dyDescent="0.3">
      <c r="A1455" s="124"/>
      <c r="B1455" s="125"/>
      <c r="F1455" s="124"/>
    </row>
    <row r="1456" spans="1:6" ht="15.75" customHeight="1" thickBot="1" x14ac:dyDescent="0.3">
      <c r="A1456" s="124"/>
      <c r="B1456" s="125"/>
      <c r="F1456" s="124"/>
    </row>
    <row r="1457" spans="1:6" ht="15.75" customHeight="1" thickBot="1" x14ac:dyDescent="0.3">
      <c r="A1457" s="124"/>
      <c r="B1457" s="125"/>
      <c r="F1457" s="124"/>
    </row>
    <row r="1458" spans="1:6" ht="15.75" customHeight="1" thickBot="1" x14ac:dyDescent="0.3">
      <c r="A1458" s="124"/>
      <c r="B1458" s="125"/>
      <c r="F1458" s="124"/>
    </row>
    <row r="1459" spans="1:6" ht="15.75" customHeight="1" thickBot="1" x14ac:dyDescent="0.3">
      <c r="A1459" s="124"/>
      <c r="B1459" s="125"/>
      <c r="F1459" s="124"/>
    </row>
    <row r="1460" spans="1:6" ht="15.75" customHeight="1" thickBot="1" x14ac:dyDescent="0.3">
      <c r="A1460" s="124"/>
      <c r="B1460" s="125"/>
      <c r="F1460" s="124"/>
    </row>
    <row r="1461" spans="1:6" ht="15.75" customHeight="1" thickBot="1" x14ac:dyDescent="0.3">
      <c r="A1461" s="124"/>
      <c r="B1461" s="125"/>
      <c r="F1461" s="124"/>
    </row>
    <row r="1462" spans="1:6" ht="15.75" customHeight="1" thickBot="1" x14ac:dyDescent="0.3">
      <c r="A1462" s="124"/>
      <c r="B1462" s="125"/>
      <c r="F1462" s="124"/>
    </row>
    <row r="1463" spans="1:6" ht="15.75" customHeight="1" thickBot="1" x14ac:dyDescent="0.3">
      <c r="A1463" s="124"/>
      <c r="B1463" s="125"/>
      <c r="F1463" s="124"/>
    </row>
    <row r="1464" spans="1:6" ht="15.75" customHeight="1" thickBot="1" x14ac:dyDescent="0.3">
      <c r="A1464" s="124"/>
      <c r="B1464" s="125"/>
      <c r="F1464" s="124"/>
    </row>
    <row r="1465" spans="1:6" ht="15.75" customHeight="1" thickBot="1" x14ac:dyDescent="0.3">
      <c r="A1465" s="124"/>
      <c r="B1465" s="125"/>
      <c r="F1465" s="124"/>
    </row>
    <row r="1466" spans="1:6" ht="15.75" customHeight="1" thickBot="1" x14ac:dyDescent="0.3">
      <c r="A1466" s="124"/>
      <c r="B1466" s="125"/>
      <c r="F1466" s="124"/>
    </row>
    <row r="1467" spans="1:6" ht="15.75" customHeight="1" thickBot="1" x14ac:dyDescent="0.3">
      <c r="A1467" s="124"/>
      <c r="B1467" s="125"/>
      <c r="F1467" s="124"/>
    </row>
    <row r="1468" spans="1:6" ht="15.75" customHeight="1" thickBot="1" x14ac:dyDescent="0.3">
      <c r="A1468" s="124"/>
      <c r="B1468" s="125"/>
      <c r="F1468" s="124"/>
    </row>
    <row r="1469" spans="1:6" ht="15.75" customHeight="1" thickBot="1" x14ac:dyDescent="0.3">
      <c r="A1469" s="124"/>
      <c r="B1469" s="125"/>
      <c r="F1469" s="124"/>
    </row>
    <row r="1470" spans="1:6" ht="15.75" customHeight="1" thickBot="1" x14ac:dyDescent="0.3">
      <c r="A1470" s="124"/>
      <c r="B1470" s="125"/>
      <c r="F1470" s="124"/>
    </row>
    <row r="1471" spans="1:6" ht="15.75" customHeight="1" thickBot="1" x14ac:dyDescent="0.3">
      <c r="A1471" s="124"/>
      <c r="B1471" s="125"/>
      <c r="F1471" s="124"/>
    </row>
    <row r="1472" spans="1:6" ht="15.75" customHeight="1" thickBot="1" x14ac:dyDescent="0.3">
      <c r="A1472" s="124"/>
      <c r="B1472" s="125"/>
      <c r="F1472" s="124"/>
    </row>
    <row r="1473" spans="1:6" ht="15.75" customHeight="1" thickBot="1" x14ac:dyDescent="0.3">
      <c r="A1473" s="124"/>
      <c r="B1473" s="125"/>
      <c r="F1473" s="124"/>
    </row>
    <row r="1474" spans="1:6" ht="15.75" customHeight="1" thickBot="1" x14ac:dyDescent="0.3">
      <c r="A1474" s="124"/>
      <c r="B1474" s="125"/>
      <c r="F1474" s="124"/>
    </row>
    <row r="1475" spans="1:6" ht="15.75" customHeight="1" thickBot="1" x14ac:dyDescent="0.3">
      <c r="A1475" s="124"/>
      <c r="B1475" s="125"/>
      <c r="F1475" s="124"/>
    </row>
    <row r="1476" spans="1:6" ht="15.75" customHeight="1" thickBot="1" x14ac:dyDescent="0.3">
      <c r="A1476" s="124"/>
      <c r="B1476" s="125"/>
      <c r="F1476" s="124"/>
    </row>
    <row r="1477" spans="1:6" ht="15.75" customHeight="1" thickBot="1" x14ac:dyDescent="0.3">
      <c r="A1477" s="124"/>
      <c r="B1477" s="125"/>
      <c r="F1477" s="124"/>
    </row>
    <row r="1478" spans="1:6" ht="15.75" customHeight="1" thickBot="1" x14ac:dyDescent="0.3">
      <c r="A1478" s="124"/>
      <c r="B1478" s="125"/>
      <c r="F1478" s="124"/>
    </row>
    <row r="1479" spans="1:6" ht="15.75" customHeight="1" thickBot="1" x14ac:dyDescent="0.3">
      <c r="A1479" s="124"/>
      <c r="B1479" s="125"/>
      <c r="F1479" s="124"/>
    </row>
    <row r="1480" spans="1:6" ht="15.75" customHeight="1" thickBot="1" x14ac:dyDescent="0.3">
      <c r="A1480" s="124"/>
      <c r="B1480" s="125"/>
      <c r="F1480" s="124"/>
    </row>
    <row r="1481" spans="1:6" ht="15.75" customHeight="1" thickBot="1" x14ac:dyDescent="0.3">
      <c r="A1481" s="124"/>
      <c r="B1481" s="125"/>
      <c r="F1481" s="124"/>
    </row>
    <row r="1482" spans="1:6" ht="15.75" customHeight="1" thickBot="1" x14ac:dyDescent="0.3">
      <c r="A1482" s="124"/>
      <c r="B1482" s="125"/>
      <c r="F1482" s="124"/>
    </row>
    <row r="1483" spans="1:6" ht="15.75" customHeight="1" thickBot="1" x14ac:dyDescent="0.3">
      <c r="A1483" s="124"/>
      <c r="B1483" s="125"/>
      <c r="F1483" s="124"/>
    </row>
    <row r="1484" spans="1:6" ht="15.75" customHeight="1" thickBot="1" x14ac:dyDescent="0.3">
      <c r="A1484" s="124"/>
      <c r="B1484" s="125"/>
      <c r="F1484" s="124"/>
    </row>
    <row r="1485" spans="1:6" ht="15.75" customHeight="1" thickBot="1" x14ac:dyDescent="0.3">
      <c r="A1485" s="124"/>
      <c r="B1485" s="125"/>
      <c r="F1485" s="124"/>
    </row>
    <row r="1486" spans="1:6" ht="15.75" customHeight="1" thickBot="1" x14ac:dyDescent="0.3">
      <c r="A1486" s="124"/>
      <c r="B1486" s="125"/>
      <c r="F1486" s="124"/>
    </row>
    <row r="1487" spans="1:6" ht="15.75" customHeight="1" thickBot="1" x14ac:dyDescent="0.3">
      <c r="A1487" s="124"/>
      <c r="B1487" s="125"/>
      <c r="F1487" s="124"/>
    </row>
    <row r="1488" spans="1:6" ht="15.75" customHeight="1" thickBot="1" x14ac:dyDescent="0.3">
      <c r="A1488" s="124"/>
      <c r="B1488" s="125"/>
      <c r="F1488" s="124"/>
    </row>
    <row r="1489" spans="1:6" ht="15.75" customHeight="1" thickBot="1" x14ac:dyDescent="0.3">
      <c r="A1489" s="124"/>
      <c r="B1489" s="125"/>
      <c r="F1489" s="124"/>
    </row>
    <row r="1490" spans="1:6" ht="15.75" customHeight="1" thickBot="1" x14ac:dyDescent="0.3">
      <c r="A1490" s="124"/>
      <c r="B1490" s="125"/>
      <c r="F1490" s="124"/>
    </row>
    <row r="1491" spans="1:6" ht="15.75" customHeight="1" thickBot="1" x14ac:dyDescent="0.3">
      <c r="A1491" s="124"/>
      <c r="B1491" s="125"/>
      <c r="F1491" s="124"/>
    </row>
    <row r="1492" spans="1:6" ht="15.75" customHeight="1" thickBot="1" x14ac:dyDescent="0.3">
      <c r="A1492" s="124"/>
      <c r="B1492" s="125"/>
      <c r="F1492" s="124"/>
    </row>
    <row r="1493" spans="1:6" ht="15.75" customHeight="1" thickBot="1" x14ac:dyDescent="0.3">
      <c r="A1493" s="124"/>
      <c r="B1493" s="125"/>
      <c r="F1493" s="124"/>
    </row>
    <row r="1494" spans="1:6" ht="15.75" customHeight="1" thickBot="1" x14ac:dyDescent="0.3">
      <c r="A1494" s="124"/>
      <c r="B1494" s="125"/>
      <c r="F1494" s="124"/>
    </row>
    <row r="1495" spans="1:6" ht="15.75" customHeight="1" thickBot="1" x14ac:dyDescent="0.3">
      <c r="A1495" s="124"/>
      <c r="B1495" s="125"/>
      <c r="F1495" s="124"/>
    </row>
    <row r="1496" spans="1:6" ht="15.75" customHeight="1" thickBot="1" x14ac:dyDescent="0.3">
      <c r="A1496" s="124"/>
      <c r="B1496" s="125"/>
      <c r="F1496" s="124"/>
    </row>
    <row r="1497" spans="1:6" ht="15.75" customHeight="1" thickBot="1" x14ac:dyDescent="0.3">
      <c r="A1497" s="124"/>
      <c r="B1497" s="125"/>
      <c r="F1497" s="124"/>
    </row>
    <row r="1498" spans="1:6" ht="15.75" customHeight="1" thickBot="1" x14ac:dyDescent="0.3">
      <c r="A1498" s="124"/>
      <c r="B1498" s="125"/>
      <c r="F1498" s="124"/>
    </row>
    <row r="1499" spans="1:6" ht="15.75" customHeight="1" thickBot="1" x14ac:dyDescent="0.3">
      <c r="A1499" s="124"/>
      <c r="B1499" s="125"/>
      <c r="F1499" s="124"/>
    </row>
    <row r="1500" spans="1:6" ht="15.75" customHeight="1" thickBot="1" x14ac:dyDescent="0.3">
      <c r="A1500" s="124"/>
      <c r="B1500" s="125"/>
      <c r="F1500" s="124"/>
    </row>
    <row r="1501" spans="1:6" ht="15.75" customHeight="1" thickBot="1" x14ac:dyDescent="0.3">
      <c r="A1501" s="124"/>
      <c r="B1501" s="125"/>
      <c r="F1501" s="124"/>
    </row>
    <row r="1502" spans="1:6" ht="15.75" customHeight="1" thickBot="1" x14ac:dyDescent="0.3">
      <c r="A1502" s="124"/>
      <c r="B1502" s="125"/>
      <c r="F1502" s="124"/>
    </row>
    <row r="1503" spans="1:6" ht="15.75" customHeight="1" thickBot="1" x14ac:dyDescent="0.3">
      <c r="A1503" s="124"/>
      <c r="B1503" s="125"/>
      <c r="F1503" s="124"/>
    </row>
    <row r="1504" spans="1:6" ht="15.75" customHeight="1" thickBot="1" x14ac:dyDescent="0.3">
      <c r="A1504" s="124"/>
      <c r="B1504" s="125"/>
      <c r="F1504" s="124"/>
    </row>
    <row r="1505" spans="1:6" ht="15.75" customHeight="1" thickBot="1" x14ac:dyDescent="0.3">
      <c r="A1505" s="124"/>
      <c r="B1505" s="125"/>
      <c r="F1505" s="124"/>
    </row>
    <row r="1506" spans="1:6" ht="15.75" customHeight="1" thickBot="1" x14ac:dyDescent="0.3">
      <c r="A1506" s="124"/>
      <c r="B1506" s="125"/>
      <c r="F1506" s="124"/>
    </row>
    <row r="1507" spans="1:6" ht="15.75" customHeight="1" thickBot="1" x14ac:dyDescent="0.3">
      <c r="A1507" s="124"/>
      <c r="B1507" s="125"/>
      <c r="F1507" s="124"/>
    </row>
    <row r="1508" spans="1:6" ht="15.75" customHeight="1" thickBot="1" x14ac:dyDescent="0.3">
      <c r="A1508" s="124"/>
      <c r="B1508" s="125"/>
      <c r="F1508" s="124"/>
    </row>
    <row r="1509" spans="1:6" ht="15.75" customHeight="1" thickBot="1" x14ac:dyDescent="0.3">
      <c r="A1509" s="124"/>
      <c r="B1509" s="125"/>
      <c r="F1509" s="124"/>
    </row>
    <row r="1510" spans="1:6" ht="15.75" customHeight="1" thickBot="1" x14ac:dyDescent="0.3">
      <c r="A1510" s="124"/>
      <c r="B1510" s="125"/>
      <c r="F1510" s="124"/>
    </row>
    <row r="1511" spans="1:6" ht="15.75" customHeight="1" thickBot="1" x14ac:dyDescent="0.3">
      <c r="A1511" s="124"/>
      <c r="B1511" s="125"/>
      <c r="F1511" s="124"/>
    </row>
    <row r="1512" spans="1:6" ht="15.75" customHeight="1" thickBot="1" x14ac:dyDescent="0.3">
      <c r="A1512" s="124"/>
      <c r="B1512" s="125"/>
      <c r="F1512" s="124"/>
    </row>
    <row r="1513" spans="1:6" ht="15.75" customHeight="1" thickBot="1" x14ac:dyDescent="0.3">
      <c r="A1513" s="124"/>
      <c r="B1513" s="125"/>
      <c r="F1513" s="124"/>
    </row>
    <row r="1514" spans="1:6" ht="15.75" customHeight="1" thickBot="1" x14ac:dyDescent="0.3">
      <c r="A1514" s="124"/>
      <c r="B1514" s="125"/>
      <c r="F1514" s="124"/>
    </row>
    <row r="1515" spans="1:6" ht="15.75" customHeight="1" thickBot="1" x14ac:dyDescent="0.3">
      <c r="A1515" s="124"/>
      <c r="B1515" s="125"/>
      <c r="F1515" s="124"/>
    </row>
    <row r="1516" spans="1:6" ht="15.75" customHeight="1" thickBot="1" x14ac:dyDescent="0.3">
      <c r="A1516" s="124"/>
      <c r="B1516" s="125"/>
      <c r="F1516" s="124"/>
    </row>
    <row r="1517" spans="1:6" ht="15.75" customHeight="1" thickBot="1" x14ac:dyDescent="0.3">
      <c r="A1517" s="124"/>
      <c r="B1517" s="125"/>
      <c r="F1517" s="124"/>
    </row>
    <row r="1518" spans="1:6" ht="15.75" customHeight="1" thickBot="1" x14ac:dyDescent="0.3">
      <c r="A1518" s="124"/>
      <c r="B1518" s="125"/>
      <c r="F1518" s="124"/>
    </row>
    <row r="1519" spans="1:6" ht="15.75" customHeight="1" thickBot="1" x14ac:dyDescent="0.3">
      <c r="A1519" s="124"/>
      <c r="B1519" s="125"/>
      <c r="F1519" s="124"/>
    </row>
    <row r="1520" spans="1:6" ht="15.75" customHeight="1" thickBot="1" x14ac:dyDescent="0.3">
      <c r="A1520" s="124"/>
      <c r="B1520" s="125"/>
      <c r="F1520" s="124"/>
    </row>
    <row r="1521" spans="1:6" ht="15.75" customHeight="1" thickBot="1" x14ac:dyDescent="0.3">
      <c r="A1521" s="124"/>
      <c r="B1521" s="125"/>
      <c r="F1521" s="124"/>
    </row>
    <row r="1522" spans="1:6" ht="15.75" customHeight="1" thickBot="1" x14ac:dyDescent="0.3">
      <c r="A1522" s="124"/>
      <c r="B1522" s="125"/>
      <c r="F1522" s="124"/>
    </row>
    <row r="1523" spans="1:6" ht="15.75" customHeight="1" thickBot="1" x14ac:dyDescent="0.3">
      <c r="A1523" s="124"/>
      <c r="B1523" s="125"/>
      <c r="F1523" s="124"/>
    </row>
    <row r="1524" spans="1:6" ht="15.75" customHeight="1" thickBot="1" x14ac:dyDescent="0.3">
      <c r="A1524" s="124"/>
      <c r="B1524" s="125"/>
      <c r="F1524" s="124"/>
    </row>
    <row r="1525" spans="1:6" ht="15.75" customHeight="1" thickBot="1" x14ac:dyDescent="0.3">
      <c r="A1525" s="124"/>
      <c r="B1525" s="125"/>
      <c r="F1525" s="124"/>
    </row>
    <row r="1526" spans="1:6" ht="15.75" customHeight="1" thickBot="1" x14ac:dyDescent="0.3">
      <c r="A1526" s="124"/>
      <c r="B1526" s="125"/>
      <c r="F1526" s="124"/>
    </row>
    <row r="1527" spans="1:6" ht="15.75" customHeight="1" thickBot="1" x14ac:dyDescent="0.3">
      <c r="A1527" s="124"/>
      <c r="B1527" s="125"/>
      <c r="F1527" s="124"/>
    </row>
    <row r="1528" spans="1:6" ht="15.75" customHeight="1" thickBot="1" x14ac:dyDescent="0.3">
      <c r="A1528" s="124"/>
      <c r="B1528" s="125"/>
      <c r="F1528" s="124"/>
    </row>
    <row r="1529" spans="1:6" ht="15.75" customHeight="1" thickBot="1" x14ac:dyDescent="0.3">
      <c r="A1529" s="124"/>
      <c r="B1529" s="125"/>
      <c r="F1529" s="124"/>
    </row>
    <row r="1530" spans="1:6" ht="15.75" customHeight="1" thickBot="1" x14ac:dyDescent="0.3">
      <c r="A1530" s="124"/>
      <c r="B1530" s="125"/>
      <c r="F1530" s="124"/>
    </row>
    <row r="1531" spans="1:6" ht="15.75" customHeight="1" thickBot="1" x14ac:dyDescent="0.3">
      <c r="A1531" s="124"/>
      <c r="B1531" s="125"/>
      <c r="F1531" s="124"/>
    </row>
    <row r="1532" spans="1:6" ht="15.75" customHeight="1" thickBot="1" x14ac:dyDescent="0.3">
      <c r="A1532" s="124"/>
      <c r="B1532" s="125"/>
      <c r="F1532" s="124"/>
    </row>
    <row r="1533" spans="1:6" ht="15.75" customHeight="1" thickBot="1" x14ac:dyDescent="0.3">
      <c r="A1533" s="124"/>
      <c r="B1533" s="125"/>
      <c r="F1533" s="124"/>
    </row>
    <row r="1534" spans="1:6" ht="15.75" customHeight="1" thickBot="1" x14ac:dyDescent="0.3">
      <c r="A1534" s="124"/>
      <c r="B1534" s="125"/>
      <c r="F1534" s="124"/>
    </row>
    <row r="1535" spans="1:6" ht="15.75" customHeight="1" thickBot="1" x14ac:dyDescent="0.3">
      <c r="A1535" s="124"/>
      <c r="B1535" s="125"/>
      <c r="F1535" s="124"/>
    </row>
    <row r="1536" spans="1:6" ht="15.75" customHeight="1" thickBot="1" x14ac:dyDescent="0.3">
      <c r="A1536" s="124"/>
      <c r="B1536" s="125"/>
      <c r="F1536" s="124"/>
    </row>
    <row r="1537" spans="1:6" ht="15.75" customHeight="1" thickBot="1" x14ac:dyDescent="0.3">
      <c r="A1537" s="124"/>
      <c r="B1537" s="125"/>
      <c r="F1537" s="124"/>
    </row>
    <row r="1538" spans="1:6" ht="15.75" customHeight="1" thickBot="1" x14ac:dyDescent="0.3">
      <c r="A1538" s="124"/>
      <c r="B1538" s="125"/>
      <c r="F1538" s="124"/>
    </row>
    <row r="1539" spans="1:6" ht="15.75" customHeight="1" thickBot="1" x14ac:dyDescent="0.3">
      <c r="A1539" s="124"/>
      <c r="B1539" s="125"/>
      <c r="F1539" s="124"/>
    </row>
    <row r="1540" spans="1:6" ht="15.75" customHeight="1" thickBot="1" x14ac:dyDescent="0.3">
      <c r="A1540" s="124"/>
      <c r="B1540" s="125"/>
      <c r="F1540" s="124"/>
    </row>
    <row r="1541" spans="1:6" ht="15.75" customHeight="1" thickBot="1" x14ac:dyDescent="0.3">
      <c r="A1541" s="124"/>
      <c r="B1541" s="125"/>
      <c r="F1541" s="124"/>
    </row>
    <row r="1542" spans="1:6" ht="15.75" customHeight="1" thickBot="1" x14ac:dyDescent="0.3">
      <c r="A1542" s="124"/>
      <c r="B1542" s="125"/>
      <c r="F1542" s="124"/>
    </row>
    <row r="1543" spans="1:6" ht="15.75" customHeight="1" thickBot="1" x14ac:dyDescent="0.3">
      <c r="A1543" s="124"/>
      <c r="B1543" s="125"/>
      <c r="F1543" s="124"/>
    </row>
    <row r="1544" spans="1:6" ht="15.75" customHeight="1" thickBot="1" x14ac:dyDescent="0.3">
      <c r="A1544" s="124"/>
      <c r="B1544" s="125"/>
      <c r="F1544" s="124"/>
    </row>
    <row r="1545" spans="1:6" ht="15.75" customHeight="1" thickBot="1" x14ac:dyDescent="0.3">
      <c r="A1545" s="124"/>
      <c r="B1545" s="125"/>
      <c r="F1545" s="124"/>
    </row>
    <row r="1546" spans="1:6" ht="15.75" customHeight="1" thickBot="1" x14ac:dyDescent="0.3">
      <c r="A1546" s="124"/>
      <c r="B1546" s="125"/>
      <c r="F1546" s="124"/>
    </row>
    <row r="1547" spans="1:6" ht="15.75" customHeight="1" thickBot="1" x14ac:dyDescent="0.3">
      <c r="A1547" s="124"/>
      <c r="B1547" s="125"/>
      <c r="F1547" s="124"/>
    </row>
    <row r="1548" spans="1:6" ht="15.75" customHeight="1" thickBot="1" x14ac:dyDescent="0.3">
      <c r="A1548" s="124"/>
      <c r="B1548" s="125"/>
      <c r="F1548" s="124"/>
    </row>
    <row r="1549" spans="1:6" ht="15.75" customHeight="1" thickBot="1" x14ac:dyDescent="0.3">
      <c r="A1549" s="124"/>
      <c r="B1549" s="125"/>
      <c r="F1549" s="124"/>
    </row>
    <row r="1550" spans="1:6" ht="15.75" customHeight="1" thickBot="1" x14ac:dyDescent="0.3">
      <c r="A1550" s="124"/>
      <c r="B1550" s="125"/>
      <c r="F1550" s="124"/>
    </row>
    <row r="1551" spans="1:6" ht="15.75" customHeight="1" thickBot="1" x14ac:dyDescent="0.3">
      <c r="A1551" s="124"/>
      <c r="B1551" s="125"/>
      <c r="F1551" s="124"/>
    </row>
    <row r="1552" spans="1:6" ht="15.75" customHeight="1" thickBot="1" x14ac:dyDescent="0.3">
      <c r="A1552" s="124"/>
      <c r="B1552" s="125"/>
      <c r="F1552" s="124"/>
    </row>
    <row r="1553" spans="1:6" ht="15.75" customHeight="1" thickBot="1" x14ac:dyDescent="0.3">
      <c r="A1553" s="124"/>
      <c r="B1553" s="125"/>
      <c r="F1553" s="124"/>
    </row>
    <row r="1554" spans="1:6" ht="15.75" customHeight="1" thickBot="1" x14ac:dyDescent="0.3">
      <c r="A1554" s="124"/>
      <c r="B1554" s="125"/>
      <c r="F1554" s="124"/>
    </row>
    <row r="1555" spans="1:6" ht="15.75" customHeight="1" thickBot="1" x14ac:dyDescent="0.3">
      <c r="A1555" s="124"/>
      <c r="B1555" s="125"/>
      <c r="F1555" s="124"/>
    </row>
    <row r="1556" spans="1:6" ht="15.75" customHeight="1" thickBot="1" x14ac:dyDescent="0.3">
      <c r="A1556" s="124"/>
      <c r="B1556" s="125"/>
      <c r="F1556" s="124"/>
    </row>
    <row r="1557" spans="1:6" ht="15.75" customHeight="1" thickBot="1" x14ac:dyDescent="0.3">
      <c r="A1557" s="124"/>
      <c r="B1557" s="125"/>
      <c r="F1557" s="124"/>
    </row>
    <row r="1558" spans="1:6" ht="15.75" customHeight="1" thickBot="1" x14ac:dyDescent="0.3">
      <c r="A1558" s="124"/>
      <c r="B1558" s="125"/>
      <c r="F1558" s="124"/>
    </row>
    <row r="1559" spans="1:6" ht="15.75" customHeight="1" thickBot="1" x14ac:dyDescent="0.3">
      <c r="A1559" s="124"/>
      <c r="B1559" s="125"/>
      <c r="F1559" s="124"/>
    </row>
    <row r="1560" spans="1:6" ht="15.75" customHeight="1" thickBot="1" x14ac:dyDescent="0.3">
      <c r="A1560" s="124"/>
      <c r="B1560" s="125"/>
      <c r="F1560" s="124"/>
    </row>
    <row r="1561" spans="1:6" ht="15.75" customHeight="1" thickBot="1" x14ac:dyDescent="0.3">
      <c r="A1561" s="124"/>
      <c r="B1561" s="125"/>
      <c r="F1561" s="124"/>
    </row>
    <row r="1562" spans="1:6" ht="15.75" customHeight="1" thickBot="1" x14ac:dyDescent="0.3">
      <c r="A1562" s="124"/>
      <c r="B1562" s="125"/>
      <c r="F1562" s="124"/>
    </row>
    <row r="1563" spans="1:6" ht="15.75" customHeight="1" thickBot="1" x14ac:dyDescent="0.3">
      <c r="A1563" s="124"/>
      <c r="B1563" s="125"/>
      <c r="F1563" s="124"/>
    </row>
    <row r="1564" spans="1:6" ht="15.75" customHeight="1" thickBot="1" x14ac:dyDescent="0.3">
      <c r="A1564" s="124"/>
      <c r="B1564" s="125"/>
      <c r="F1564" s="124"/>
    </row>
    <row r="1565" spans="1:6" ht="15.75" customHeight="1" thickBot="1" x14ac:dyDescent="0.3">
      <c r="A1565" s="124"/>
      <c r="B1565" s="125"/>
      <c r="F1565" s="124"/>
    </row>
    <row r="1566" spans="1:6" ht="15.75" customHeight="1" thickBot="1" x14ac:dyDescent="0.3">
      <c r="A1566" s="124"/>
      <c r="B1566" s="125"/>
      <c r="F1566" s="124"/>
    </row>
    <row r="1567" spans="1:6" ht="15.75" customHeight="1" thickBot="1" x14ac:dyDescent="0.3">
      <c r="A1567" s="124"/>
      <c r="B1567" s="125"/>
      <c r="F1567" s="124"/>
    </row>
    <row r="1568" spans="1:6" ht="15.75" customHeight="1" thickBot="1" x14ac:dyDescent="0.3">
      <c r="A1568" s="124"/>
      <c r="B1568" s="125"/>
      <c r="F1568" s="124"/>
    </row>
    <row r="1569" spans="1:6" ht="15.75" customHeight="1" thickBot="1" x14ac:dyDescent="0.3">
      <c r="A1569" s="124"/>
      <c r="B1569" s="125"/>
      <c r="F1569" s="124"/>
    </row>
    <row r="1570" spans="1:6" ht="15.75" customHeight="1" thickBot="1" x14ac:dyDescent="0.3">
      <c r="A1570" s="124"/>
      <c r="B1570" s="125"/>
      <c r="F1570" s="124"/>
    </row>
    <row r="1571" spans="1:6" ht="15.75" customHeight="1" thickBot="1" x14ac:dyDescent="0.3">
      <c r="A1571" s="124"/>
      <c r="B1571" s="125"/>
      <c r="F1571" s="124"/>
    </row>
    <row r="1572" spans="1:6" ht="15.75" customHeight="1" thickBot="1" x14ac:dyDescent="0.3">
      <c r="A1572" s="124"/>
      <c r="B1572" s="125"/>
      <c r="F1572" s="124"/>
    </row>
    <row r="1573" spans="1:6" ht="15.75" customHeight="1" thickBot="1" x14ac:dyDescent="0.3">
      <c r="A1573" s="124"/>
      <c r="B1573" s="125"/>
      <c r="F1573" s="124"/>
    </row>
    <row r="1574" spans="1:6" ht="15.75" customHeight="1" thickBot="1" x14ac:dyDescent="0.3">
      <c r="A1574" s="124"/>
      <c r="B1574" s="125"/>
      <c r="F1574" s="124"/>
    </row>
    <row r="1575" spans="1:6" ht="15.75" customHeight="1" thickBot="1" x14ac:dyDescent="0.3">
      <c r="A1575" s="124"/>
      <c r="B1575" s="125"/>
      <c r="F1575" s="124"/>
    </row>
    <row r="1576" spans="1:6" ht="15.75" customHeight="1" thickBot="1" x14ac:dyDescent="0.3">
      <c r="A1576" s="124"/>
      <c r="B1576" s="125"/>
      <c r="F1576" s="124"/>
    </row>
    <row r="1577" spans="1:6" ht="15.75" customHeight="1" thickBot="1" x14ac:dyDescent="0.3">
      <c r="A1577" s="124"/>
      <c r="B1577" s="125"/>
      <c r="F1577" s="124"/>
    </row>
    <row r="1578" spans="1:6" ht="15.75" customHeight="1" thickBot="1" x14ac:dyDescent="0.3">
      <c r="A1578" s="124"/>
      <c r="B1578" s="125"/>
      <c r="F1578" s="124"/>
    </row>
    <row r="1579" spans="1:6" ht="15.75" customHeight="1" thickBot="1" x14ac:dyDescent="0.3">
      <c r="A1579" s="124"/>
      <c r="B1579" s="125"/>
      <c r="F1579" s="124"/>
    </row>
    <row r="1580" spans="1:6" ht="15.75" customHeight="1" thickBot="1" x14ac:dyDescent="0.3">
      <c r="A1580" s="124"/>
      <c r="B1580" s="125"/>
      <c r="F1580" s="124"/>
    </row>
    <row r="1581" spans="1:6" ht="15.75" customHeight="1" thickBot="1" x14ac:dyDescent="0.3">
      <c r="A1581" s="124"/>
      <c r="B1581" s="125"/>
      <c r="F1581" s="124"/>
    </row>
    <row r="1582" spans="1:6" ht="15.75" customHeight="1" thickBot="1" x14ac:dyDescent="0.3">
      <c r="A1582" s="124"/>
      <c r="B1582" s="125"/>
      <c r="F1582" s="124"/>
    </row>
    <row r="1583" spans="1:6" ht="15.75" customHeight="1" thickBot="1" x14ac:dyDescent="0.3">
      <c r="A1583" s="124"/>
      <c r="B1583" s="125"/>
      <c r="F1583" s="124"/>
    </row>
    <row r="1584" spans="1:6" ht="15.75" customHeight="1" thickBot="1" x14ac:dyDescent="0.3">
      <c r="A1584" s="124"/>
      <c r="B1584" s="125"/>
      <c r="F1584" s="124"/>
    </row>
    <row r="1585" spans="1:6" ht="15.75" customHeight="1" thickBot="1" x14ac:dyDescent="0.3">
      <c r="A1585" s="124"/>
      <c r="B1585" s="125"/>
      <c r="F1585" s="124"/>
    </row>
    <row r="1586" spans="1:6" ht="15.75" customHeight="1" thickBot="1" x14ac:dyDescent="0.3">
      <c r="A1586" s="124"/>
      <c r="B1586" s="125"/>
      <c r="F1586" s="124"/>
    </row>
    <row r="1587" spans="1:6" ht="15.75" customHeight="1" thickBot="1" x14ac:dyDescent="0.3">
      <c r="A1587" s="124"/>
      <c r="B1587" s="125"/>
      <c r="F1587" s="124"/>
    </row>
    <row r="1588" spans="1:6" ht="15.75" customHeight="1" thickBot="1" x14ac:dyDescent="0.3">
      <c r="A1588" s="124"/>
      <c r="B1588" s="125"/>
      <c r="F1588" s="124"/>
    </row>
    <row r="1589" spans="1:6" ht="15.75" customHeight="1" thickBot="1" x14ac:dyDescent="0.3">
      <c r="A1589" s="124"/>
      <c r="B1589" s="125"/>
      <c r="F1589" s="124"/>
    </row>
    <row r="1590" spans="1:6" ht="15.75" customHeight="1" thickBot="1" x14ac:dyDescent="0.3">
      <c r="A1590" s="124"/>
      <c r="B1590" s="125"/>
      <c r="F1590" s="124"/>
    </row>
    <row r="1591" spans="1:6" ht="15.75" customHeight="1" thickBot="1" x14ac:dyDescent="0.3">
      <c r="A1591" s="124"/>
      <c r="B1591" s="125"/>
      <c r="F1591" s="124"/>
    </row>
    <row r="1592" spans="1:6" ht="15.75" customHeight="1" thickBot="1" x14ac:dyDescent="0.3">
      <c r="A1592" s="124"/>
      <c r="B1592" s="125"/>
      <c r="F1592" s="124"/>
    </row>
    <row r="1593" spans="1:6" ht="15.75" customHeight="1" thickBot="1" x14ac:dyDescent="0.3">
      <c r="A1593" s="124"/>
      <c r="B1593" s="125"/>
      <c r="F1593" s="124"/>
    </row>
    <row r="1594" spans="1:6" ht="15.75" customHeight="1" thickBot="1" x14ac:dyDescent="0.3">
      <c r="A1594" s="124"/>
      <c r="B1594" s="125"/>
      <c r="F1594" s="124"/>
    </row>
    <row r="1595" spans="1:6" ht="15.75" customHeight="1" thickBot="1" x14ac:dyDescent="0.3">
      <c r="A1595" s="124"/>
      <c r="B1595" s="125"/>
      <c r="F1595" s="124"/>
    </row>
    <row r="1596" spans="1:6" ht="15.75" customHeight="1" thickBot="1" x14ac:dyDescent="0.3">
      <c r="A1596" s="124"/>
      <c r="B1596" s="125"/>
      <c r="F1596" s="124"/>
    </row>
    <row r="1597" spans="1:6" ht="15.75" customHeight="1" thickBot="1" x14ac:dyDescent="0.3">
      <c r="A1597" s="124"/>
      <c r="B1597" s="125"/>
      <c r="F1597" s="124"/>
    </row>
    <row r="1598" spans="1:6" ht="15.75" customHeight="1" thickBot="1" x14ac:dyDescent="0.3">
      <c r="A1598" s="124"/>
      <c r="B1598" s="125"/>
      <c r="F1598" s="124"/>
    </row>
    <row r="1599" spans="1:6" ht="15.75" customHeight="1" thickBot="1" x14ac:dyDescent="0.3">
      <c r="A1599" s="124"/>
      <c r="B1599" s="125"/>
      <c r="F1599" s="124"/>
    </row>
    <row r="1600" spans="1:6" ht="15.75" customHeight="1" thickBot="1" x14ac:dyDescent="0.3">
      <c r="A1600" s="124"/>
      <c r="B1600" s="125"/>
      <c r="F1600" s="124"/>
    </row>
    <row r="1601" spans="1:6" ht="15.75" customHeight="1" thickBot="1" x14ac:dyDescent="0.3">
      <c r="A1601" s="124"/>
      <c r="B1601" s="125"/>
      <c r="F1601" s="124"/>
    </row>
    <row r="1602" spans="1:6" ht="15.75" customHeight="1" thickBot="1" x14ac:dyDescent="0.3">
      <c r="A1602" s="124"/>
      <c r="B1602" s="125"/>
      <c r="F1602" s="124"/>
    </row>
    <row r="1603" spans="1:6" ht="15.75" customHeight="1" thickBot="1" x14ac:dyDescent="0.3">
      <c r="A1603" s="124"/>
      <c r="B1603" s="125"/>
      <c r="F1603" s="124"/>
    </row>
    <row r="1604" spans="1:6" ht="15.75" customHeight="1" thickBot="1" x14ac:dyDescent="0.3">
      <c r="A1604" s="124"/>
      <c r="B1604" s="125"/>
      <c r="F1604" s="124"/>
    </row>
    <row r="1605" spans="1:6" ht="15.75" customHeight="1" thickBot="1" x14ac:dyDescent="0.3">
      <c r="A1605" s="124"/>
      <c r="B1605" s="125"/>
      <c r="F1605" s="124"/>
    </row>
    <row r="1606" spans="1:6" ht="15.75" customHeight="1" thickBot="1" x14ac:dyDescent="0.3">
      <c r="A1606" s="124"/>
      <c r="B1606" s="125"/>
      <c r="F1606" s="124"/>
    </row>
    <row r="1607" spans="1:6" ht="15.75" customHeight="1" thickBot="1" x14ac:dyDescent="0.3">
      <c r="A1607" s="124"/>
      <c r="B1607" s="125"/>
      <c r="F1607" s="124"/>
    </row>
    <row r="1608" spans="1:6" ht="15.75" customHeight="1" thickBot="1" x14ac:dyDescent="0.3">
      <c r="A1608" s="124"/>
      <c r="B1608" s="125"/>
      <c r="F1608" s="124"/>
    </row>
    <row r="1609" spans="1:6" ht="15.75" customHeight="1" thickBot="1" x14ac:dyDescent="0.3">
      <c r="A1609" s="124"/>
      <c r="B1609" s="125"/>
      <c r="F1609" s="124"/>
    </row>
    <row r="1610" spans="1:6" ht="15.75" customHeight="1" thickBot="1" x14ac:dyDescent="0.3">
      <c r="A1610" s="124"/>
      <c r="B1610" s="125"/>
      <c r="F1610" s="124"/>
    </row>
    <row r="1611" spans="1:6" ht="15.75" customHeight="1" thickBot="1" x14ac:dyDescent="0.3">
      <c r="A1611" s="124"/>
      <c r="B1611" s="125"/>
      <c r="F1611" s="124"/>
    </row>
    <row r="1612" spans="1:6" ht="15.75" customHeight="1" thickBot="1" x14ac:dyDescent="0.3">
      <c r="A1612" s="124"/>
      <c r="B1612" s="125"/>
      <c r="F1612" s="124"/>
    </row>
    <row r="1613" spans="1:6" ht="15.75" customHeight="1" thickBot="1" x14ac:dyDescent="0.3">
      <c r="A1613" s="124"/>
      <c r="B1613" s="125"/>
      <c r="F1613" s="124"/>
    </row>
    <row r="1614" spans="1:6" ht="15.75" customHeight="1" thickBot="1" x14ac:dyDescent="0.3">
      <c r="A1614" s="124"/>
      <c r="B1614" s="125"/>
      <c r="F1614" s="124"/>
    </row>
    <row r="1615" spans="1:6" ht="15.75" customHeight="1" thickBot="1" x14ac:dyDescent="0.3">
      <c r="A1615" s="124"/>
      <c r="B1615" s="125"/>
      <c r="F1615" s="124"/>
    </row>
    <row r="1616" spans="1:6" ht="15.75" customHeight="1" thickBot="1" x14ac:dyDescent="0.3">
      <c r="A1616" s="124"/>
      <c r="B1616" s="125"/>
      <c r="F1616" s="124"/>
    </row>
    <row r="1617" spans="1:6" ht="15.75" customHeight="1" thickBot="1" x14ac:dyDescent="0.3">
      <c r="A1617" s="124"/>
      <c r="B1617" s="125"/>
      <c r="F1617" s="124"/>
    </row>
    <row r="1618" spans="1:6" ht="15.75" customHeight="1" thickBot="1" x14ac:dyDescent="0.3">
      <c r="A1618" s="124"/>
      <c r="B1618" s="125"/>
      <c r="F1618" s="124"/>
    </row>
    <row r="1619" spans="1:6" ht="15.75" customHeight="1" thickBot="1" x14ac:dyDescent="0.3">
      <c r="A1619" s="124"/>
      <c r="B1619" s="125"/>
      <c r="F1619" s="124"/>
    </row>
    <row r="1620" spans="1:6" ht="15.75" customHeight="1" thickBot="1" x14ac:dyDescent="0.3">
      <c r="A1620" s="124"/>
      <c r="B1620" s="125"/>
      <c r="F1620" s="124"/>
    </row>
    <row r="1621" spans="1:6" ht="15.75" customHeight="1" thickBot="1" x14ac:dyDescent="0.3">
      <c r="A1621" s="124"/>
      <c r="B1621" s="125"/>
      <c r="F1621" s="124"/>
    </row>
    <row r="1622" spans="1:6" ht="15.75" customHeight="1" thickBot="1" x14ac:dyDescent="0.3">
      <c r="A1622" s="124"/>
      <c r="B1622" s="125"/>
      <c r="F1622" s="124"/>
    </row>
    <row r="1623" spans="1:6" ht="15.75" customHeight="1" thickBot="1" x14ac:dyDescent="0.3">
      <c r="A1623" s="124"/>
      <c r="B1623" s="125"/>
      <c r="F1623" s="124"/>
    </row>
    <row r="1624" spans="1:6" ht="15.75" customHeight="1" thickBot="1" x14ac:dyDescent="0.3">
      <c r="A1624" s="124"/>
      <c r="B1624" s="125"/>
      <c r="F1624" s="124"/>
    </row>
    <row r="1625" spans="1:6" ht="15.75" customHeight="1" thickBot="1" x14ac:dyDescent="0.3">
      <c r="A1625" s="124"/>
      <c r="B1625" s="125"/>
      <c r="F1625" s="124"/>
    </row>
    <row r="1626" spans="1:6" ht="15.75" customHeight="1" thickBot="1" x14ac:dyDescent="0.3">
      <c r="A1626" s="124"/>
      <c r="B1626" s="125"/>
      <c r="F1626" s="124"/>
    </row>
    <row r="1627" spans="1:6" ht="15.75" customHeight="1" thickBot="1" x14ac:dyDescent="0.3">
      <c r="A1627" s="124"/>
      <c r="B1627" s="125"/>
      <c r="F1627" s="124"/>
    </row>
    <row r="1628" spans="1:6" ht="15.75" customHeight="1" thickBot="1" x14ac:dyDescent="0.3">
      <c r="A1628" s="124"/>
      <c r="B1628" s="125"/>
      <c r="F1628" s="124"/>
    </row>
    <row r="1629" spans="1:6" ht="15.75" customHeight="1" thickBot="1" x14ac:dyDescent="0.3">
      <c r="A1629" s="124"/>
      <c r="B1629" s="125"/>
      <c r="F1629" s="124"/>
    </row>
    <row r="1630" spans="1:6" ht="15.75" customHeight="1" thickBot="1" x14ac:dyDescent="0.3">
      <c r="A1630" s="124"/>
      <c r="B1630" s="125"/>
      <c r="F1630" s="124"/>
    </row>
    <row r="1631" spans="1:6" ht="15.75" customHeight="1" thickBot="1" x14ac:dyDescent="0.3">
      <c r="A1631" s="124"/>
      <c r="B1631" s="125"/>
      <c r="F1631" s="124"/>
    </row>
    <row r="1632" spans="1:6" ht="15.75" customHeight="1" thickBot="1" x14ac:dyDescent="0.3">
      <c r="A1632" s="124"/>
      <c r="B1632" s="125"/>
      <c r="F1632" s="124"/>
    </row>
    <row r="1633" spans="1:6" ht="15.75" customHeight="1" thickBot="1" x14ac:dyDescent="0.3">
      <c r="A1633" s="124"/>
      <c r="B1633" s="125"/>
      <c r="F1633" s="124"/>
    </row>
    <row r="1634" spans="1:6" ht="15.75" customHeight="1" thickBot="1" x14ac:dyDescent="0.3">
      <c r="A1634" s="124"/>
      <c r="B1634" s="125"/>
      <c r="F1634" s="124"/>
    </row>
    <row r="1635" spans="1:6" ht="15.75" customHeight="1" thickBot="1" x14ac:dyDescent="0.3">
      <c r="A1635" s="124"/>
      <c r="B1635" s="125"/>
      <c r="F1635" s="124"/>
    </row>
    <row r="1636" spans="1:6" ht="15.75" customHeight="1" thickBot="1" x14ac:dyDescent="0.3">
      <c r="A1636" s="124"/>
      <c r="B1636" s="125"/>
      <c r="F1636" s="124"/>
    </row>
    <row r="1637" spans="1:6" ht="15.75" customHeight="1" thickBot="1" x14ac:dyDescent="0.3">
      <c r="A1637" s="124"/>
      <c r="B1637" s="125"/>
      <c r="F1637" s="124"/>
    </row>
    <row r="1638" spans="1:6" ht="15.75" customHeight="1" thickBot="1" x14ac:dyDescent="0.3">
      <c r="A1638" s="124"/>
      <c r="B1638" s="125"/>
      <c r="F1638" s="124"/>
    </row>
    <row r="1639" spans="1:6" ht="15.75" customHeight="1" thickBot="1" x14ac:dyDescent="0.3">
      <c r="A1639" s="124"/>
      <c r="B1639" s="125"/>
      <c r="F1639" s="124"/>
    </row>
    <row r="1640" spans="1:6" ht="15.75" customHeight="1" thickBot="1" x14ac:dyDescent="0.3">
      <c r="A1640" s="124"/>
      <c r="B1640" s="125"/>
      <c r="F1640" s="124"/>
    </row>
    <row r="1641" spans="1:6" ht="15.75" customHeight="1" thickBot="1" x14ac:dyDescent="0.3">
      <c r="A1641" s="124"/>
      <c r="B1641" s="125"/>
      <c r="F1641" s="124"/>
    </row>
    <row r="1642" spans="1:6" ht="15.75" customHeight="1" thickBot="1" x14ac:dyDescent="0.3">
      <c r="A1642" s="124"/>
      <c r="B1642" s="125"/>
      <c r="F1642" s="124"/>
    </row>
    <row r="1643" spans="1:6" ht="15.75" customHeight="1" thickBot="1" x14ac:dyDescent="0.3">
      <c r="A1643" s="124"/>
      <c r="B1643" s="125"/>
      <c r="F1643" s="124"/>
    </row>
    <row r="1644" spans="1:6" ht="15.75" customHeight="1" thickBot="1" x14ac:dyDescent="0.3">
      <c r="A1644" s="124"/>
      <c r="B1644" s="125"/>
      <c r="F1644" s="124"/>
    </row>
    <row r="1645" spans="1:6" ht="15.75" customHeight="1" thickBot="1" x14ac:dyDescent="0.3">
      <c r="A1645" s="124"/>
      <c r="B1645" s="125"/>
      <c r="F1645" s="124"/>
    </row>
    <row r="1646" spans="1:6" ht="15.75" customHeight="1" thickBot="1" x14ac:dyDescent="0.3">
      <c r="A1646" s="124"/>
      <c r="B1646" s="125"/>
      <c r="F1646" s="124"/>
    </row>
    <row r="1647" spans="1:6" ht="15.75" customHeight="1" thickBot="1" x14ac:dyDescent="0.3">
      <c r="A1647" s="124"/>
      <c r="B1647" s="125"/>
      <c r="F1647" s="124"/>
    </row>
    <row r="1648" spans="1:6" ht="15.75" customHeight="1" thickBot="1" x14ac:dyDescent="0.3">
      <c r="A1648" s="124"/>
      <c r="B1648" s="125"/>
      <c r="F1648" s="124"/>
    </row>
    <row r="1649" spans="1:6" ht="15.75" customHeight="1" thickBot="1" x14ac:dyDescent="0.3">
      <c r="A1649" s="124"/>
      <c r="B1649" s="125"/>
      <c r="F1649" s="124"/>
    </row>
    <row r="1650" spans="1:6" ht="15.75" customHeight="1" thickBot="1" x14ac:dyDescent="0.3">
      <c r="A1650" s="124"/>
      <c r="B1650" s="125"/>
      <c r="F1650" s="124"/>
    </row>
    <row r="1651" spans="1:6" ht="15.75" customHeight="1" thickBot="1" x14ac:dyDescent="0.3">
      <c r="A1651" s="124"/>
      <c r="B1651" s="125"/>
      <c r="F1651" s="124"/>
    </row>
    <row r="1652" spans="1:6" ht="15.75" customHeight="1" thickBot="1" x14ac:dyDescent="0.3">
      <c r="A1652" s="124"/>
      <c r="B1652" s="125"/>
      <c r="F1652" s="124"/>
    </row>
    <row r="1653" spans="1:6" ht="15.75" customHeight="1" thickBot="1" x14ac:dyDescent="0.3">
      <c r="A1653" s="124"/>
      <c r="B1653" s="125"/>
      <c r="F1653" s="124"/>
    </row>
    <row r="1654" spans="1:6" ht="15.75" customHeight="1" thickBot="1" x14ac:dyDescent="0.3">
      <c r="A1654" s="124"/>
      <c r="B1654" s="125"/>
      <c r="F1654" s="124"/>
    </row>
    <row r="1655" spans="1:6" ht="15.75" customHeight="1" thickBot="1" x14ac:dyDescent="0.3">
      <c r="A1655" s="124"/>
      <c r="B1655" s="125"/>
      <c r="F1655" s="124"/>
    </row>
    <row r="1656" spans="1:6" ht="15.75" customHeight="1" thickBot="1" x14ac:dyDescent="0.3">
      <c r="A1656" s="124"/>
      <c r="B1656" s="125"/>
      <c r="F1656" s="124"/>
    </row>
    <row r="1657" spans="1:6" ht="15.75" customHeight="1" thickBot="1" x14ac:dyDescent="0.3">
      <c r="A1657" s="124"/>
      <c r="B1657" s="125"/>
      <c r="F1657" s="124"/>
    </row>
    <row r="1658" spans="1:6" ht="15.75" customHeight="1" thickBot="1" x14ac:dyDescent="0.3">
      <c r="A1658" s="124"/>
      <c r="B1658" s="125"/>
      <c r="F1658" s="124"/>
    </row>
    <row r="1659" spans="1:6" ht="15.75" customHeight="1" thickBot="1" x14ac:dyDescent="0.3">
      <c r="A1659" s="124"/>
      <c r="B1659" s="125"/>
      <c r="F1659" s="124"/>
    </row>
    <row r="1660" spans="1:6" ht="15.75" customHeight="1" thickBot="1" x14ac:dyDescent="0.3">
      <c r="A1660" s="124"/>
      <c r="B1660" s="125"/>
      <c r="F1660" s="124"/>
    </row>
    <row r="1661" spans="1:6" ht="15.75" customHeight="1" thickBot="1" x14ac:dyDescent="0.3">
      <c r="A1661" s="124"/>
      <c r="B1661" s="125"/>
      <c r="F1661" s="124"/>
    </row>
    <row r="1662" spans="1:6" ht="15.75" customHeight="1" thickBot="1" x14ac:dyDescent="0.3">
      <c r="A1662" s="124"/>
      <c r="B1662" s="125"/>
      <c r="F1662" s="124"/>
    </row>
    <row r="1663" spans="1:6" ht="15.75" customHeight="1" thickBot="1" x14ac:dyDescent="0.3">
      <c r="A1663" s="124"/>
      <c r="B1663" s="125"/>
      <c r="F1663" s="124"/>
    </row>
    <row r="1664" spans="1:6" ht="15.75" customHeight="1" thickBot="1" x14ac:dyDescent="0.3">
      <c r="A1664" s="124"/>
      <c r="B1664" s="125"/>
      <c r="F1664" s="124"/>
    </row>
    <row r="1665" spans="1:6" ht="15.75" customHeight="1" thickBot="1" x14ac:dyDescent="0.3">
      <c r="A1665" s="124"/>
      <c r="B1665" s="125"/>
      <c r="F1665" s="124"/>
    </row>
    <row r="1666" spans="1:6" ht="15.75" customHeight="1" thickBot="1" x14ac:dyDescent="0.3">
      <c r="A1666" s="124"/>
      <c r="B1666" s="125"/>
      <c r="F1666" s="124"/>
    </row>
    <row r="1667" spans="1:6" ht="15.75" customHeight="1" thickBot="1" x14ac:dyDescent="0.3">
      <c r="A1667" s="124"/>
      <c r="B1667" s="125"/>
      <c r="F1667" s="124"/>
    </row>
    <row r="1668" spans="1:6" ht="15.75" customHeight="1" thickBot="1" x14ac:dyDescent="0.3">
      <c r="A1668" s="124"/>
      <c r="B1668" s="125"/>
      <c r="F1668" s="124"/>
    </row>
    <row r="1669" spans="1:6" ht="15.75" customHeight="1" thickBot="1" x14ac:dyDescent="0.3">
      <c r="A1669" s="124"/>
      <c r="B1669" s="125"/>
      <c r="F1669" s="124"/>
    </row>
    <row r="1670" spans="1:6" ht="15.75" customHeight="1" thickBot="1" x14ac:dyDescent="0.3">
      <c r="A1670" s="124"/>
      <c r="B1670" s="125"/>
      <c r="F1670" s="124"/>
    </row>
    <row r="1671" spans="1:6" ht="15.75" customHeight="1" thickBot="1" x14ac:dyDescent="0.3">
      <c r="A1671" s="124"/>
      <c r="B1671" s="125"/>
      <c r="F1671" s="124"/>
    </row>
    <row r="1672" spans="1:6" ht="15.75" customHeight="1" thickBot="1" x14ac:dyDescent="0.3">
      <c r="A1672" s="124"/>
      <c r="B1672" s="125"/>
      <c r="F1672" s="124"/>
    </row>
    <row r="1673" spans="1:6" ht="15.75" customHeight="1" thickBot="1" x14ac:dyDescent="0.3">
      <c r="A1673" s="124"/>
      <c r="B1673" s="125"/>
      <c r="F1673" s="124"/>
    </row>
    <row r="1674" spans="1:6" ht="15.75" customHeight="1" thickBot="1" x14ac:dyDescent="0.3">
      <c r="A1674" s="124"/>
      <c r="B1674" s="125"/>
      <c r="F1674" s="124"/>
    </row>
    <row r="1675" spans="1:6" ht="15.75" customHeight="1" thickBot="1" x14ac:dyDescent="0.3">
      <c r="A1675" s="124"/>
      <c r="B1675" s="125"/>
      <c r="F1675" s="124"/>
    </row>
    <row r="1676" spans="1:6" ht="15.75" customHeight="1" thickBot="1" x14ac:dyDescent="0.3">
      <c r="A1676" s="124"/>
      <c r="B1676" s="125"/>
      <c r="F1676" s="124"/>
    </row>
    <row r="1677" spans="1:6" ht="15.75" customHeight="1" thickBot="1" x14ac:dyDescent="0.3">
      <c r="A1677" s="124"/>
      <c r="B1677" s="125"/>
      <c r="F1677" s="124"/>
    </row>
    <row r="1678" spans="1:6" ht="15.75" customHeight="1" thickBot="1" x14ac:dyDescent="0.3">
      <c r="A1678" s="124"/>
      <c r="B1678" s="125"/>
      <c r="F1678" s="124"/>
    </row>
    <row r="1679" spans="1:6" ht="15.75" customHeight="1" thickBot="1" x14ac:dyDescent="0.3">
      <c r="A1679" s="124"/>
      <c r="B1679" s="125"/>
      <c r="F1679" s="124"/>
    </row>
    <row r="1680" spans="1:6" ht="15.75" customHeight="1" thickBot="1" x14ac:dyDescent="0.3">
      <c r="A1680" s="124"/>
      <c r="B1680" s="125"/>
      <c r="F1680" s="124"/>
    </row>
    <row r="1681" spans="1:6" ht="15.75" customHeight="1" thickBot="1" x14ac:dyDescent="0.3">
      <c r="A1681" s="124"/>
      <c r="B1681" s="125"/>
      <c r="F1681" s="124"/>
    </row>
    <row r="1682" spans="1:6" ht="15.75" customHeight="1" thickBot="1" x14ac:dyDescent="0.3">
      <c r="A1682" s="124"/>
      <c r="B1682" s="125"/>
      <c r="F1682" s="124"/>
    </row>
    <row r="1683" spans="1:6" ht="15.75" customHeight="1" thickBot="1" x14ac:dyDescent="0.3">
      <c r="A1683" s="124"/>
      <c r="B1683" s="125"/>
      <c r="F1683" s="124"/>
    </row>
    <row r="1684" spans="1:6" ht="15.75" customHeight="1" thickBot="1" x14ac:dyDescent="0.3">
      <c r="A1684" s="124"/>
      <c r="B1684" s="125"/>
      <c r="F1684" s="124"/>
    </row>
    <row r="1685" spans="1:6" ht="15.75" customHeight="1" thickBot="1" x14ac:dyDescent="0.3">
      <c r="A1685" s="124"/>
      <c r="B1685" s="125"/>
      <c r="F1685" s="124"/>
    </row>
    <row r="1686" spans="1:6" ht="15.75" customHeight="1" thickBot="1" x14ac:dyDescent="0.3">
      <c r="A1686" s="124"/>
      <c r="B1686" s="125"/>
      <c r="F1686" s="124"/>
    </row>
    <row r="1687" spans="1:6" ht="15.75" customHeight="1" thickBot="1" x14ac:dyDescent="0.3">
      <c r="A1687" s="124"/>
      <c r="B1687" s="125"/>
      <c r="F1687" s="124"/>
    </row>
    <row r="1688" spans="1:6" ht="15.75" customHeight="1" thickBot="1" x14ac:dyDescent="0.3">
      <c r="A1688" s="124"/>
      <c r="B1688" s="125"/>
      <c r="F1688" s="124"/>
    </row>
    <row r="1689" spans="1:6" ht="15.75" customHeight="1" thickBot="1" x14ac:dyDescent="0.3">
      <c r="A1689" s="124"/>
      <c r="B1689" s="125"/>
      <c r="F1689" s="124"/>
    </row>
    <row r="1690" spans="1:6" ht="15.75" customHeight="1" thickBot="1" x14ac:dyDescent="0.3">
      <c r="A1690" s="124"/>
      <c r="B1690" s="125"/>
      <c r="F1690" s="124"/>
    </row>
    <row r="1691" spans="1:6" ht="15.75" customHeight="1" thickBot="1" x14ac:dyDescent="0.3">
      <c r="A1691" s="124"/>
      <c r="B1691" s="125"/>
      <c r="F1691" s="124"/>
    </row>
    <row r="1692" spans="1:6" ht="15.75" customHeight="1" thickBot="1" x14ac:dyDescent="0.3">
      <c r="A1692" s="124"/>
      <c r="B1692" s="125"/>
      <c r="F1692" s="124"/>
    </row>
    <row r="1693" spans="1:6" ht="15.75" customHeight="1" thickBot="1" x14ac:dyDescent="0.3">
      <c r="A1693" s="124"/>
      <c r="B1693" s="125"/>
      <c r="F1693" s="124"/>
    </row>
    <row r="1694" spans="1:6" ht="15.75" customHeight="1" thickBot="1" x14ac:dyDescent="0.3">
      <c r="A1694" s="124"/>
      <c r="B1694" s="125"/>
      <c r="F1694" s="124"/>
    </row>
    <row r="1695" spans="1:6" ht="15.75" customHeight="1" thickBot="1" x14ac:dyDescent="0.3">
      <c r="A1695" s="124"/>
      <c r="B1695" s="125"/>
      <c r="F1695" s="124"/>
    </row>
    <row r="1696" spans="1:6" ht="15.75" customHeight="1" thickBot="1" x14ac:dyDescent="0.3">
      <c r="A1696" s="124"/>
      <c r="B1696" s="125"/>
      <c r="F1696" s="124"/>
    </row>
    <row r="1697" spans="1:6" ht="15.75" customHeight="1" thickBot="1" x14ac:dyDescent="0.3">
      <c r="A1697" s="124"/>
      <c r="B1697" s="125"/>
      <c r="F1697" s="124"/>
    </row>
    <row r="1698" spans="1:6" ht="15.75" customHeight="1" thickBot="1" x14ac:dyDescent="0.3">
      <c r="A1698" s="124"/>
      <c r="B1698" s="125"/>
      <c r="F1698" s="124"/>
    </row>
    <row r="1699" spans="1:6" ht="15.75" customHeight="1" thickBot="1" x14ac:dyDescent="0.3">
      <c r="A1699" s="124"/>
      <c r="B1699" s="125"/>
      <c r="F1699" s="124"/>
    </row>
    <row r="1700" spans="1:6" ht="15.75" customHeight="1" thickBot="1" x14ac:dyDescent="0.3">
      <c r="A1700" s="124"/>
      <c r="B1700" s="125"/>
      <c r="F1700" s="124"/>
    </row>
    <row r="1701" spans="1:6" ht="15.75" customHeight="1" thickBot="1" x14ac:dyDescent="0.3">
      <c r="A1701" s="124"/>
      <c r="B1701" s="125"/>
      <c r="F1701" s="124"/>
    </row>
    <row r="1702" spans="1:6" ht="15.75" customHeight="1" thickBot="1" x14ac:dyDescent="0.3">
      <c r="A1702" s="124"/>
      <c r="B1702" s="125"/>
      <c r="F1702" s="124"/>
    </row>
    <row r="1703" spans="1:6" ht="15.75" customHeight="1" thickBot="1" x14ac:dyDescent="0.3">
      <c r="A1703" s="124"/>
      <c r="B1703" s="125"/>
      <c r="F1703" s="124"/>
    </row>
    <row r="1704" spans="1:6" ht="15.75" customHeight="1" thickBot="1" x14ac:dyDescent="0.3">
      <c r="A1704" s="124"/>
      <c r="B1704" s="125"/>
      <c r="F1704" s="124"/>
    </row>
    <row r="1705" spans="1:6" ht="15.75" customHeight="1" thickBot="1" x14ac:dyDescent="0.3">
      <c r="A1705" s="124"/>
      <c r="B1705" s="125"/>
      <c r="F1705" s="124"/>
    </row>
    <row r="1706" spans="1:6" ht="15.75" customHeight="1" thickBot="1" x14ac:dyDescent="0.3">
      <c r="A1706" s="124"/>
      <c r="B1706" s="125"/>
      <c r="F1706" s="124"/>
    </row>
    <row r="1707" spans="1:6" ht="15.75" customHeight="1" thickBot="1" x14ac:dyDescent="0.3">
      <c r="A1707" s="124"/>
      <c r="B1707" s="125"/>
      <c r="F1707" s="124"/>
    </row>
    <row r="1708" spans="1:6" ht="15.75" customHeight="1" thickBot="1" x14ac:dyDescent="0.3">
      <c r="A1708" s="124"/>
      <c r="B1708" s="125"/>
      <c r="F1708" s="124"/>
    </row>
    <row r="1709" spans="1:6" ht="15.75" customHeight="1" thickBot="1" x14ac:dyDescent="0.3">
      <c r="A1709" s="124"/>
      <c r="B1709" s="125"/>
      <c r="F1709" s="124"/>
    </row>
    <row r="1710" spans="1:6" ht="15.75" customHeight="1" thickBot="1" x14ac:dyDescent="0.3">
      <c r="A1710" s="124"/>
      <c r="B1710" s="125"/>
      <c r="F1710" s="124"/>
    </row>
    <row r="1711" spans="1:6" ht="15.75" customHeight="1" thickBot="1" x14ac:dyDescent="0.3">
      <c r="A1711" s="124"/>
      <c r="B1711" s="125"/>
      <c r="F1711" s="124"/>
    </row>
    <row r="1712" spans="1:6" ht="15.75" customHeight="1" thickBot="1" x14ac:dyDescent="0.3">
      <c r="A1712" s="124"/>
      <c r="B1712" s="125"/>
      <c r="F1712" s="124"/>
    </row>
    <row r="1713" spans="1:6" ht="15.75" customHeight="1" thickBot="1" x14ac:dyDescent="0.3">
      <c r="A1713" s="124"/>
      <c r="B1713" s="125"/>
      <c r="F1713" s="124"/>
    </row>
    <row r="1714" spans="1:6" ht="15.75" customHeight="1" thickBot="1" x14ac:dyDescent="0.3">
      <c r="A1714" s="124"/>
      <c r="B1714" s="125"/>
      <c r="F1714" s="124"/>
    </row>
    <row r="1715" spans="1:6" ht="15.75" customHeight="1" thickBot="1" x14ac:dyDescent="0.3">
      <c r="A1715" s="124"/>
      <c r="B1715" s="125"/>
      <c r="F1715" s="124"/>
    </row>
    <row r="1716" spans="1:6" ht="15.75" customHeight="1" thickBot="1" x14ac:dyDescent="0.3">
      <c r="A1716" s="124"/>
      <c r="B1716" s="125"/>
      <c r="F1716" s="124"/>
    </row>
    <row r="1717" spans="1:6" ht="15.75" customHeight="1" thickBot="1" x14ac:dyDescent="0.3">
      <c r="A1717" s="124"/>
      <c r="B1717" s="125"/>
      <c r="F1717" s="124"/>
    </row>
    <row r="1718" spans="1:6" ht="15.75" customHeight="1" thickBot="1" x14ac:dyDescent="0.3">
      <c r="A1718" s="124"/>
      <c r="B1718" s="125"/>
      <c r="F1718" s="124"/>
    </row>
    <row r="1719" spans="1:6" ht="15.75" customHeight="1" thickBot="1" x14ac:dyDescent="0.3">
      <c r="A1719" s="124"/>
      <c r="B1719" s="125"/>
      <c r="F1719" s="124"/>
    </row>
    <row r="1720" spans="1:6" ht="15.75" customHeight="1" thickBot="1" x14ac:dyDescent="0.3">
      <c r="A1720" s="124"/>
      <c r="B1720" s="125"/>
      <c r="F1720" s="124"/>
    </row>
    <row r="1721" spans="1:6" ht="15.75" customHeight="1" thickBot="1" x14ac:dyDescent="0.3">
      <c r="A1721" s="124"/>
      <c r="B1721" s="125"/>
      <c r="F1721" s="124"/>
    </row>
    <row r="1722" spans="1:6" ht="15.75" customHeight="1" thickBot="1" x14ac:dyDescent="0.3">
      <c r="A1722" s="124"/>
      <c r="B1722" s="125"/>
      <c r="F1722" s="124"/>
    </row>
    <row r="1723" spans="1:6" ht="15.75" customHeight="1" thickBot="1" x14ac:dyDescent="0.3">
      <c r="A1723" s="124"/>
      <c r="B1723" s="125"/>
      <c r="F1723" s="124"/>
    </row>
    <row r="1724" spans="1:6" ht="15.75" customHeight="1" thickBot="1" x14ac:dyDescent="0.3">
      <c r="A1724" s="124"/>
      <c r="B1724" s="125"/>
      <c r="F1724" s="124"/>
    </row>
    <row r="1725" spans="1:6" ht="15.75" customHeight="1" thickBot="1" x14ac:dyDescent="0.3">
      <c r="A1725" s="124"/>
      <c r="B1725" s="125"/>
      <c r="F1725" s="124"/>
    </row>
    <row r="1726" spans="1:6" ht="15.75" customHeight="1" thickBot="1" x14ac:dyDescent="0.3">
      <c r="A1726" s="124"/>
      <c r="B1726" s="125"/>
      <c r="F1726" s="124"/>
    </row>
    <row r="1727" spans="1:6" ht="15.75" customHeight="1" thickBot="1" x14ac:dyDescent="0.3">
      <c r="A1727" s="124"/>
      <c r="B1727" s="125"/>
      <c r="F1727" s="124"/>
    </row>
    <row r="1728" spans="1:6" ht="15.75" customHeight="1" thickBot="1" x14ac:dyDescent="0.3">
      <c r="A1728" s="124"/>
      <c r="B1728" s="125"/>
      <c r="F1728" s="124"/>
    </row>
    <row r="1729" spans="1:6" ht="15.75" customHeight="1" thickBot="1" x14ac:dyDescent="0.3">
      <c r="A1729" s="124"/>
      <c r="B1729" s="125"/>
      <c r="F1729" s="124"/>
    </row>
    <row r="1730" spans="1:6" ht="15.75" customHeight="1" thickBot="1" x14ac:dyDescent="0.3">
      <c r="A1730" s="124"/>
      <c r="B1730" s="125"/>
      <c r="F1730" s="124"/>
    </row>
    <row r="1731" spans="1:6" ht="15.75" customHeight="1" thickBot="1" x14ac:dyDescent="0.3">
      <c r="A1731" s="124"/>
      <c r="B1731" s="125"/>
      <c r="F1731" s="124"/>
    </row>
    <row r="1732" spans="1:6" ht="15.75" customHeight="1" thickBot="1" x14ac:dyDescent="0.3">
      <c r="A1732" s="124"/>
      <c r="B1732" s="125"/>
      <c r="F1732" s="124"/>
    </row>
    <row r="1733" spans="1:6" ht="15.75" customHeight="1" thickBot="1" x14ac:dyDescent="0.3">
      <c r="A1733" s="124"/>
      <c r="B1733" s="125"/>
      <c r="F1733" s="124"/>
    </row>
    <row r="1734" spans="1:6" ht="15.75" customHeight="1" thickBot="1" x14ac:dyDescent="0.3">
      <c r="A1734" s="124"/>
      <c r="B1734" s="125"/>
      <c r="F1734" s="124"/>
    </row>
    <row r="1735" spans="1:6" ht="15.75" customHeight="1" thickBot="1" x14ac:dyDescent="0.3">
      <c r="A1735" s="124"/>
      <c r="B1735" s="125"/>
      <c r="F1735" s="124"/>
    </row>
    <row r="1736" spans="1:6" ht="15.75" customHeight="1" thickBot="1" x14ac:dyDescent="0.3">
      <c r="A1736" s="124"/>
      <c r="B1736" s="125"/>
      <c r="F1736" s="124"/>
    </row>
    <row r="1737" spans="1:6" ht="15.75" customHeight="1" thickBot="1" x14ac:dyDescent="0.3">
      <c r="A1737" s="124"/>
      <c r="B1737" s="125"/>
      <c r="F1737" s="124"/>
    </row>
    <row r="1738" spans="1:6" ht="15.75" customHeight="1" thickBot="1" x14ac:dyDescent="0.3">
      <c r="A1738" s="124"/>
      <c r="B1738" s="125"/>
      <c r="F1738" s="124"/>
    </row>
    <row r="1739" spans="1:6" ht="15.75" customHeight="1" thickBot="1" x14ac:dyDescent="0.3">
      <c r="A1739" s="124"/>
      <c r="B1739" s="125"/>
      <c r="F1739" s="124"/>
    </row>
    <row r="1740" spans="1:6" ht="15.75" customHeight="1" thickBot="1" x14ac:dyDescent="0.3">
      <c r="A1740" s="124"/>
      <c r="B1740" s="125"/>
      <c r="F1740" s="124"/>
    </row>
    <row r="1741" spans="1:6" ht="15.75" customHeight="1" thickBot="1" x14ac:dyDescent="0.3">
      <c r="A1741" s="124"/>
      <c r="B1741" s="125"/>
      <c r="F1741" s="124"/>
    </row>
    <row r="1742" spans="1:6" ht="15.75" customHeight="1" thickBot="1" x14ac:dyDescent="0.3">
      <c r="A1742" s="124"/>
      <c r="B1742" s="125"/>
      <c r="F1742" s="124"/>
    </row>
    <row r="1743" spans="1:6" ht="15.75" customHeight="1" thickBot="1" x14ac:dyDescent="0.3">
      <c r="A1743" s="124"/>
      <c r="B1743" s="125"/>
      <c r="F1743" s="124"/>
    </row>
    <row r="1744" spans="1:6" ht="15.75" customHeight="1" thickBot="1" x14ac:dyDescent="0.3">
      <c r="A1744" s="124"/>
      <c r="B1744" s="125"/>
      <c r="F1744" s="124"/>
    </row>
    <row r="1745" spans="1:6" ht="15.75" customHeight="1" thickBot="1" x14ac:dyDescent="0.3">
      <c r="A1745" s="124"/>
      <c r="B1745" s="125"/>
      <c r="F1745" s="124"/>
    </row>
    <row r="1746" spans="1:6" ht="15.75" customHeight="1" thickBot="1" x14ac:dyDescent="0.3">
      <c r="A1746" s="124"/>
      <c r="B1746" s="125"/>
      <c r="F1746" s="124"/>
    </row>
    <row r="1747" spans="1:6" ht="15.75" customHeight="1" thickBot="1" x14ac:dyDescent="0.3">
      <c r="A1747" s="124"/>
      <c r="B1747" s="125"/>
      <c r="F1747" s="124"/>
    </row>
    <row r="1748" spans="1:6" ht="15.75" customHeight="1" thickBot="1" x14ac:dyDescent="0.3">
      <c r="A1748" s="124"/>
      <c r="B1748" s="125"/>
      <c r="F1748" s="124"/>
    </row>
    <row r="1749" spans="1:6" ht="15.75" customHeight="1" thickBot="1" x14ac:dyDescent="0.3">
      <c r="A1749" s="124"/>
      <c r="B1749" s="125"/>
      <c r="F1749" s="124"/>
    </row>
    <row r="1750" spans="1:6" ht="15.75" customHeight="1" thickBot="1" x14ac:dyDescent="0.3">
      <c r="A1750" s="124"/>
      <c r="B1750" s="125"/>
      <c r="F1750" s="124"/>
    </row>
    <row r="1751" spans="1:6" ht="15.75" customHeight="1" thickBot="1" x14ac:dyDescent="0.3">
      <c r="A1751" s="124"/>
      <c r="B1751" s="125"/>
      <c r="F1751" s="124"/>
    </row>
    <row r="1752" spans="1:6" ht="15.75" customHeight="1" thickBot="1" x14ac:dyDescent="0.3">
      <c r="A1752" s="124"/>
      <c r="B1752" s="125"/>
      <c r="F1752" s="124"/>
    </row>
    <row r="1753" spans="1:6" ht="15.75" customHeight="1" thickBot="1" x14ac:dyDescent="0.3">
      <c r="A1753" s="124"/>
      <c r="B1753" s="125"/>
      <c r="F1753" s="124"/>
    </row>
    <row r="1754" spans="1:6" ht="15.75" customHeight="1" thickBot="1" x14ac:dyDescent="0.3">
      <c r="A1754" s="124"/>
      <c r="B1754" s="125"/>
      <c r="F1754" s="124"/>
    </row>
    <row r="1755" spans="1:6" ht="15.75" customHeight="1" thickBot="1" x14ac:dyDescent="0.3">
      <c r="A1755" s="124"/>
      <c r="B1755" s="125"/>
      <c r="F1755" s="124"/>
    </row>
    <row r="1756" spans="1:6" ht="15.75" customHeight="1" thickBot="1" x14ac:dyDescent="0.3">
      <c r="A1756" s="124"/>
      <c r="B1756" s="125"/>
      <c r="F1756" s="124"/>
    </row>
    <row r="1757" spans="1:6" ht="15.75" customHeight="1" thickBot="1" x14ac:dyDescent="0.3">
      <c r="A1757" s="124"/>
      <c r="B1757" s="125"/>
      <c r="F1757" s="124"/>
    </row>
    <row r="1758" spans="1:6" ht="15.75" customHeight="1" thickBot="1" x14ac:dyDescent="0.3">
      <c r="A1758" s="124"/>
      <c r="B1758" s="125"/>
      <c r="F1758" s="124"/>
    </row>
    <row r="1759" spans="1:6" ht="15.75" customHeight="1" thickBot="1" x14ac:dyDescent="0.3">
      <c r="A1759" s="124"/>
      <c r="B1759" s="125"/>
      <c r="F1759" s="124"/>
    </row>
    <row r="1760" spans="1:6" ht="15.75" customHeight="1" thickBot="1" x14ac:dyDescent="0.3">
      <c r="A1760" s="124"/>
      <c r="B1760" s="125"/>
      <c r="F1760" s="124"/>
    </row>
    <row r="1761" spans="1:6" ht="15.75" customHeight="1" thickBot="1" x14ac:dyDescent="0.3">
      <c r="A1761" s="124"/>
      <c r="B1761" s="125"/>
      <c r="F1761" s="124"/>
    </row>
    <row r="1762" spans="1:6" ht="15.75" customHeight="1" thickBot="1" x14ac:dyDescent="0.3">
      <c r="A1762" s="124"/>
      <c r="B1762" s="125"/>
      <c r="F1762" s="124"/>
    </row>
    <row r="1763" spans="1:6" ht="15.75" customHeight="1" thickBot="1" x14ac:dyDescent="0.3">
      <c r="A1763" s="124"/>
      <c r="B1763" s="125"/>
      <c r="F1763" s="124"/>
    </row>
    <row r="1764" spans="1:6" ht="15.75" customHeight="1" thickBot="1" x14ac:dyDescent="0.3">
      <c r="A1764" s="124"/>
      <c r="B1764" s="125"/>
      <c r="F1764" s="124"/>
    </row>
    <row r="1765" spans="1:6" ht="15.75" customHeight="1" thickBot="1" x14ac:dyDescent="0.3">
      <c r="A1765" s="124"/>
      <c r="B1765" s="125"/>
      <c r="F1765" s="124"/>
    </row>
    <row r="1766" spans="1:6" ht="15.75" customHeight="1" thickBot="1" x14ac:dyDescent="0.3">
      <c r="A1766" s="124"/>
      <c r="B1766" s="125"/>
      <c r="F1766" s="124"/>
    </row>
    <row r="1767" spans="1:6" ht="15.75" customHeight="1" thickBot="1" x14ac:dyDescent="0.3">
      <c r="A1767" s="124"/>
      <c r="B1767" s="125"/>
      <c r="F1767" s="124"/>
    </row>
    <row r="1768" spans="1:6" ht="15.75" customHeight="1" thickBot="1" x14ac:dyDescent="0.3">
      <c r="A1768" s="124"/>
      <c r="B1768" s="125"/>
      <c r="F1768" s="124"/>
    </row>
    <row r="1769" spans="1:6" ht="15.75" customHeight="1" thickBot="1" x14ac:dyDescent="0.3">
      <c r="A1769" s="124"/>
      <c r="B1769" s="125"/>
      <c r="F1769" s="124"/>
    </row>
    <row r="1770" spans="1:6" ht="15.75" customHeight="1" thickBot="1" x14ac:dyDescent="0.3">
      <c r="A1770" s="124"/>
      <c r="B1770" s="125"/>
      <c r="F1770" s="124"/>
    </row>
    <row r="1771" spans="1:6" ht="15.75" customHeight="1" thickBot="1" x14ac:dyDescent="0.3">
      <c r="A1771" s="124"/>
      <c r="B1771" s="125"/>
      <c r="F1771" s="124"/>
    </row>
    <row r="1772" spans="1:6" ht="15.75" customHeight="1" thickBot="1" x14ac:dyDescent="0.3">
      <c r="A1772" s="124"/>
      <c r="B1772" s="125"/>
      <c r="F1772" s="124"/>
    </row>
    <row r="1773" spans="1:6" ht="15.75" customHeight="1" thickBot="1" x14ac:dyDescent="0.3">
      <c r="A1773" s="124"/>
      <c r="B1773" s="125"/>
      <c r="F1773" s="124"/>
    </row>
    <row r="1774" spans="1:6" ht="15.75" customHeight="1" thickBot="1" x14ac:dyDescent="0.3">
      <c r="A1774" s="124"/>
      <c r="B1774" s="125"/>
      <c r="F1774" s="124"/>
    </row>
    <row r="1775" spans="1:6" ht="15.75" customHeight="1" thickBot="1" x14ac:dyDescent="0.3">
      <c r="A1775" s="124"/>
      <c r="B1775" s="125"/>
      <c r="F1775" s="124"/>
    </row>
    <row r="1776" spans="1:6" ht="15.75" customHeight="1" thickBot="1" x14ac:dyDescent="0.3">
      <c r="A1776" s="124"/>
      <c r="B1776" s="125"/>
      <c r="F1776" s="124"/>
    </row>
    <row r="1777" spans="1:6" ht="15.75" customHeight="1" thickBot="1" x14ac:dyDescent="0.3">
      <c r="A1777" s="124"/>
      <c r="B1777" s="125"/>
      <c r="F1777" s="124"/>
    </row>
    <row r="1778" spans="1:6" ht="15.75" customHeight="1" thickBot="1" x14ac:dyDescent="0.3">
      <c r="A1778" s="124"/>
      <c r="B1778" s="125"/>
      <c r="F1778" s="124"/>
    </row>
    <row r="1779" spans="1:6" ht="15.75" customHeight="1" thickBot="1" x14ac:dyDescent="0.3">
      <c r="A1779" s="124"/>
      <c r="B1779" s="125"/>
      <c r="F1779" s="124"/>
    </row>
    <row r="1780" spans="1:6" ht="15.75" customHeight="1" thickBot="1" x14ac:dyDescent="0.3">
      <c r="A1780" s="124"/>
      <c r="B1780" s="125"/>
      <c r="F1780" s="124"/>
    </row>
    <row r="1781" spans="1:6" ht="15.75" customHeight="1" thickBot="1" x14ac:dyDescent="0.3">
      <c r="A1781" s="124"/>
      <c r="B1781" s="125"/>
      <c r="F1781" s="124"/>
    </row>
    <row r="1782" spans="1:6" ht="15.75" customHeight="1" thickBot="1" x14ac:dyDescent="0.3">
      <c r="A1782" s="124"/>
      <c r="B1782" s="125"/>
      <c r="F1782" s="124"/>
    </row>
    <row r="1783" spans="1:6" ht="15.75" customHeight="1" thickBot="1" x14ac:dyDescent="0.3">
      <c r="A1783" s="124"/>
      <c r="B1783" s="125"/>
      <c r="F1783" s="124"/>
    </row>
    <row r="1784" spans="1:6" ht="15.75" customHeight="1" thickBot="1" x14ac:dyDescent="0.3">
      <c r="A1784" s="124"/>
      <c r="B1784" s="125"/>
      <c r="F1784" s="124"/>
    </row>
    <row r="1785" spans="1:6" ht="15.75" customHeight="1" thickBot="1" x14ac:dyDescent="0.3">
      <c r="A1785" s="124"/>
      <c r="B1785" s="125"/>
      <c r="F1785" s="124"/>
    </row>
    <row r="1786" spans="1:6" ht="15.75" customHeight="1" thickBot="1" x14ac:dyDescent="0.3">
      <c r="A1786" s="124"/>
      <c r="B1786" s="125"/>
      <c r="F1786" s="124"/>
    </row>
    <row r="1787" spans="1:6" ht="15.75" customHeight="1" thickBot="1" x14ac:dyDescent="0.3">
      <c r="A1787" s="124"/>
      <c r="B1787" s="125"/>
      <c r="F1787" s="124"/>
    </row>
    <row r="1788" spans="1:6" ht="15.75" customHeight="1" thickBot="1" x14ac:dyDescent="0.3">
      <c r="A1788" s="124"/>
      <c r="B1788" s="125"/>
      <c r="F1788" s="124"/>
    </row>
    <row r="1789" spans="1:6" ht="15.75" customHeight="1" thickBot="1" x14ac:dyDescent="0.3">
      <c r="A1789" s="124"/>
      <c r="B1789" s="125"/>
      <c r="F1789" s="124"/>
    </row>
    <row r="1790" spans="1:6" ht="15.75" customHeight="1" thickBot="1" x14ac:dyDescent="0.3">
      <c r="A1790" s="124"/>
      <c r="B1790" s="125"/>
      <c r="F1790" s="124"/>
    </row>
    <row r="1791" spans="1:6" ht="15.75" customHeight="1" thickBot="1" x14ac:dyDescent="0.3">
      <c r="A1791" s="124"/>
      <c r="B1791" s="125"/>
      <c r="F1791" s="124"/>
    </row>
    <row r="1792" spans="1:6" ht="15.75" customHeight="1" thickBot="1" x14ac:dyDescent="0.3">
      <c r="A1792" s="124"/>
      <c r="B1792" s="125"/>
      <c r="F1792" s="124"/>
    </row>
    <row r="1793" spans="1:6" ht="15.75" customHeight="1" thickBot="1" x14ac:dyDescent="0.3">
      <c r="A1793" s="124"/>
      <c r="B1793" s="125"/>
      <c r="F1793" s="124"/>
    </row>
    <row r="1794" spans="1:6" ht="15.75" customHeight="1" thickBot="1" x14ac:dyDescent="0.3">
      <c r="A1794" s="124"/>
      <c r="B1794" s="125"/>
      <c r="F1794" s="124"/>
    </row>
    <row r="1795" spans="1:6" ht="15.75" customHeight="1" thickBot="1" x14ac:dyDescent="0.3">
      <c r="A1795" s="124"/>
      <c r="B1795" s="125"/>
      <c r="F1795" s="124"/>
    </row>
    <row r="1796" spans="1:6" ht="15.75" customHeight="1" thickBot="1" x14ac:dyDescent="0.3">
      <c r="A1796" s="124"/>
      <c r="B1796" s="125"/>
      <c r="F1796" s="124"/>
    </row>
    <row r="1797" spans="1:6" ht="15.75" customHeight="1" thickBot="1" x14ac:dyDescent="0.3">
      <c r="A1797" s="124"/>
      <c r="B1797" s="125"/>
      <c r="F1797" s="124"/>
    </row>
    <row r="1798" spans="1:6" ht="15.75" customHeight="1" thickBot="1" x14ac:dyDescent="0.3">
      <c r="A1798" s="124"/>
      <c r="B1798" s="125"/>
      <c r="F1798" s="124"/>
    </row>
    <row r="1799" spans="1:6" ht="15.75" customHeight="1" thickBot="1" x14ac:dyDescent="0.3">
      <c r="A1799" s="124"/>
      <c r="B1799" s="125"/>
      <c r="F1799" s="124"/>
    </row>
    <row r="1800" spans="1:6" ht="15.75" customHeight="1" thickBot="1" x14ac:dyDescent="0.3">
      <c r="A1800" s="124"/>
      <c r="B1800" s="125"/>
      <c r="F1800" s="124"/>
    </row>
    <row r="1801" spans="1:6" ht="15.75" customHeight="1" thickBot="1" x14ac:dyDescent="0.3">
      <c r="A1801" s="124"/>
      <c r="B1801" s="125"/>
      <c r="F1801" s="124"/>
    </row>
    <row r="1802" spans="1:6" ht="15.75" customHeight="1" thickBot="1" x14ac:dyDescent="0.3">
      <c r="A1802" s="124"/>
      <c r="B1802" s="125"/>
      <c r="F1802" s="124"/>
    </row>
    <row r="1803" spans="1:6" ht="15.75" customHeight="1" thickBot="1" x14ac:dyDescent="0.3">
      <c r="A1803" s="124"/>
      <c r="B1803" s="125"/>
      <c r="F1803" s="124"/>
    </row>
    <row r="1804" spans="1:6" ht="15.75" customHeight="1" thickBot="1" x14ac:dyDescent="0.3">
      <c r="A1804" s="124"/>
      <c r="B1804" s="125"/>
      <c r="F1804" s="124"/>
    </row>
    <row r="1805" spans="1:6" ht="15.75" customHeight="1" thickBot="1" x14ac:dyDescent="0.3">
      <c r="A1805" s="124"/>
      <c r="B1805" s="125"/>
      <c r="F1805" s="124"/>
    </row>
    <row r="1806" spans="1:6" ht="15.75" customHeight="1" thickBot="1" x14ac:dyDescent="0.3">
      <c r="A1806" s="124"/>
      <c r="B1806" s="125"/>
      <c r="F1806" s="124"/>
    </row>
    <row r="1807" spans="1:6" ht="15.75" customHeight="1" thickBot="1" x14ac:dyDescent="0.3">
      <c r="A1807" s="124"/>
      <c r="B1807" s="125"/>
      <c r="F1807" s="124"/>
    </row>
    <row r="1808" spans="1:6" ht="15.75" customHeight="1" thickBot="1" x14ac:dyDescent="0.3">
      <c r="A1808" s="124"/>
      <c r="B1808" s="125"/>
      <c r="F1808" s="124"/>
    </row>
    <row r="1809" spans="1:6" ht="15.75" customHeight="1" thickBot="1" x14ac:dyDescent="0.3">
      <c r="A1809" s="124"/>
      <c r="B1809" s="125"/>
      <c r="F1809" s="124"/>
    </row>
    <row r="1810" spans="1:6" ht="15.75" customHeight="1" thickBot="1" x14ac:dyDescent="0.3">
      <c r="A1810" s="124"/>
      <c r="B1810" s="125"/>
      <c r="F1810" s="124"/>
    </row>
    <row r="1811" spans="1:6" ht="15.75" customHeight="1" thickBot="1" x14ac:dyDescent="0.3">
      <c r="A1811" s="124"/>
      <c r="B1811" s="125"/>
      <c r="F1811" s="124"/>
    </row>
    <row r="1812" spans="1:6" ht="15.75" customHeight="1" thickBot="1" x14ac:dyDescent="0.3">
      <c r="A1812" s="124"/>
      <c r="B1812" s="125"/>
      <c r="F1812" s="124"/>
    </row>
    <row r="1813" spans="1:6" ht="15.75" customHeight="1" thickBot="1" x14ac:dyDescent="0.3">
      <c r="A1813" s="124"/>
      <c r="B1813" s="125"/>
      <c r="F1813" s="124"/>
    </row>
    <row r="1814" spans="1:6" ht="15.75" customHeight="1" thickBot="1" x14ac:dyDescent="0.3">
      <c r="A1814" s="124"/>
      <c r="B1814" s="125"/>
      <c r="F1814" s="124"/>
    </row>
    <row r="1815" spans="1:6" ht="15.75" customHeight="1" thickBot="1" x14ac:dyDescent="0.3">
      <c r="A1815" s="124"/>
      <c r="B1815" s="125"/>
      <c r="F1815" s="124"/>
    </row>
    <row r="1816" spans="1:6" ht="15.75" customHeight="1" thickBot="1" x14ac:dyDescent="0.3">
      <c r="A1816" s="124"/>
      <c r="B1816" s="125"/>
      <c r="F1816" s="124"/>
    </row>
    <row r="1817" spans="1:6" ht="15.75" customHeight="1" thickBot="1" x14ac:dyDescent="0.3">
      <c r="A1817" s="124"/>
      <c r="B1817" s="125"/>
      <c r="F1817" s="124"/>
    </row>
    <row r="1818" spans="1:6" ht="15.75" customHeight="1" thickBot="1" x14ac:dyDescent="0.3">
      <c r="A1818" s="124"/>
      <c r="B1818" s="125"/>
      <c r="F1818" s="124"/>
    </row>
    <row r="1819" spans="1:6" ht="15.75" customHeight="1" thickBot="1" x14ac:dyDescent="0.3">
      <c r="A1819" s="124"/>
      <c r="B1819" s="125"/>
      <c r="F1819" s="124"/>
    </row>
    <row r="1820" spans="1:6" ht="15.75" customHeight="1" thickBot="1" x14ac:dyDescent="0.3">
      <c r="A1820" s="124"/>
      <c r="B1820" s="125"/>
      <c r="F1820" s="124"/>
    </row>
    <row r="1821" spans="1:6" ht="15.75" customHeight="1" thickBot="1" x14ac:dyDescent="0.3">
      <c r="A1821" s="124"/>
      <c r="B1821" s="125"/>
      <c r="F1821" s="124"/>
    </row>
    <row r="1822" spans="1:6" ht="15.75" customHeight="1" thickBot="1" x14ac:dyDescent="0.3">
      <c r="A1822" s="124"/>
      <c r="B1822" s="125"/>
      <c r="F1822" s="124"/>
    </row>
    <row r="1823" spans="1:6" ht="15.75" customHeight="1" thickBot="1" x14ac:dyDescent="0.3">
      <c r="A1823" s="124"/>
      <c r="B1823" s="125"/>
      <c r="F1823" s="124"/>
    </row>
    <row r="1824" spans="1:6" ht="15.75" customHeight="1" thickBot="1" x14ac:dyDescent="0.3">
      <c r="A1824" s="124"/>
      <c r="B1824" s="125"/>
      <c r="F1824" s="124"/>
    </row>
    <row r="1825" spans="1:6" ht="15.75" customHeight="1" thickBot="1" x14ac:dyDescent="0.3">
      <c r="A1825" s="124"/>
      <c r="B1825" s="125"/>
      <c r="F1825" s="124"/>
    </row>
    <row r="1826" spans="1:6" ht="15.75" customHeight="1" thickBot="1" x14ac:dyDescent="0.3">
      <c r="A1826" s="124"/>
      <c r="B1826" s="125"/>
      <c r="F1826" s="124"/>
    </row>
    <row r="1827" spans="1:6" ht="15.75" customHeight="1" thickBot="1" x14ac:dyDescent="0.3">
      <c r="A1827" s="124"/>
      <c r="B1827" s="125"/>
      <c r="F1827" s="124"/>
    </row>
    <row r="1828" spans="1:6" ht="15.75" customHeight="1" thickBot="1" x14ac:dyDescent="0.3">
      <c r="A1828" s="124"/>
      <c r="B1828" s="125"/>
      <c r="F1828" s="124"/>
    </row>
    <row r="1829" spans="1:6" ht="15.75" customHeight="1" thickBot="1" x14ac:dyDescent="0.3">
      <c r="A1829" s="124"/>
      <c r="B1829" s="125"/>
      <c r="F1829" s="124"/>
    </row>
    <row r="1830" spans="1:6" ht="15.75" customHeight="1" thickBot="1" x14ac:dyDescent="0.3">
      <c r="A1830" s="124"/>
      <c r="B1830" s="125"/>
      <c r="F1830" s="124"/>
    </row>
    <row r="1831" spans="1:6" ht="15.75" customHeight="1" thickBot="1" x14ac:dyDescent="0.3">
      <c r="A1831" s="124"/>
      <c r="B1831" s="125"/>
      <c r="F1831" s="124"/>
    </row>
    <row r="1832" spans="1:6" ht="15.75" customHeight="1" thickBot="1" x14ac:dyDescent="0.3">
      <c r="A1832" s="124"/>
      <c r="B1832" s="125"/>
      <c r="F1832" s="124"/>
    </row>
    <row r="1833" spans="1:6" ht="15.75" customHeight="1" thickBot="1" x14ac:dyDescent="0.3">
      <c r="A1833" s="124"/>
      <c r="B1833" s="125"/>
      <c r="F1833" s="124"/>
    </row>
    <row r="1834" spans="1:6" ht="15.75" customHeight="1" thickBot="1" x14ac:dyDescent="0.3">
      <c r="A1834" s="124"/>
      <c r="B1834" s="125"/>
      <c r="F1834" s="124"/>
    </row>
    <row r="1835" spans="1:6" ht="15.75" customHeight="1" thickBot="1" x14ac:dyDescent="0.3">
      <c r="A1835" s="124"/>
      <c r="B1835" s="125"/>
      <c r="F1835" s="124"/>
    </row>
    <row r="1836" spans="1:6" ht="15.75" customHeight="1" thickBot="1" x14ac:dyDescent="0.3">
      <c r="A1836" s="124"/>
      <c r="B1836" s="125"/>
      <c r="F1836" s="124"/>
    </row>
    <row r="1837" spans="1:6" ht="15.75" customHeight="1" thickBot="1" x14ac:dyDescent="0.3">
      <c r="A1837" s="124"/>
      <c r="B1837" s="125"/>
      <c r="F1837" s="124"/>
    </row>
    <row r="1838" spans="1:6" ht="15.75" customHeight="1" thickBot="1" x14ac:dyDescent="0.3">
      <c r="A1838" s="124"/>
      <c r="B1838" s="125"/>
      <c r="F1838" s="124"/>
    </row>
    <row r="1839" spans="1:6" ht="15.75" customHeight="1" thickBot="1" x14ac:dyDescent="0.3">
      <c r="A1839" s="124"/>
      <c r="B1839" s="125"/>
      <c r="F1839" s="124"/>
    </row>
    <row r="1840" spans="1:6" ht="15.75" customHeight="1" thickBot="1" x14ac:dyDescent="0.3">
      <c r="A1840" s="124"/>
      <c r="B1840" s="125"/>
      <c r="F1840" s="124"/>
    </row>
    <row r="1841" spans="1:6" ht="15.75" customHeight="1" thickBot="1" x14ac:dyDescent="0.3">
      <c r="A1841" s="124"/>
      <c r="B1841" s="125"/>
      <c r="F1841" s="124"/>
    </row>
    <row r="1842" spans="1:6" ht="15.75" customHeight="1" thickBot="1" x14ac:dyDescent="0.3">
      <c r="A1842" s="124"/>
      <c r="B1842" s="125"/>
      <c r="F1842" s="124"/>
    </row>
    <row r="1843" spans="1:6" ht="15.75" customHeight="1" thickBot="1" x14ac:dyDescent="0.3">
      <c r="A1843" s="124"/>
      <c r="B1843" s="125"/>
      <c r="F1843" s="124"/>
    </row>
    <row r="1844" spans="1:6" ht="15.75" customHeight="1" thickBot="1" x14ac:dyDescent="0.3">
      <c r="A1844" s="124"/>
      <c r="B1844" s="125"/>
      <c r="F1844" s="124"/>
    </row>
    <row r="1845" spans="1:6" ht="15.75" customHeight="1" thickBot="1" x14ac:dyDescent="0.3">
      <c r="A1845" s="124"/>
      <c r="B1845" s="125"/>
      <c r="F1845" s="124"/>
    </row>
    <row r="1846" spans="1:6" ht="15.75" customHeight="1" thickBot="1" x14ac:dyDescent="0.3">
      <c r="A1846" s="124"/>
      <c r="B1846" s="125"/>
      <c r="F1846" s="124"/>
    </row>
    <row r="1847" spans="1:6" ht="15.75" customHeight="1" thickBot="1" x14ac:dyDescent="0.3">
      <c r="A1847" s="124"/>
      <c r="B1847" s="125"/>
      <c r="F1847" s="124"/>
    </row>
    <row r="1848" spans="1:6" ht="15.75" customHeight="1" thickBot="1" x14ac:dyDescent="0.3">
      <c r="A1848" s="124"/>
      <c r="B1848" s="125"/>
      <c r="F1848" s="124"/>
    </row>
    <row r="1849" spans="1:6" ht="15.75" customHeight="1" thickBot="1" x14ac:dyDescent="0.3">
      <c r="A1849" s="124"/>
      <c r="B1849" s="125"/>
      <c r="F1849" s="124"/>
    </row>
    <row r="1850" spans="1:6" ht="15.75" customHeight="1" thickBot="1" x14ac:dyDescent="0.3">
      <c r="A1850" s="124"/>
      <c r="B1850" s="125"/>
      <c r="F1850" s="124"/>
    </row>
    <row r="1851" spans="1:6" ht="15.75" customHeight="1" thickBot="1" x14ac:dyDescent="0.3">
      <c r="A1851" s="124"/>
      <c r="B1851" s="125"/>
      <c r="F1851" s="124"/>
    </row>
    <row r="1852" spans="1:6" ht="15.75" customHeight="1" thickBot="1" x14ac:dyDescent="0.3">
      <c r="A1852" s="124"/>
      <c r="B1852" s="125"/>
      <c r="F1852" s="124"/>
    </row>
    <row r="1853" spans="1:6" ht="15.75" customHeight="1" thickBot="1" x14ac:dyDescent="0.3">
      <c r="A1853" s="124"/>
      <c r="B1853" s="125"/>
      <c r="F1853" s="124"/>
    </row>
    <row r="1854" spans="1:6" ht="15.75" customHeight="1" thickBot="1" x14ac:dyDescent="0.3">
      <c r="A1854" s="124"/>
      <c r="B1854" s="125"/>
      <c r="F1854" s="124"/>
    </row>
    <row r="1855" spans="1:6" ht="15.75" customHeight="1" thickBot="1" x14ac:dyDescent="0.3">
      <c r="A1855" s="124"/>
      <c r="B1855" s="125"/>
      <c r="F1855" s="124"/>
    </row>
    <row r="1856" spans="1:6" ht="15.75" customHeight="1" thickBot="1" x14ac:dyDescent="0.3">
      <c r="A1856" s="124"/>
      <c r="B1856" s="125"/>
      <c r="F1856" s="124"/>
    </row>
    <row r="1857" spans="1:6" ht="15.75" customHeight="1" thickBot="1" x14ac:dyDescent="0.3">
      <c r="A1857" s="124"/>
      <c r="B1857" s="125"/>
      <c r="F1857" s="124"/>
    </row>
    <row r="1858" spans="1:6" ht="15.75" customHeight="1" thickBot="1" x14ac:dyDescent="0.3">
      <c r="A1858" s="124"/>
      <c r="B1858" s="125"/>
      <c r="F1858" s="124"/>
    </row>
    <row r="1859" spans="1:6" ht="15.75" customHeight="1" thickBot="1" x14ac:dyDescent="0.3">
      <c r="A1859" s="124"/>
      <c r="B1859" s="125"/>
      <c r="F1859" s="124"/>
    </row>
    <row r="1860" spans="1:6" ht="15.75" customHeight="1" thickBot="1" x14ac:dyDescent="0.3">
      <c r="A1860" s="124"/>
      <c r="B1860" s="125"/>
      <c r="F1860" s="124"/>
    </row>
    <row r="1861" spans="1:6" ht="15.75" customHeight="1" thickBot="1" x14ac:dyDescent="0.3">
      <c r="A1861" s="124"/>
      <c r="B1861" s="125"/>
      <c r="F1861" s="124"/>
    </row>
    <row r="1862" spans="1:6" ht="15.75" customHeight="1" thickBot="1" x14ac:dyDescent="0.3">
      <c r="A1862" s="124"/>
      <c r="B1862" s="125"/>
      <c r="F1862" s="124"/>
    </row>
    <row r="1863" spans="1:6" ht="15.75" customHeight="1" thickBot="1" x14ac:dyDescent="0.3">
      <c r="A1863" s="124"/>
      <c r="B1863" s="125"/>
      <c r="F1863" s="124"/>
    </row>
    <row r="1864" spans="1:6" ht="15.75" customHeight="1" thickBot="1" x14ac:dyDescent="0.3">
      <c r="A1864" s="124"/>
      <c r="B1864" s="125"/>
      <c r="F1864" s="124"/>
    </row>
    <row r="1865" spans="1:6" ht="15.75" customHeight="1" thickBot="1" x14ac:dyDescent="0.3">
      <c r="A1865" s="124"/>
      <c r="B1865" s="125"/>
      <c r="F1865" s="124"/>
    </row>
    <row r="1866" spans="1:6" ht="15.75" customHeight="1" thickBot="1" x14ac:dyDescent="0.3">
      <c r="A1866" s="124"/>
      <c r="B1866" s="125"/>
      <c r="F1866" s="124"/>
    </row>
    <row r="1867" spans="1:6" ht="15.75" customHeight="1" thickBot="1" x14ac:dyDescent="0.3">
      <c r="A1867" s="124"/>
      <c r="B1867" s="125"/>
      <c r="F1867" s="124"/>
    </row>
    <row r="1868" spans="1:6" ht="15.75" customHeight="1" thickBot="1" x14ac:dyDescent="0.3">
      <c r="A1868" s="124"/>
      <c r="B1868" s="125"/>
      <c r="F1868" s="124"/>
    </row>
    <row r="1869" spans="1:6" ht="15.75" customHeight="1" thickBot="1" x14ac:dyDescent="0.3">
      <c r="A1869" s="124"/>
      <c r="B1869" s="125"/>
      <c r="F1869" s="124"/>
    </row>
    <row r="1870" spans="1:6" ht="15.75" customHeight="1" thickBot="1" x14ac:dyDescent="0.3">
      <c r="A1870" s="124"/>
      <c r="B1870" s="125"/>
      <c r="F1870" s="124"/>
    </row>
    <row r="1871" spans="1:6" ht="15.75" customHeight="1" thickBot="1" x14ac:dyDescent="0.3">
      <c r="A1871" s="124"/>
      <c r="B1871" s="125"/>
      <c r="F1871" s="124"/>
    </row>
    <row r="1872" spans="1:6" ht="15.75" customHeight="1" thickBot="1" x14ac:dyDescent="0.3">
      <c r="A1872" s="124"/>
      <c r="B1872" s="125"/>
      <c r="F1872" s="124"/>
    </row>
    <row r="1873" spans="1:6" ht="15.75" customHeight="1" thickBot="1" x14ac:dyDescent="0.3">
      <c r="A1873" s="124"/>
      <c r="B1873" s="125"/>
      <c r="F1873" s="124"/>
    </row>
    <row r="1874" spans="1:6" ht="15.75" customHeight="1" thickBot="1" x14ac:dyDescent="0.3">
      <c r="A1874" s="124"/>
      <c r="B1874" s="125"/>
      <c r="F1874" s="124"/>
    </row>
    <row r="1875" spans="1:6" ht="15.75" customHeight="1" thickBot="1" x14ac:dyDescent="0.3">
      <c r="A1875" s="124"/>
      <c r="B1875" s="125"/>
      <c r="F1875" s="124"/>
    </row>
    <row r="1876" spans="1:6" ht="15.75" customHeight="1" thickBot="1" x14ac:dyDescent="0.3">
      <c r="A1876" s="124"/>
      <c r="B1876" s="125"/>
      <c r="F1876" s="124"/>
    </row>
    <row r="1877" spans="1:6" ht="15.75" customHeight="1" thickBot="1" x14ac:dyDescent="0.3">
      <c r="A1877" s="124"/>
      <c r="B1877" s="125"/>
      <c r="F1877" s="124"/>
    </row>
    <row r="1878" spans="1:6" ht="15.75" customHeight="1" thickBot="1" x14ac:dyDescent="0.3">
      <c r="A1878" s="124"/>
      <c r="B1878" s="125"/>
      <c r="F1878" s="124"/>
    </row>
    <row r="1879" spans="1:6" ht="15.75" customHeight="1" thickBot="1" x14ac:dyDescent="0.3">
      <c r="A1879" s="124"/>
      <c r="B1879" s="125"/>
      <c r="F1879" s="124"/>
    </row>
    <row r="1880" spans="1:6" ht="15.75" customHeight="1" thickBot="1" x14ac:dyDescent="0.3">
      <c r="A1880" s="124"/>
      <c r="B1880" s="125"/>
      <c r="F1880" s="124"/>
    </row>
    <row r="1881" spans="1:6" ht="15.75" customHeight="1" thickBot="1" x14ac:dyDescent="0.3">
      <c r="A1881" s="124"/>
      <c r="B1881" s="125"/>
      <c r="F1881" s="124"/>
    </row>
    <row r="1882" spans="1:6" ht="15.75" customHeight="1" thickBot="1" x14ac:dyDescent="0.3">
      <c r="A1882" s="124"/>
      <c r="B1882" s="125"/>
      <c r="F1882" s="124"/>
    </row>
    <row r="1883" spans="1:6" ht="15.75" customHeight="1" thickBot="1" x14ac:dyDescent="0.3">
      <c r="A1883" s="124"/>
      <c r="B1883" s="125"/>
      <c r="F1883" s="124"/>
    </row>
    <row r="1884" spans="1:6" ht="15.75" customHeight="1" thickBot="1" x14ac:dyDescent="0.3">
      <c r="A1884" s="124"/>
      <c r="B1884" s="125"/>
      <c r="F1884" s="124"/>
    </row>
    <row r="1885" spans="1:6" ht="15.75" customHeight="1" thickBot="1" x14ac:dyDescent="0.3">
      <c r="A1885" s="124"/>
      <c r="B1885" s="125"/>
      <c r="F1885" s="124"/>
    </row>
    <row r="1886" spans="1:6" ht="15.75" customHeight="1" thickBot="1" x14ac:dyDescent="0.3">
      <c r="A1886" s="124"/>
      <c r="B1886" s="125"/>
      <c r="F1886" s="124"/>
    </row>
    <row r="1887" spans="1:6" ht="15.75" customHeight="1" thickBot="1" x14ac:dyDescent="0.3">
      <c r="A1887" s="124"/>
      <c r="B1887" s="125"/>
      <c r="F1887" s="124"/>
    </row>
    <row r="1888" spans="1:6" ht="15.75" customHeight="1" thickBot="1" x14ac:dyDescent="0.3">
      <c r="A1888" s="124"/>
      <c r="B1888" s="125"/>
      <c r="F1888" s="124"/>
    </row>
    <row r="1889" spans="1:6" ht="15.75" customHeight="1" thickBot="1" x14ac:dyDescent="0.3">
      <c r="A1889" s="124"/>
      <c r="B1889" s="125"/>
      <c r="F1889" s="124"/>
    </row>
    <row r="1890" spans="1:6" ht="15.75" customHeight="1" thickBot="1" x14ac:dyDescent="0.3">
      <c r="A1890" s="124"/>
      <c r="B1890" s="125"/>
      <c r="F1890" s="124"/>
    </row>
    <row r="1891" spans="1:6" ht="15.75" customHeight="1" thickBot="1" x14ac:dyDescent="0.3">
      <c r="A1891" s="124"/>
      <c r="B1891" s="125"/>
      <c r="F1891" s="124"/>
    </row>
    <row r="1892" spans="1:6" ht="15.75" customHeight="1" thickBot="1" x14ac:dyDescent="0.3">
      <c r="A1892" s="124"/>
      <c r="B1892" s="125"/>
      <c r="F1892" s="124"/>
    </row>
    <row r="1893" spans="1:6" ht="15.75" customHeight="1" thickBot="1" x14ac:dyDescent="0.3">
      <c r="A1893" s="124"/>
      <c r="B1893" s="125"/>
      <c r="F1893" s="124"/>
    </row>
    <row r="1894" spans="1:6" ht="15.75" customHeight="1" thickBot="1" x14ac:dyDescent="0.3">
      <c r="A1894" s="124"/>
      <c r="B1894" s="125"/>
      <c r="F1894" s="124"/>
    </row>
    <row r="1895" spans="1:6" ht="15.75" customHeight="1" thickBot="1" x14ac:dyDescent="0.3">
      <c r="A1895" s="124"/>
      <c r="B1895" s="125"/>
      <c r="F1895" s="124"/>
    </row>
    <row r="1896" spans="1:6" ht="15.75" customHeight="1" thickBot="1" x14ac:dyDescent="0.3">
      <c r="A1896" s="124"/>
      <c r="B1896" s="125"/>
      <c r="F1896" s="124"/>
    </row>
    <row r="1897" spans="1:6" ht="15.75" customHeight="1" thickBot="1" x14ac:dyDescent="0.3">
      <c r="A1897" s="124"/>
      <c r="B1897" s="125"/>
      <c r="F1897" s="124"/>
    </row>
    <row r="1898" spans="1:6" ht="15.75" customHeight="1" thickBot="1" x14ac:dyDescent="0.3">
      <c r="A1898" s="124"/>
      <c r="B1898" s="125"/>
      <c r="F1898" s="124"/>
    </row>
    <row r="1899" spans="1:6" ht="15.75" customHeight="1" thickBot="1" x14ac:dyDescent="0.3">
      <c r="A1899" s="124"/>
      <c r="B1899" s="125"/>
      <c r="F1899" s="124"/>
    </row>
    <row r="1900" spans="1:6" ht="15.75" customHeight="1" thickBot="1" x14ac:dyDescent="0.3">
      <c r="A1900" s="124"/>
      <c r="B1900" s="125"/>
      <c r="F1900" s="124"/>
    </row>
    <row r="1901" spans="1:6" ht="15.75" customHeight="1" thickBot="1" x14ac:dyDescent="0.3">
      <c r="A1901" s="124"/>
      <c r="B1901" s="125"/>
      <c r="F1901" s="124"/>
    </row>
    <row r="1902" spans="1:6" ht="15.75" customHeight="1" thickBot="1" x14ac:dyDescent="0.3">
      <c r="A1902" s="124"/>
      <c r="B1902" s="125"/>
      <c r="F1902" s="124"/>
    </row>
    <row r="1903" spans="1:6" ht="15.75" customHeight="1" thickBot="1" x14ac:dyDescent="0.3">
      <c r="A1903" s="124"/>
      <c r="B1903" s="125"/>
      <c r="F1903" s="124"/>
    </row>
    <row r="1904" spans="1:6" ht="15.75" customHeight="1" thickBot="1" x14ac:dyDescent="0.3">
      <c r="A1904" s="124"/>
      <c r="B1904" s="125"/>
      <c r="F1904" s="124"/>
    </row>
    <row r="1905" spans="1:6" ht="15.75" customHeight="1" thickBot="1" x14ac:dyDescent="0.3">
      <c r="A1905" s="124"/>
      <c r="B1905" s="125"/>
      <c r="F1905" s="124"/>
    </row>
    <row r="1906" spans="1:6" ht="15.75" customHeight="1" thickBot="1" x14ac:dyDescent="0.3">
      <c r="A1906" s="124"/>
      <c r="B1906" s="125"/>
      <c r="F1906" s="124"/>
    </row>
    <row r="1907" spans="1:6" ht="15.75" customHeight="1" thickBot="1" x14ac:dyDescent="0.3">
      <c r="A1907" s="124"/>
      <c r="B1907" s="125"/>
      <c r="F1907" s="124"/>
    </row>
    <row r="1908" spans="1:6" ht="15.75" customHeight="1" thickBot="1" x14ac:dyDescent="0.3">
      <c r="A1908" s="124"/>
      <c r="B1908" s="125"/>
      <c r="F1908" s="124"/>
    </row>
    <row r="1909" spans="1:6" ht="15.75" customHeight="1" thickBot="1" x14ac:dyDescent="0.3">
      <c r="A1909" s="124"/>
      <c r="B1909" s="125"/>
      <c r="F1909" s="124"/>
    </row>
    <row r="1910" spans="1:6" ht="15.75" customHeight="1" thickBot="1" x14ac:dyDescent="0.3">
      <c r="A1910" s="124"/>
      <c r="B1910" s="125"/>
      <c r="F1910" s="124"/>
    </row>
    <row r="1911" spans="1:6" ht="15.75" customHeight="1" thickBot="1" x14ac:dyDescent="0.3">
      <c r="A1911" s="124"/>
      <c r="B1911" s="125"/>
      <c r="F1911" s="124"/>
    </row>
    <row r="1912" spans="1:6" ht="15.75" customHeight="1" thickBot="1" x14ac:dyDescent="0.3">
      <c r="A1912" s="124"/>
      <c r="B1912" s="125"/>
      <c r="F1912" s="124"/>
    </row>
    <row r="1913" spans="1:6" ht="15.75" customHeight="1" thickBot="1" x14ac:dyDescent="0.3">
      <c r="A1913" s="124"/>
      <c r="B1913" s="125"/>
      <c r="F1913" s="124"/>
    </row>
    <row r="1914" spans="1:6" ht="15.75" customHeight="1" thickBot="1" x14ac:dyDescent="0.3">
      <c r="A1914" s="124"/>
      <c r="B1914" s="125"/>
      <c r="F1914" s="124"/>
    </row>
    <row r="1915" spans="1:6" ht="15.75" customHeight="1" thickBot="1" x14ac:dyDescent="0.3">
      <c r="A1915" s="124"/>
      <c r="B1915" s="125"/>
      <c r="F1915" s="124"/>
    </row>
    <row r="1916" spans="1:6" ht="15.75" customHeight="1" thickBot="1" x14ac:dyDescent="0.3">
      <c r="A1916" s="124"/>
      <c r="B1916" s="125"/>
      <c r="F1916" s="124"/>
    </row>
    <row r="1917" spans="1:6" ht="15.75" customHeight="1" thickBot="1" x14ac:dyDescent="0.3">
      <c r="A1917" s="124"/>
      <c r="B1917" s="125"/>
      <c r="F1917" s="124"/>
    </row>
    <row r="1918" spans="1:6" ht="15.75" customHeight="1" thickBot="1" x14ac:dyDescent="0.3">
      <c r="A1918" s="124"/>
      <c r="B1918" s="125"/>
      <c r="F1918" s="124"/>
    </row>
    <row r="1919" spans="1:6" ht="15.75" customHeight="1" thickBot="1" x14ac:dyDescent="0.3">
      <c r="A1919" s="124"/>
      <c r="B1919" s="125"/>
      <c r="F1919" s="124"/>
    </row>
    <row r="1920" spans="1:6" ht="15.75" customHeight="1" thickBot="1" x14ac:dyDescent="0.3">
      <c r="A1920" s="124"/>
      <c r="B1920" s="125"/>
      <c r="F1920" s="124"/>
    </row>
    <row r="1921" spans="1:6" ht="15.75" customHeight="1" thickBot="1" x14ac:dyDescent="0.3">
      <c r="A1921" s="124"/>
      <c r="B1921" s="125"/>
      <c r="F1921" s="124"/>
    </row>
    <row r="1922" spans="1:6" ht="15.75" customHeight="1" thickBot="1" x14ac:dyDescent="0.3">
      <c r="A1922" s="124"/>
      <c r="B1922" s="125"/>
      <c r="F1922" s="124"/>
    </row>
    <row r="1923" spans="1:6" ht="15.75" customHeight="1" thickBot="1" x14ac:dyDescent="0.3">
      <c r="A1923" s="124"/>
      <c r="B1923" s="125"/>
      <c r="F1923" s="124"/>
    </row>
    <row r="1924" spans="1:6" ht="15.75" customHeight="1" thickBot="1" x14ac:dyDescent="0.3">
      <c r="A1924" s="124"/>
      <c r="B1924" s="125"/>
      <c r="F1924" s="124"/>
    </row>
    <row r="1925" spans="1:6" ht="15.75" customHeight="1" thickBot="1" x14ac:dyDescent="0.3">
      <c r="A1925" s="124"/>
      <c r="B1925" s="125"/>
      <c r="F1925" s="124"/>
    </row>
    <row r="1926" spans="1:6" ht="15.75" customHeight="1" thickBot="1" x14ac:dyDescent="0.3">
      <c r="A1926" s="124"/>
      <c r="B1926" s="125"/>
      <c r="F1926" s="124"/>
    </row>
    <row r="1927" spans="1:6" ht="15.75" customHeight="1" thickBot="1" x14ac:dyDescent="0.3">
      <c r="A1927" s="124"/>
      <c r="B1927" s="125"/>
      <c r="F1927" s="124"/>
    </row>
    <row r="1928" spans="1:6" ht="15.75" customHeight="1" thickBot="1" x14ac:dyDescent="0.3">
      <c r="A1928" s="124"/>
      <c r="B1928" s="125"/>
      <c r="F1928" s="124"/>
    </row>
    <row r="1929" spans="1:6" ht="15.75" customHeight="1" thickBot="1" x14ac:dyDescent="0.3">
      <c r="A1929" s="124"/>
      <c r="B1929" s="125"/>
      <c r="F1929" s="124"/>
    </row>
    <row r="1930" spans="1:6" ht="15.75" customHeight="1" thickBot="1" x14ac:dyDescent="0.3">
      <c r="A1930" s="124"/>
      <c r="B1930" s="125"/>
      <c r="F1930" s="124"/>
    </row>
    <row r="1931" spans="1:6" ht="15.75" customHeight="1" thickBot="1" x14ac:dyDescent="0.3">
      <c r="A1931" s="124"/>
      <c r="B1931" s="125"/>
      <c r="F1931" s="124"/>
    </row>
    <row r="1932" spans="1:6" ht="15.75" customHeight="1" thickBot="1" x14ac:dyDescent="0.3">
      <c r="A1932" s="124"/>
      <c r="B1932" s="125"/>
      <c r="F1932" s="124"/>
    </row>
    <row r="1933" spans="1:6" ht="15.75" customHeight="1" thickBot="1" x14ac:dyDescent="0.3">
      <c r="A1933" s="124"/>
      <c r="B1933" s="125"/>
      <c r="F1933" s="124"/>
    </row>
    <row r="1934" spans="1:6" ht="15.75" customHeight="1" thickBot="1" x14ac:dyDescent="0.3">
      <c r="A1934" s="124"/>
      <c r="B1934" s="125"/>
      <c r="F1934" s="124"/>
    </row>
    <row r="1935" spans="1:6" ht="15.75" customHeight="1" thickBot="1" x14ac:dyDescent="0.3">
      <c r="A1935" s="124"/>
      <c r="B1935" s="125"/>
      <c r="F1935" s="124"/>
    </row>
    <row r="1936" spans="1:6" ht="15.75" customHeight="1" thickBot="1" x14ac:dyDescent="0.3">
      <c r="A1936" s="124"/>
      <c r="B1936" s="125"/>
      <c r="F1936" s="124"/>
    </row>
    <row r="1937" spans="1:6" ht="15.75" customHeight="1" thickBot="1" x14ac:dyDescent="0.3">
      <c r="A1937" s="124"/>
      <c r="B1937" s="125"/>
      <c r="F1937" s="124"/>
    </row>
    <row r="1938" spans="1:6" ht="15.75" customHeight="1" thickBot="1" x14ac:dyDescent="0.3">
      <c r="A1938" s="124"/>
      <c r="B1938" s="125"/>
      <c r="F1938" s="124"/>
    </row>
    <row r="1939" spans="1:6" ht="15.75" customHeight="1" thickBot="1" x14ac:dyDescent="0.3">
      <c r="A1939" s="124"/>
      <c r="B1939" s="125"/>
      <c r="F1939" s="124"/>
    </row>
    <row r="1940" spans="1:6" ht="15.75" customHeight="1" thickBot="1" x14ac:dyDescent="0.3">
      <c r="A1940" s="124"/>
      <c r="B1940" s="125"/>
      <c r="F1940" s="124"/>
    </row>
    <row r="1941" spans="1:6" ht="15.75" customHeight="1" thickBot="1" x14ac:dyDescent="0.3">
      <c r="A1941" s="124"/>
      <c r="B1941" s="125"/>
      <c r="F1941" s="124"/>
    </row>
    <row r="1942" spans="1:6" ht="15.75" customHeight="1" thickBot="1" x14ac:dyDescent="0.3">
      <c r="A1942" s="124"/>
      <c r="B1942" s="125"/>
      <c r="F1942" s="124"/>
    </row>
    <row r="1943" spans="1:6" ht="15.75" customHeight="1" thickBot="1" x14ac:dyDescent="0.3">
      <c r="A1943" s="124"/>
      <c r="B1943" s="125"/>
      <c r="F1943" s="124"/>
    </row>
    <row r="1944" spans="1:6" ht="15.75" customHeight="1" thickBot="1" x14ac:dyDescent="0.3">
      <c r="A1944" s="124"/>
      <c r="B1944" s="125"/>
      <c r="F1944" s="124"/>
    </row>
    <row r="1945" spans="1:6" ht="15.75" customHeight="1" thickBot="1" x14ac:dyDescent="0.3">
      <c r="A1945" s="124"/>
      <c r="B1945" s="125"/>
      <c r="F1945" s="124"/>
    </row>
    <row r="1946" spans="1:6" ht="15.75" customHeight="1" thickBot="1" x14ac:dyDescent="0.3">
      <c r="A1946" s="124"/>
      <c r="B1946" s="125"/>
      <c r="F1946" s="124"/>
    </row>
    <row r="1947" spans="1:6" ht="15.75" customHeight="1" thickBot="1" x14ac:dyDescent="0.3">
      <c r="A1947" s="124"/>
      <c r="B1947" s="125"/>
      <c r="F1947" s="124"/>
    </row>
    <row r="1948" spans="1:6" ht="15.75" customHeight="1" thickBot="1" x14ac:dyDescent="0.3">
      <c r="A1948" s="124"/>
      <c r="B1948" s="125"/>
      <c r="F1948" s="124"/>
    </row>
    <row r="1949" spans="1:6" ht="15.75" customHeight="1" thickBot="1" x14ac:dyDescent="0.3">
      <c r="A1949" s="124"/>
      <c r="B1949" s="125"/>
      <c r="F1949" s="124"/>
    </row>
    <row r="1950" spans="1:6" ht="15.75" customHeight="1" thickBot="1" x14ac:dyDescent="0.3">
      <c r="A1950" s="124"/>
      <c r="B1950" s="125"/>
      <c r="F1950" s="124"/>
    </row>
    <row r="1951" spans="1:6" ht="15.75" customHeight="1" thickBot="1" x14ac:dyDescent="0.3">
      <c r="A1951" s="124"/>
      <c r="B1951" s="125"/>
      <c r="F1951" s="124"/>
    </row>
    <row r="1952" spans="1:6" ht="15.75" customHeight="1" thickBot="1" x14ac:dyDescent="0.3">
      <c r="A1952" s="124"/>
      <c r="B1952" s="125"/>
      <c r="F1952" s="124"/>
    </row>
    <row r="1953" spans="1:6" ht="15.75" customHeight="1" thickBot="1" x14ac:dyDescent="0.3">
      <c r="A1953" s="124"/>
      <c r="B1953" s="125"/>
      <c r="F1953" s="124"/>
    </row>
    <row r="1954" spans="1:6" ht="15.75" customHeight="1" thickBot="1" x14ac:dyDescent="0.3">
      <c r="A1954" s="124"/>
      <c r="B1954" s="125"/>
      <c r="F1954" s="124"/>
    </row>
    <row r="1955" spans="1:6" ht="15.75" customHeight="1" thickBot="1" x14ac:dyDescent="0.3">
      <c r="A1955" s="124"/>
      <c r="B1955" s="125"/>
      <c r="F1955" s="124"/>
    </row>
    <row r="1956" spans="1:6" ht="15.75" customHeight="1" thickBot="1" x14ac:dyDescent="0.3">
      <c r="A1956" s="124"/>
      <c r="B1956" s="125"/>
      <c r="F1956" s="124"/>
    </row>
    <row r="1957" spans="1:6" ht="15.75" customHeight="1" thickBot="1" x14ac:dyDescent="0.3">
      <c r="A1957" s="124"/>
      <c r="B1957" s="125"/>
      <c r="F1957" s="124"/>
    </row>
    <row r="1958" spans="1:6" ht="15.75" customHeight="1" thickBot="1" x14ac:dyDescent="0.3">
      <c r="A1958" s="124"/>
      <c r="B1958" s="125"/>
      <c r="F1958" s="124"/>
    </row>
    <row r="1959" spans="1:6" ht="15.75" customHeight="1" thickBot="1" x14ac:dyDescent="0.3">
      <c r="A1959" s="124"/>
      <c r="B1959" s="125"/>
      <c r="F1959" s="124"/>
    </row>
    <row r="1960" spans="1:6" ht="15.75" customHeight="1" thickBot="1" x14ac:dyDescent="0.3">
      <c r="A1960" s="124"/>
      <c r="B1960" s="125"/>
      <c r="F1960" s="124"/>
    </row>
    <row r="1961" spans="1:6" ht="15.75" customHeight="1" thickBot="1" x14ac:dyDescent="0.3">
      <c r="A1961" s="124"/>
      <c r="B1961" s="125"/>
      <c r="F1961" s="124"/>
    </row>
    <row r="1962" spans="1:6" ht="15.75" customHeight="1" thickBot="1" x14ac:dyDescent="0.3">
      <c r="A1962" s="124"/>
      <c r="B1962" s="125"/>
      <c r="F1962" s="124"/>
    </row>
    <row r="1963" spans="1:6" ht="15.75" customHeight="1" thickBot="1" x14ac:dyDescent="0.3">
      <c r="A1963" s="124"/>
      <c r="B1963" s="125"/>
      <c r="F1963" s="124"/>
    </row>
    <row r="1964" spans="1:6" ht="15.75" customHeight="1" thickBot="1" x14ac:dyDescent="0.3">
      <c r="A1964" s="124"/>
      <c r="B1964" s="125"/>
      <c r="F1964" s="124"/>
    </row>
    <row r="1965" spans="1:6" ht="15.75" customHeight="1" thickBot="1" x14ac:dyDescent="0.3">
      <c r="A1965" s="124"/>
      <c r="B1965" s="125"/>
      <c r="F1965" s="124"/>
    </row>
    <row r="1966" spans="1:6" ht="15.75" customHeight="1" thickBot="1" x14ac:dyDescent="0.3">
      <c r="A1966" s="124"/>
      <c r="B1966" s="125"/>
      <c r="F1966" s="124"/>
    </row>
    <row r="1967" spans="1:6" ht="15.75" customHeight="1" thickBot="1" x14ac:dyDescent="0.3">
      <c r="A1967" s="124"/>
      <c r="B1967" s="125"/>
      <c r="F1967" s="124"/>
    </row>
    <row r="1968" spans="1:6" ht="15.75" customHeight="1" thickBot="1" x14ac:dyDescent="0.3">
      <c r="A1968" s="124"/>
      <c r="B1968" s="125"/>
      <c r="F1968" s="124"/>
    </row>
    <row r="1969" spans="1:6" ht="15.75" customHeight="1" thickBot="1" x14ac:dyDescent="0.3">
      <c r="A1969" s="124"/>
      <c r="B1969" s="125"/>
      <c r="F1969" s="124"/>
    </row>
    <row r="1970" spans="1:6" ht="15.75" customHeight="1" thickBot="1" x14ac:dyDescent="0.3">
      <c r="A1970" s="124"/>
      <c r="B1970" s="125"/>
      <c r="F1970" s="124"/>
    </row>
    <row r="1971" spans="1:6" ht="15.75" customHeight="1" thickBot="1" x14ac:dyDescent="0.3">
      <c r="A1971" s="124"/>
      <c r="B1971" s="125"/>
      <c r="F1971" s="124"/>
    </row>
    <row r="1972" spans="1:6" ht="15.75" customHeight="1" thickBot="1" x14ac:dyDescent="0.3">
      <c r="A1972" s="124"/>
      <c r="B1972" s="125"/>
      <c r="F1972" s="124"/>
    </row>
    <row r="1973" spans="1:6" ht="15.75" customHeight="1" thickBot="1" x14ac:dyDescent="0.3">
      <c r="A1973" s="124"/>
      <c r="B1973" s="125"/>
      <c r="F1973" s="124"/>
    </row>
    <row r="1974" spans="1:6" ht="15.75" customHeight="1" thickBot="1" x14ac:dyDescent="0.3">
      <c r="A1974" s="124"/>
      <c r="B1974" s="125"/>
      <c r="F1974" s="124"/>
    </row>
    <row r="1975" spans="1:6" ht="15.75" customHeight="1" thickBot="1" x14ac:dyDescent="0.3">
      <c r="A1975" s="124"/>
      <c r="B1975" s="125"/>
      <c r="F1975" s="124"/>
    </row>
    <row r="1976" spans="1:6" ht="15.75" customHeight="1" thickBot="1" x14ac:dyDescent="0.3">
      <c r="A1976" s="124"/>
      <c r="B1976" s="125"/>
      <c r="F1976" s="124"/>
    </row>
    <row r="1977" spans="1:6" ht="15.75" customHeight="1" thickBot="1" x14ac:dyDescent="0.3">
      <c r="A1977" s="124"/>
      <c r="B1977" s="125"/>
      <c r="F1977" s="124"/>
    </row>
    <row r="1978" spans="1:6" ht="15.75" customHeight="1" thickBot="1" x14ac:dyDescent="0.3">
      <c r="A1978" s="124"/>
      <c r="B1978" s="125"/>
      <c r="F1978" s="124"/>
    </row>
    <row r="1979" spans="1:6" ht="15.75" customHeight="1" thickBot="1" x14ac:dyDescent="0.3">
      <c r="A1979" s="124"/>
      <c r="B1979" s="125"/>
      <c r="F1979" s="124"/>
    </row>
    <row r="1980" spans="1:6" ht="15.75" customHeight="1" thickBot="1" x14ac:dyDescent="0.3">
      <c r="A1980" s="124"/>
      <c r="B1980" s="125"/>
      <c r="F1980" s="124"/>
    </row>
    <row r="1981" spans="1:6" ht="15.75" customHeight="1" thickBot="1" x14ac:dyDescent="0.3">
      <c r="A1981" s="124"/>
      <c r="B1981" s="125"/>
      <c r="F1981" s="124"/>
    </row>
    <row r="1982" spans="1:6" ht="15.75" customHeight="1" thickBot="1" x14ac:dyDescent="0.3">
      <c r="A1982" s="124"/>
      <c r="B1982" s="125"/>
      <c r="F1982" s="124"/>
    </row>
    <row r="1983" spans="1:6" ht="15.75" customHeight="1" thickBot="1" x14ac:dyDescent="0.3">
      <c r="A1983" s="124"/>
      <c r="B1983" s="125"/>
      <c r="F1983" s="124"/>
    </row>
    <row r="1984" spans="1:6" ht="15.75" customHeight="1" thickBot="1" x14ac:dyDescent="0.3">
      <c r="A1984" s="124"/>
      <c r="B1984" s="125"/>
      <c r="F1984" s="124"/>
    </row>
    <row r="1985" spans="1:6" ht="15.75" customHeight="1" thickBot="1" x14ac:dyDescent="0.3">
      <c r="A1985" s="124"/>
      <c r="B1985" s="125"/>
      <c r="F1985" s="124"/>
    </row>
    <row r="1986" spans="1:6" ht="15.75" customHeight="1" thickBot="1" x14ac:dyDescent="0.3">
      <c r="A1986" s="124"/>
      <c r="B1986" s="125"/>
      <c r="F1986" s="124"/>
    </row>
    <row r="1987" spans="1:6" ht="15.75" customHeight="1" thickBot="1" x14ac:dyDescent="0.3">
      <c r="A1987" s="124"/>
      <c r="B1987" s="125"/>
      <c r="F1987" s="124"/>
    </row>
    <row r="1988" spans="1:6" ht="15.75" customHeight="1" thickBot="1" x14ac:dyDescent="0.3">
      <c r="A1988" s="124"/>
      <c r="B1988" s="125"/>
      <c r="F1988" s="124"/>
    </row>
    <row r="1989" spans="1:6" ht="15.75" customHeight="1" thickBot="1" x14ac:dyDescent="0.3">
      <c r="A1989" s="124"/>
      <c r="B1989" s="125"/>
      <c r="F1989" s="124"/>
    </row>
    <row r="1990" spans="1:6" ht="15.75" customHeight="1" thickBot="1" x14ac:dyDescent="0.3">
      <c r="A1990" s="124"/>
      <c r="B1990" s="125"/>
      <c r="F1990" s="124"/>
    </row>
    <row r="1991" spans="1:6" ht="15.75" customHeight="1" thickBot="1" x14ac:dyDescent="0.3">
      <c r="A1991" s="124"/>
      <c r="B1991" s="125"/>
      <c r="F1991" s="124"/>
    </row>
    <row r="1992" spans="1:6" ht="15.75" customHeight="1" thickBot="1" x14ac:dyDescent="0.3">
      <c r="A1992" s="124"/>
      <c r="B1992" s="125"/>
      <c r="F1992" s="124"/>
    </row>
    <row r="1993" spans="1:6" ht="15.75" customHeight="1" thickBot="1" x14ac:dyDescent="0.3">
      <c r="A1993" s="124"/>
      <c r="B1993" s="125"/>
      <c r="F1993" s="124"/>
    </row>
    <row r="1994" spans="1:6" ht="15.75" customHeight="1" thickBot="1" x14ac:dyDescent="0.3">
      <c r="A1994" s="124"/>
      <c r="B1994" s="125"/>
      <c r="F1994" s="124"/>
    </row>
    <row r="1995" spans="1:6" ht="15.75" customHeight="1" thickBot="1" x14ac:dyDescent="0.3">
      <c r="A1995" s="124"/>
      <c r="B1995" s="125"/>
      <c r="F1995" s="124"/>
    </row>
    <row r="1996" spans="1:6" ht="15.75" customHeight="1" thickBot="1" x14ac:dyDescent="0.3">
      <c r="A1996" s="124"/>
      <c r="B1996" s="125"/>
      <c r="F1996" s="124"/>
    </row>
    <row r="1997" spans="1:6" ht="15.75" customHeight="1" thickBot="1" x14ac:dyDescent="0.3">
      <c r="A1997" s="124"/>
      <c r="B1997" s="125"/>
      <c r="F1997" s="124"/>
    </row>
    <row r="1998" spans="1:6" ht="15.75" customHeight="1" thickBot="1" x14ac:dyDescent="0.3">
      <c r="A1998" s="124"/>
      <c r="B1998" s="125"/>
      <c r="F1998" s="124"/>
    </row>
    <row r="1999" spans="1:6" ht="15.75" customHeight="1" thickBot="1" x14ac:dyDescent="0.3">
      <c r="A1999" s="124"/>
      <c r="B1999" s="125"/>
      <c r="F1999" s="124"/>
    </row>
    <row r="2000" spans="1:6" ht="15.75" customHeight="1" thickBot="1" x14ac:dyDescent="0.3">
      <c r="A2000" s="124"/>
      <c r="B2000" s="125"/>
      <c r="F2000" s="124"/>
    </row>
    <row r="2001" spans="1:6" ht="15.75" customHeight="1" thickBot="1" x14ac:dyDescent="0.3">
      <c r="A2001" s="124"/>
      <c r="B2001" s="125"/>
      <c r="F2001" s="124"/>
    </row>
    <row r="2002" spans="1:6" ht="15.75" customHeight="1" thickBot="1" x14ac:dyDescent="0.3">
      <c r="A2002" s="124"/>
      <c r="B2002" s="125"/>
      <c r="F2002" s="124"/>
    </row>
    <row r="2003" spans="1:6" ht="15.75" customHeight="1" thickBot="1" x14ac:dyDescent="0.3">
      <c r="A2003" s="124"/>
      <c r="B2003" s="125"/>
      <c r="F2003" s="124"/>
    </row>
    <row r="2004" spans="1:6" ht="15.75" customHeight="1" thickBot="1" x14ac:dyDescent="0.3">
      <c r="A2004" s="124"/>
      <c r="B2004" s="125"/>
      <c r="F2004" s="124"/>
    </row>
    <row r="2005" spans="1:6" ht="15.75" customHeight="1" thickBot="1" x14ac:dyDescent="0.3">
      <c r="A2005" s="124"/>
      <c r="B2005" s="125"/>
      <c r="F2005" s="124"/>
    </row>
    <row r="2006" spans="1:6" ht="15.75" customHeight="1" thickBot="1" x14ac:dyDescent="0.3">
      <c r="A2006" s="124"/>
      <c r="B2006" s="125"/>
      <c r="F2006" s="124"/>
    </row>
    <row r="2007" spans="1:6" ht="15.75" customHeight="1" thickBot="1" x14ac:dyDescent="0.3">
      <c r="A2007" s="124"/>
      <c r="B2007" s="125"/>
      <c r="F2007" s="124"/>
    </row>
    <row r="2008" spans="1:6" ht="15.75" customHeight="1" thickBot="1" x14ac:dyDescent="0.3">
      <c r="A2008" s="124"/>
      <c r="B2008" s="125"/>
      <c r="F2008" s="124"/>
    </row>
    <row r="2009" spans="1:6" ht="15.75" customHeight="1" thickBot="1" x14ac:dyDescent="0.3">
      <c r="A2009" s="124"/>
      <c r="B2009" s="125"/>
      <c r="F2009" s="124"/>
    </row>
    <row r="2010" spans="1:6" ht="15.75" customHeight="1" thickBot="1" x14ac:dyDescent="0.3">
      <c r="A2010" s="124"/>
      <c r="B2010" s="125"/>
      <c r="F2010" s="124"/>
    </row>
    <row r="2011" spans="1:6" ht="15.75" customHeight="1" thickBot="1" x14ac:dyDescent="0.3">
      <c r="A2011" s="124"/>
      <c r="B2011" s="125"/>
      <c r="F2011" s="124"/>
    </row>
    <row r="2012" spans="1:6" ht="15.75" customHeight="1" thickBot="1" x14ac:dyDescent="0.3">
      <c r="A2012" s="124"/>
      <c r="B2012" s="125"/>
      <c r="F2012" s="124"/>
    </row>
    <row r="2013" spans="1:6" ht="15.75" customHeight="1" thickBot="1" x14ac:dyDescent="0.3">
      <c r="A2013" s="124"/>
      <c r="B2013" s="125"/>
      <c r="F2013" s="124"/>
    </row>
    <row r="2014" spans="1:6" ht="15.75" customHeight="1" thickBot="1" x14ac:dyDescent="0.3">
      <c r="A2014" s="124"/>
      <c r="B2014" s="125"/>
      <c r="F2014" s="124"/>
    </row>
    <row r="2015" spans="1:6" ht="15.75" customHeight="1" thickBot="1" x14ac:dyDescent="0.3">
      <c r="A2015" s="124"/>
      <c r="B2015" s="125"/>
      <c r="F2015" s="124"/>
    </row>
    <row r="2016" spans="1:6" ht="15.75" customHeight="1" thickBot="1" x14ac:dyDescent="0.3">
      <c r="A2016" s="124"/>
      <c r="B2016" s="125"/>
      <c r="F2016" s="124"/>
    </row>
    <row r="2017" spans="1:6" ht="15.75" customHeight="1" thickBot="1" x14ac:dyDescent="0.3">
      <c r="A2017" s="124"/>
      <c r="B2017" s="125"/>
      <c r="F2017" s="124"/>
    </row>
    <row r="2018" spans="1:6" ht="15.75" customHeight="1" thickBot="1" x14ac:dyDescent="0.3">
      <c r="A2018" s="124"/>
      <c r="B2018" s="125"/>
      <c r="F2018" s="124"/>
    </row>
    <row r="2019" spans="1:6" ht="15.75" customHeight="1" thickBot="1" x14ac:dyDescent="0.3">
      <c r="A2019" s="124"/>
      <c r="B2019" s="125"/>
      <c r="F2019" s="124"/>
    </row>
    <row r="2020" spans="1:6" ht="15.75" customHeight="1" thickBot="1" x14ac:dyDescent="0.3">
      <c r="A2020" s="124"/>
      <c r="B2020" s="125"/>
      <c r="F2020" s="124"/>
    </row>
    <row r="2021" spans="1:6" ht="15.75" customHeight="1" thickBot="1" x14ac:dyDescent="0.3">
      <c r="A2021" s="124"/>
      <c r="B2021" s="125"/>
      <c r="F2021" s="124"/>
    </row>
    <row r="2022" spans="1:6" ht="15.75" customHeight="1" thickBot="1" x14ac:dyDescent="0.3">
      <c r="A2022" s="124"/>
      <c r="B2022" s="125"/>
      <c r="F2022" s="124"/>
    </row>
    <row r="2023" spans="1:6" ht="15.75" customHeight="1" thickBot="1" x14ac:dyDescent="0.3">
      <c r="A2023" s="124"/>
      <c r="B2023" s="125"/>
      <c r="F2023" s="124"/>
    </row>
    <row r="2024" spans="1:6" ht="15.75" customHeight="1" thickBot="1" x14ac:dyDescent="0.3">
      <c r="A2024" s="124"/>
      <c r="B2024" s="125"/>
      <c r="F2024" s="124"/>
    </row>
    <row r="2025" spans="1:6" ht="15.75" customHeight="1" thickBot="1" x14ac:dyDescent="0.3">
      <c r="A2025" s="124"/>
      <c r="B2025" s="125"/>
      <c r="F2025" s="124"/>
    </row>
    <row r="2026" spans="1:6" ht="15.75" customHeight="1" thickBot="1" x14ac:dyDescent="0.3">
      <c r="A2026" s="124"/>
      <c r="B2026" s="125"/>
      <c r="F2026" s="124"/>
    </row>
    <row r="2027" spans="1:6" ht="15.75" customHeight="1" thickBot="1" x14ac:dyDescent="0.3">
      <c r="A2027" s="124"/>
      <c r="B2027" s="125"/>
      <c r="F2027" s="124"/>
    </row>
    <row r="2028" spans="1:6" ht="15.75" customHeight="1" thickBot="1" x14ac:dyDescent="0.3">
      <c r="A2028" s="124"/>
      <c r="B2028" s="125"/>
      <c r="F2028" s="124"/>
    </row>
    <row r="2029" spans="1:6" ht="15.75" customHeight="1" thickBot="1" x14ac:dyDescent="0.3">
      <c r="A2029" s="124"/>
      <c r="B2029" s="125"/>
      <c r="F2029" s="124"/>
    </row>
    <row r="2030" spans="1:6" ht="15.75" customHeight="1" thickBot="1" x14ac:dyDescent="0.3">
      <c r="A2030" s="124"/>
      <c r="B2030" s="125"/>
      <c r="F2030" s="124"/>
    </row>
    <row r="2031" spans="1:6" ht="15.75" customHeight="1" thickBot="1" x14ac:dyDescent="0.3">
      <c r="A2031" s="124"/>
      <c r="B2031" s="125"/>
      <c r="F2031" s="124"/>
    </row>
    <row r="2032" spans="1:6" ht="15.75" customHeight="1" thickBot="1" x14ac:dyDescent="0.3">
      <c r="A2032" s="124"/>
      <c r="B2032" s="125"/>
      <c r="F2032" s="124"/>
    </row>
    <row r="2033" spans="1:6" ht="15.75" customHeight="1" thickBot="1" x14ac:dyDescent="0.3">
      <c r="A2033" s="124"/>
      <c r="B2033" s="125"/>
      <c r="F2033" s="124"/>
    </row>
    <row r="2034" spans="1:6" ht="15.75" customHeight="1" thickBot="1" x14ac:dyDescent="0.3">
      <c r="A2034" s="124"/>
      <c r="B2034" s="125"/>
      <c r="F2034" s="124"/>
    </row>
    <row r="2035" spans="1:6" ht="15.75" customHeight="1" thickBot="1" x14ac:dyDescent="0.3">
      <c r="A2035" s="124"/>
      <c r="B2035" s="125"/>
      <c r="F2035" s="124"/>
    </row>
    <row r="2036" spans="1:6" ht="15.75" customHeight="1" thickBot="1" x14ac:dyDescent="0.3">
      <c r="A2036" s="124"/>
      <c r="B2036" s="125"/>
      <c r="F2036" s="124"/>
    </row>
    <row r="2037" spans="1:6" ht="15.75" customHeight="1" thickBot="1" x14ac:dyDescent="0.3">
      <c r="A2037" s="124"/>
      <c r="B2037" s="125"/>
      <c r="F2037" s="124"/>
    </row>
    <row r="2038" spans="1:6" ht="15.75" customHeight="1" thickBot="1" x14ac:dyDescent="0.3">
      <c r="A2038" s="124"/>
      <c r="B2038" s="125"/>
      <c r="F2038" s="124"/>
    </row>
    <row r="2039" spans="1:6" ht="15.75" customHeight="1" thickBot="1" x14ac:dyDescent="0.3">
      <c r="A2039" s="124"/>
      <c r="B2039" s="125"/>
      <c r="F2039" s="124"/>
    </row>
    <row r="2040" spans="1:6" ht="15.75" customHeight="1" thickBot="1" x14ac:dyDescent="0.3">
      <c r="A2040" s="124"/>
      <c r="B2040" s="125"/>
      <c r="F2040" s="124"/>
    </row>
    <row r="2041" spans="1:6" ht="15.75" customHeight="1" thickBot="1" x14ac:dyDescent="0.3">
      <c r="A2041" s="124"/>
      <c r="B2041" s="125"/>
      <c r="F2041" s="124"/>
    </row>
    <row r="2042" spans="1:6" ht="15.75" customHeight="1" thickBot="1" x14ac:dyDescent="0.3">
      <c r="A2042" s="124"/>
      <c r="B2042" s="125"/>
      <c r="F2042" s="124"/>
    </row>
    <row r="2043" spans="1:6" ht="15.75" customHeight="1" thickBot="1" x14ac:dyDescent="0.3">
      <c r="A2043" s="124"/>
      <c r="B2043" s="125"/>
      <c r="F2043" s="124"/>
    </row>
    <row r="2044" spans="1:6" ht="15.75" customHeight="1" thickBot="1" x14ac:dyDescent="0.3">
      <c r="A2044" s="124"/>
      <c r="B2044" s="125"/>
      <c r="F2044" s="124"/>
    </row>
    <row r="2045" spans="1:6" ht="15.75" customHeight="1" thickBot="1" x14ac:dyDescent="0.3">
      <c r="A2045" s="124"/>
      <c r="B2045" s="125"/>
      <c r="F2045" s="124"/>
    </row>
    <row r="2046" spans="1:6" ht="15.75" customHeight="1" thickBot="1" x14ac:dyDescent="0.3">
      <c r="A2046" s="124"/>
      <c r="B2046" s="125"/>
      <c r="F2046" s="124"/>
    </row>
    <row r="2047" spans="1:6" ht="15.75" customHeight="1" thickBot="1" x14ac:dyDescent="0.3">
      <c r="A2047" s="124"/>
      <c r="B2047" s="125"/>
      <c r="F2047" s="124"/>
    </row>
    <row r="2048" spans="1:6" ht="15.75" customHeight="1" thickBot="1" x14ac:dyDescent="0.3">
      <c r="A2048" s="124"/>
      <c r="B2048" s="125"/>
      <c r="F2048" s="124"/>
    </row>
    <row r="2049" spans="1:6" ht="15.75" customHeight="1" thickBot="1" x14ac:dyDescent="0.3">
      <c r="A2049" s="124"/>
      <c r="B2049" s="125"/>
      <c r="F2049" s="124"/>
    </row>
    <row r="2050" spans="1:6" ht="15.75" customHeight="1" thickBot="1" x14ac:dyDescent="0.3">
      <c r="A2050" s="124"/>
      <c r="B2050" s="125"/>
      <c r="F2050" s="124"/>
    </row>
    <row r="2051" spans="1:6" ht="15.75" customHeight="1" thickBot="1" x14ac:dyDescent="0.3">
      <c r="A2051" s="124"/>
      <c r="B2051" s="125"/>
      <c r="F2051" s="124"/>
    </row>
    <row r="2052" spans="1:6" ht="15.75" customHeight="1" thickBot="1" x14ac:dyDescent="0.3">
      <c r="A2052" s="124"/>
      <c r="B2052" s="125"/>
      <c r="F2052" s="124"/>
    </row>
    <row r="2053" spans="1:6" ht="15.75" customHeight="1" thickBot="1" x14ac:dyDescent="0.3">
      <c r="A2053" s="124"/>
      <c r="B2053" s="125"/>
      <c r="F2053" s="124"/>
    </row>
    <row r="2054" spans="1:6" ht="15.75" customHeight="1" thickBot="1" x14ac:dyDescent="0.3">
      <c r="A2054" s="124"/>
      <c r="B2054" s="125"/>
      <c r="F2054" s="124"/>
    </row>
    <row r="2055" spans="1:6" ht="15.75" customHeight="1" thickBot="1" x14ac:dyDescent="0.3">
      <c r="A2055" s="124"/>
      <c r="B2055" s="125"/>
      <c r="F2055" s="124"/>
    </row>
    <row r="2056" spans="1:6" ht="15.75" customHeight="1" thickBot="1" x14ac:dyDescent="0.3">
      <c r="A2056" s="124"/>
      <c r="B2056" s="125"/>
      <c r="F2056" s="124"/>
    </row>
    <row r="2057" spans="1:6" ht="15.75" customHeight="1" thickBot="1" x14ac:dyDescent="0.3">
      <c r="A2057" s="124"/>
      <c r="B2057" s="125"/>
      <c r="F2057" s="124"/>
    </row>
    <row r="2058" spans="1:6" ht="15.75" customHeight="1" thickBot="1" x14ac:dyDescent="0.3">
      <c r="A2058" s="124"/>
      <c r="B2058" s="125"/>
      <c r="F2058" s="124"/>
    </row>
    <row r="2059" spans="1:6" ht="15.75" customHeight="1" thickBot="1" x14ac:dyDescent="0.3">
      <c r="A2059" s="124"/>
      <c r="B2059" s="125"/>
      <c r="F2059" s="124"/>
    </row>
    <row r="2060" spans="1:6" ht="15.75" customHeight="1" thickBot="1" x14ac:dyDescent="0.3">
      <c r="A2060" s="124"/>
      <c r="B2060" s="125"/>
      <c r="F2060" s="124"/>
    </row>
    <row r="2061" spans="1:6" ht="15.75" customHeight="1" thickBot="1" x14ac:dyDescent="0.3">
      <c r="A2061" s="124"/>
      <c r="B2061" s="125"/>
      <c r="F2061" s="124"/>
    </row>
    <row r="2062" spans="1:6" ht="15.75" customHeight="1" thickBot="1" x14ac:dyDescent="0.3">
      <c r="A2062" s="124"/>
      <c r="B2062" s="125"/>
      <c r="F2062" s="124"/>
    </row>
    <row r="2063" spans="1:6" ht="15.75" customHeight="1" thickBot="1" x14ac:dyDescent="0.3">
      <c r="A2063" s="124"/>
      <c r="B2063" s="125"/>
      <c r="F2063" s="124"/>
    </row>
    <row r="2064" spans="1:6" ht="15.75" customHeight="1" thickBot="1" x14ac:dyDescent="0.3">
      <c r="A2064" s="124"/>
      <c r="B2064" s="125"/>
      <c r="F2064" s="124"/>
    </row>
    <row r="2065" spans="1:6" ht="15.75" customHeight="1" thickBot="1" x14ac:dyDescent="0.3">
      <c r="A2065" s="124"/>
      <c r="B2065" s="125"/>
      <c r="F2065" s="124"/>
    </row>
    <row r="2066" spans="1:6" ht="15.75" customHeight="1" thickBot="1" x14ac:dyDescent="0.3">
      <c r="A2066" s="124"/>
      <c r="B2066" s="125"/>
      <c r="F2066" s="124"/>
    </row>
    <row r="2067" spans="1:6" ht="15.75" customHeight="1" thickBot="1" x14ac:dyDescent="0.3">
      <c r="A2067" s="124"/>
      <c r="B2067" s="125"/>
      <c r="F2067" s="124"/>
    </row>
    <row r="2068" spans="1:6" ht="15.75" customHeight="1" thickBot="1" x14ac:dyDescent="0.3">
      <c r="A2068" s="124"/>
      <c r="B2068" s="125"/>
      <c r="F2068" s="124"/>
    </row>
    <row r="2069" spans="1:6" ht="15.75" customHeight="1" thickBot="1" x14ac:dyDescent="0.3">
      <c r="A2069" s="124"/>
      <c r="B2069" s="125"/>
      <c r="F2069" s="124"/>
    </row>
    <row r="2070" spans="1:6" ht="15.75" customHeight="1" thickBot="1" x14ac:dyDescent="0.3">
      <c r="A2070" s="124"/>
      <c r="B2070" s="125"/>
      <c r="F2070" s="124"/>
    </row>
    <row r="2071" spans="1:6" ht="15.75" customHeight="1" thickBot="1" x14ac:dyDescent="0.3">
      <c r="A2071" s="124"/>
      <c r="B2071" s="125"/>
      <c r="F2071" s="124"/>
    </row>
    <row r="2072" spans="1:6" ht="15.75" customHeight="1" thickBot="1" x14ac:dyDescent="0.3">
      <c r="A2072" s="124"/>
      <c r="B2072" s="125"/>
      <c r="F2072" s="124"/>
    </row>
    <row r="2073" spans="1:6" ht="15.75" customHeight="1" thickBot="1" x14ac:dyDescent="0.3">
      <c r="A2073" s="124"/>
      <c r="B2073" s="125"/>
      <c r="F2073" s="124"/>
    </row>
    <row r="2074" spans="1:6" ht="15.75" customHeight="1" thickBot="1" x14ac:dyDescent="0.3">
      <c r="A2074" s="124"/>
      <c r="B2074" s="125"/>
      <c r="F2074" s="124"/>
    </row>
    <row r="2075" spans="1:6" ht="15.75" customHeight="1" thickBot="1" x14ac:dyDescent="0.3">
      <c r="A2075" s="124"/>
      <c r="B2075" s="125"/>
      <c r="F2075" s="124"/>
    </row>
    <row r="2076" spans="1:6" ht="15.75" customHeight="1" thickBot="1" x14ac:dyDescent="0.3">
      <c r="A2076" s="124"/>
      <c r="B2076" s="125"/>
      <c r="F2076" s="124"/>
    </row>
    <row r="2077" spans="1:6" ht="15.75" customHeight="1" thickBot="1" x14ac:dyDescent="0.3">
      <c r="A2077" s="124"/>
      <c r="B2077" s="125"/>
      <c r="F2077" s="124"/>
    </row>
    <row r="2078" spans="1:6" ht="15.75" customHeight="1" thickBot="1" x14ac:dyDescent="0.3">
      <c r="A2078" s="124"/>
      <c r="B2078" s="125"/>
      <c r="F2078" s="124"/>
    </row>
    <row r="2079" spans="1:6" ht="15.75" customHeight="1" thickBot="1" x14ac:dyDescent="0.3">
      <c r="A2079" s="124"/>
      <c r="B2079" s="125"/>
      <c r="F2079" s="124"/>
    </row>
    <row r="2080" spans="1:6" ht="15.75" customHeight="1" thickBot="1" x14ac:dyDescent="0.3">
      <c r="A2080" s="124"/>
      <c r="B2080" s="125"/>
      <c r="F2080" s="124"/>
    </row>
    <row r="2081" spans="1:6" ht="15.75" customHeight="1" thickBot="1" x14ac:dyDescent="0.3">
      <c r="A2081" s="124"/>
      <c r="B2081" s="125"/>
      <c r="F2081" s="124"/>
    </row>
    <row r="2082" spans="1:6" ht="15.75" customHeight="1" thickBot="1" x14ac:dyDescent="0.3">
      <c r="A2082" s="124"/>
      <c r="B2082" s="125"/>
      <c r="F2082" s="124"/>
    </row>
    <row r="2083" spans="1:6" ht="15.75" customHeight="1" thickBot="1" x14ac:dyDescent="0.3">
      <c r="A2083" s="124"/>
      <c r="B2083" s="125"/>
      <c r="F2083" s="124"/>
    </row>
    <row r="2084" spans="1:6" ht="15.75" customHeight="1" thickBot="1" x14ac:dyDescent="0.3">
      <c r="A2084" s="124"/>
      <c r="B2084" s="125"/>
      <c r="F2084" s="124"/>
    </row>
    <row r="2085" spans="1:6" ht="15.75" customHeight="1" thickBot="1" x14ac:dyDescent="0.3">
      <c r="A2085" s="124"/>
      <c r="B2085" s="125"/>
      <c r="F2085" s="124"/>
    </row>
    <row r="2086" spans="1:6" ht="15.75" customHeight="1" thickBot="1" x14ac:dyDescent="0.3">
      <c r="A2086" s="124"/>
      <c r="B2086" s="125"/>
      <c r="F2086" s="124"/>
    </row>
    <row r="2087" spans="1:6" ht="15.75" customHeight="1" thickBot="1" x14ac:dyDescent="0.3">
      <c r="A2087" s="124"/>
      <c r="B2087" s="125"/>
      <c r="F2087" s="124"/>
    </row>
    <row r="2088" spans="1:6" ht="15.75" customHeight="1" thickBot="1" x14ac:dyDescent="0.3">
      <c r="A2088" s="124"/>
      <c r="B2088" s="125"/>
      <c r="F2088" s="124"/>
    </row>
    <row r="2089" spans="1:6" ht="15.75" customHeight="1" thickBot="1" x14ac:dyDescent="0.3">
      <c r="A2089" s="124"/>
      <c r="B2089" s="125"/>
      <c r="F2089" s="124"/>
    </row>
    <row r="2090" spans="1:6" ht="15.75" customHeight="1" thickBot="1" x14ac:dyDescent="0.3">
      <c r="A2090" s="124"/>
      <c r="B2090" s="125"/>
      <c r="F2090" s="124"/>
    </row>
    <row r="2091" spans="1:6" ht="15.75" customHeight="1" thickBot="1" x14ac:dyDescent="0.3">
      <c r="A2091" s="124"/>
      <c r="B2091" s="125"/>
      <c r="F2091" s="124"/>
    </row>
    <row r="2092" spans="1:6" ht="15.75" customHeight="1" thickBot="1" x14ac:dyDescent="0.3">
      <c r="A2092" s="124"/>
      <c r="B2092" s="125"/>
      <c r="F2092" s="124"/>
    </row>
    <row r="2093" spans="1:6" ht="15.75" customHeight="1" thickBot="1" x14ac:dyDescent="0.3">
      <c r="A2093" s="124"/>
      <c r="B2093" s="125"/>
      <c r="F2093" s="124"/>
    </row>
    <row r="2094" spans="1:6" ht="15.75" customHeight="1" thickBot="1" x14ac:dyDescent="0.3">
      <c r="A2094" s="124"/>
      <c r="B2094" s="125"/>
      <c r="F2094" s="124"/>
    </row>
    <row r="2095" spans="1:6" ht="15.75" customHeight="1" thickBot="1" x14ac:dyDescent="0.3">
      <c r="A2095" s="124"/>
      <c r="B2095" s="125"/>
      <c r="F2095" s="124"/>
    </row>
    <row r="2096" spans="1:6" ht="15.75" customHeight="1" thickBot="1" x14ac:dyDescent="0.3">
      <c r="A2096" s="124"/>
      <c r="B2096" s="125"/>
      <c r="F2096" s="124"/>
    </row>
    <row r="2097" spans="1:6" ht="15.75" customHeight="1" thickBot="1" x14ac:dyDescent="0.3">
      <c r="A2097" s="124"/>
      <c r="B2097" s="125"/>
      <c r="F2097" s="124"/>
    </row>
    <row r="2098" spans="1:6" ht="15.75" customHeight="1" thickBot="1" x14ac:dyDescent="0.3">
      <c r="A2098" s="124"/>
      <c r="B2098" s="125"/>
      <c r="F2098" s="124"/>
    </row>
    <row r="2099" spans="1:6" ht="15.75" customHeight="1" thickBot="1" x14ac:dyDescent="0.3">
      <c r="A2099" s="124"/>
      <c r="B2099" s="125"/>
      <c r="F2099" s="124"/>
    </row>
    <row r="2100" spans="1:6" ht="15.75" customHeight="1" thickBot="1" x14ac:dyDescent="0.3">
      <c r="A2100" s="124"/>
      <c r="B2100" s="125"/>
      <c r="F2100" s="124"/>
    </row>
    <row r="2101" spans="1:6" ht="15.75" customHeight="1" thickBot="1" x14ac:dyDescent="0.3">
      <c r="A2101" s="124"/>
      <c r="B2101" s="125"/>
      <c r="F2101" s="124"/>
    </row>
    <row r="2102" spans="1:6" ht="15.75" customHeight="1" thickBot="1" x14ac:dyDescent="0.3">
      <c r="A2102" s="124"/>
      <c r="B2102" s="125"/>
      <c r="F2102" s="124"/>
    </row>
    <row r="2103" spans="1:6" ht="15.75" customHeight="1" thickBot="1" x14ac:dyDescent="0.3">
      <c r="A2103" s="124"/>
      <c r="B2103" s="125"/>
      <c r="F2103" s="124"/>
    </row>
    <row r="2104" spans="1:6" ht="15.75" customHeight="1" thickBot="1" x14ac:dyDescent="0.3">
      <c r="A2104" s="124"/>
      <c r="B2104" s="125"/>
      <c r="F2104" s="124"/>
    </row>
    <row r="2105" spans="1:6" ht="15.75" customHeight="1" thickBot="1" x14ac:dyDescent="0.3">
      <c r="A2105" s="124"/>
      <c r="B2105" s="125"/>
      <c r="F2105" s="124"/>
    </row>
    <row r="2106" spans="1:6" ht="15.75" customHeight="1" thickBot="1" x14ac:dyDescent="0.3">
      <c r="A2106" s="124"/>
      <c r="B2106" s="125"/>
      <c r="F2106" s="124"/>
    </row>
    <row r="2107" spans="1:6" ht="15.75" customHeight="1" thickBot="1" x14ac:dyDescent="0.3">
      <c r="A2107" s="124"/>
      <c r="B2107" s="125"/>
      <c r="F2107" s="124"/>
    </row>
    <row r="2108" spans="1:6" ht="15.75" customHeight="1" thickBot="1" x14ac:dyDescent="0.3">
      <c r="A2108" s="124"/>
      <c r="B2108" s="125"/>
      <c r="F2108" s="124"/>
    </row>
    <row r="2109" spans="1:6" ht="15.75" customHeight="1" thickBot="1" x14ac:dyDescent="0.3">
      <c r="A2109" s="124"/>
      <c r="B2109" s="125"/>
      <c r="F2109" s="124"/>
    </row>
    <row r="2110" spans="1:6" ht="15.75" customHeight="1" thickBot="1" x14ac:dyDescent="0.3">
      <c r="A2110" s="124"/>
      <c r="B2110" s="125"/>
      <c r="F2110" s="124"/>
    </row>
    <row r="2111" spans="1:6" ht="15.75" customHeight="1" thickBot="1" x14ac:dyDescent="0.3">
      <c r="A2111" s="124"/>
      <c r="B2111" s="125"/>
      <c r="F2111" s="124"/>
    </row>
    <row r="2112" spans="1:6" ht="15.75" customHeight="1" thickBot="1" x14ac:dyDescent="0.3">
      <c r="A2112" s="124"/>
      <c r="B2112" s="125"/>
      <c r="F2112" s="124"/>
    </row>
    <row r="2113" spans="1:6" ht="15.75" customHeight="1" thickBot="1" x14ac:dyDescent="0.3">
      <c r="A2113" s="124"/>
      <c r="B2113" s="125"/>
      <c r="F2113" s="124"/>
    </row>
    <row r="2114" spans="1:6" ht="15.75" customHeight="1" thickBot="1" x14ac:dyDescent="0.3">
      <c r="A2114" s="124"/>
      <c r="B2114" s="125"/>
      <c r="F2114" s="124"/>
    </row>
    <row r="2115" spans="1:6" ht="15.75" customHeight="1" thickBot="1" x14ac:dyDescent="0.3">
      <c r="A2115" s="124"/>
      <c r="B2115" s="125"/>
      <c r="F2115" s="124"/>
    </row>
    <row r="2116" spans="1:6" ht="15.75" customHeight="1" thickBot="1" x14ac:dyDescent="0.3">
      <c r="A2116" s="124"/>
      <c r="B2116" s="125"/>
      <c r="F2116" s="124"/>
    </row>
    <row r="2117" spans="1:6" ht="15.75" customHeight="1" thickBot="1" x14ac:dyDescent="0.3">
      <c r="A2117" s="124"/>
      <c r="B2117" s="125"/>
      <c r="F2117" s="124"/>
    </row>
    <row r="2118" spans="1:6" ht="15.75" customHeight="1" thickBot="1" x14ac:dyDescent="0.3">
      <c r="A2118" s="124"/>
      <c r="B2118" s="125"/>
      <c r="F2118" s="124"/>
    </row>
    <row r="2119" spans="1:6" ht="15.75" customHeight="1" thickBot="1" x14ac:dyDescent="0.3">
      <c r="A2119" s="124"/>
      <c r="B2119" s="125"/>
      <c r="F2119" s="124"/>
    </row>
    <row r="2120" spans="1:6" ht="15.75" customHeight="1" thickBot="1" x14ac:dyDescent="0.3">
      <c r="A2120" s="124"/>
      <c r="B2120" s="125"/>
      <c r="F2120" s="124"/>
    </row>
    <row r="2121" spans="1:6" ht="15.75" customHeight="1" thickBot="1" x14ac:dyDescent="0.3">
      <c r="A2121" s="124"/>
      <c r="B2121" s="125"/>
      <c r="F2121" s="124"/>
    </row>
    <row r="2122" spans="1:6" ht="15.75" customHeight="1" thickBot="1" x14ac:dyDescent="0.3">
      <c r="A2122" s="124"/>
      <c r="B2122" s="125"/>
      <c r="F2122" s="124"/>
    </row>
    <row r="2123" spans="1:6" ht="15.75" customHeight="1" thickBot="1" x14ac:dyDescent="0.3">
      <c r="A2123" s="124"/>
      <c r="B2123" s="125"/>
      <c r="F2123" s="124"/>
    </row>
    <row r="2124" spans="1:6" ht="15.75" customHeight="1" thickBot="1" x14ac:dyDescent="0.3">
      <c r="A2124" s="124"/>
      <c r="B2124" s="125"/>
      <c r="F2124" s="124"/>
    </row>
    <row r="2125" spans="1:6" ht="15.75" customHeight="1" thickBot="1" x14ac:dyDescent="0.3">
      <c r="A2125" s="124"/>
      <c r="B2125" s="125"/>
      <c r="F2125" s="124"/>
    </row>
    <row r="2126" spans="1:6" ht="15.75" customHeight="1" thickBot="1" x14ac:dyDescent="0.3">
      <c r="A2126" s="124"/>
      <c r="B2126" s="125"/>
      <c r="F2126" s="124"/>
    </row>
    <row r="2127" spans="1:6" ht="15.75" customHeight="1" thickBot="1" x14ac:dyDescent="0.3">
      <c r="A2127" s="124"/>
      <c r="B2127" s="125"/>
      <c r="F2127" s="124"/>
    </row>
    <row r="2128" spans="1:6" ht="15.75" customHeight="1" thickBot="1" x14ac:dyDescent="0.3">
      <c r="A2128" s="124"/>
      <c r="B2128" s="125"/>
      <c r="F2128" s="124"/>
    </row>
    <row r="2129" spans="1:6" ht="15.75" customHeight="1" thickBot="1" x14ac:dyDescent="0.3">
      <c r="A2129" s="124"/>
      <c r="B2129" s="125"/>
      <c r="F2129" s="124"/>
    </row>
    <row r="2130" spans="1:6" ht="15.75" customHeight="1" thickBot="1" x14ac:dyDescent="0.3">
      <c r="A2130" s="124"/>
      <c r="B2130" s="125"/>
      <c r="F2130" s="124"/>
    </row>
    <row r="2131" spans="1:6" ht="15.75" customHeight="1" thickBot="1" x14ac:dyDescent="0.3">
      <c r="A2131" s="124"/>
      <c r="B2131" s="125"/>
      <c r="F2131" s="124"/>
    </row>
    <row r="2132" spans="1:6" ht="15.75" customHeight="1" thickBot="1" x14ac:dyDescent="0.3">
      <c r="A2132" s="124"/>
      <c r="B2132" s="125"/>
      <c r="F2132" s="124"/>
    </row>
    <row r="2133" spans="1:6" ht="15.75" customHeight="1" thickBot="1" x14ac:dyDescent="0.3">
      <c r="A2133" s="124"/>
      <c r="B2133" s="125"/>
      <c r="F2133" s="124"/>
    </row>
    <row r="2134" spans="1:6" ht="15.75" customHeight="1" thickBot="1" x14ac:dyDescent="0.3">
      <c r="A2134" s="124"/>
      <c r="B2134" s="125"/>
      <c r="F2134" s="124"/>
    </row>
    <row r="2135" spans="1:6" ht="15.75" customHeight="1" thickBot="1" x14ac:dyDescent="0.3">
      <c r="A2135" s="124"/>
      <c r="B2135" s="125"/>
      <c r="F2135" s="124"/>
    </row>
    <row r="2136" spans="1:6" ht="15.75" customHeight="1" thickBot="1" x14ac:dyDescent="0.3">
      <c r="A2136" s="124"/>
      <c r="B2136" s="125"/>
      <c r="F2136" s="124"/>
    </row>
    <row r="2137" spans="1:6" ht="15.75" customHeight="1" thickBot="1" x14ac:dyDescent="0.3">
      <c r="A2137" s="124"/>
      <c r="B2137" s="125"/>
      <c r="F2137" s="124"/>
    </row>
    <row r="2138" spans="1:6" ht="15.75" customHeight="1" thickBot="1" x14ac:dyDescent="0.3">
      <c r="A2138" s="124"/>
      <c r="B2138" s="125"/>
      <c r="F2138" s="124"/>
    </row>
    <row r="2139" spans="1:6" ht="15.75" customHeight="1" thickBot="1" x14ac:dyDescent="0.3">
      <c r="A2139" s="124"/>
      <c r="B2139" s="125"/>
      <c r="F2139" s="124"/>
    </row>
    <row r="2140" spans="1:6" ht="15.75" customHeight="1" thickBot="1" x14ac:dyDescent="0.3">
      <c r="A2140" s="124"/>
      <c r="B2140" s="125"/>
      <c r="F2140" s="124"/>
    </row>
    <row r="2141" spans="1:6" ht="15.75" customHeight="1" thickBot="1" x14ac:dyDescent="0.3">
      <c r="A2141" s="124"/>
      <c r="B2141" s="125"/>
      <c r="F2141" s="124"/>
    </row>
    <row r="2142" spans="1:6" ht="15.75" customHeight="1" thickBot="1" x14ac:dyDescent="0.3">
      <c r="A2142" s="124"/>
      <c r="B2142" s="125"/>
      <c r="F2142" s="124"/>
    </row>
    <row r="2143" spans="1:6" ht="15.75" customHeight="1" thickBot="1" x14ac:dyDescent="0.3">
      <c r="A2143" s="124"/>
      <c r="B2143" s="125"/>
      <c r="F2143" s="124"/>
    </row>
    <row r="2144" spans="1:6" ht="15.75" customHeight="1" thickBot="1" x14ac:dyDescent="0.3">
      <c r="A2144" s="124"/>
      <c r="B2144" s="125"/>
      <c r="F2144" s="124"/>
    </row>
    <row r="2145" spans="1:6" ht="15.75" customHeight="1" thickBot="1" x14ac:dyDescent="0.3">
      <c r="A2145" s="124"/>
      <c r="B2145" s="125"/>
      <c r="F2145" s="124"/>
    </row>
    <row r="2146" spans="1:6" ht="15.75" customHeight="1" thickBot="1" x14ac:dyDescent="0.3">
      <c r="A2146" s="124"/>
      <c r="B2146" s="125"/>
      <c r="F2146" s="124"/>
    </row>
    <row r="2147" spans="1:6" ht="15.75" customHeight="1" thickBot="1" x14ac:dyDescent="0.3">
      <c r="A2147" s="124"/>
      <c r="B2147" s="125"/>
      <c r="F2147" s="124"/>
    </row>
    <row r="2148" spans="1:6" ht="15.75" customHeight="1" thickBot="1" x14ac:dyDescent="0.3">
      <c r="A2148" s="124"/>
      <c r="B2148" s="125"/>
      <c r="F2148" s="124"/>
    </row>
    <row r="2149" spans="1:6" ht="15.75" customHeight="1" thickBot="1" x14ac:dyDescent="0.3">
      <c r="A2149" s="124"/>
      <c r="B2149" s="125"/>
      <c r="F2149" s="124"/>
    </row>
    <row r="2150" spans="1:6" ht="15.75" customHeight="1" thickBot="1" x14ac:dyDescent="0.3">
      <c r="A2150" s="124"/>
      <c r="B2150" s="125"/>
      <c r="F2150" s="124"/>
    </row>
    <row r="2151" spans="1:6" ht="15.75" customHeight="1" thickBot="1" x14ac:dyDescent="0.3">
      <c r="A2151" s="124"/>
      <c r="B2151" s="125"/>
      <c r="F2151" s="124"/>
    </row>
    <row r="2152" spans="1:6" ht="15.75" customHeight="1" thickBot="1" x14ac:dyDescent="0.3">
      <c r="A2152" s="124"/>
      <c r="B2152" s="125"/>
      <c r="F2152" s="124"/>
    </row>
    <row r="2153" spans="1:6" ht="15.75" customHeight="1" thickBot="1" x14ac:dyDescent="0.3">
      <c r="A2153" s="124"/>
      <c r="B2153" s="125"/>
      <c r="F2153" s="124"/>
    </row>
    <row r="2154" spans="1:6" ht="15.75" customHeight="1" thickBot="1" x14ac:dyDescent="0.3">
      <c r="A2154" s="124"/>
      <c r="B2154" s="125"/>
      <c r="F2154" s="124"/>
    </row>
    <row r="2155" spans="1:6" ht="15.75" customHeight="1" thickBot="1" x14ac:dyDescent="0.3">
      <c r="A2155" s="124"/>
      <c r="B2155" s="125"/>
      <c r="F2155" s="124"/>
    </row>
    <row r="2156" spans="1:6" ht="15.75" customHeight="1" thickBot="1" x14ac:dyDescent="0.3">
      <c r="A2156" s="124"/>
      <c r="B2156" s="125"/>
      <c r="F2156" s="124"/>
    </row>
    <row r="2157" spans="1:6" ht="15.75" customHeight="1" thickBot="1" x14ac:dyDescent="0.3">
      <c r="A2157" s="124"/>
      <c r="B2157" s="125"/>
      <c r="F2157" s="124"/>
    </row>
    <row r="2158" spans="1:6" ht="15.75" customHeight="1" thickBot="1" x14ac:dyDescent="0.3">
      <c r="A2158" s="124"/>
      <c r="B2158" s="125"/>
      <c r="F2158" s="124"/>
    </row>
    <row r="2159" spans="1:6" ht="15.75" customHeight="1" thickBot="1" x14ac:dyDescent="0.3">
      <c r="A2159" s="124"/>
      <c r="B2159" s="125"/>
      <c r="F2159" s="124"/>
    </row>
    <row r="2160" spans="1:6" ht="15.75" customHeight="1" thickBot="1" x14ac:dyDescent="0.3">
      <c r="A2160" s="124"/>
      <c r="B2160" s="125"/>
      <c r="F2160" s="124"/>
    </row>
    <row r="2161" spans="1:6" ht="15.75" customHeight="1" thickBot="1" x14ac:dyDescent="0.3">
      <c r="A2161" s="124"/>
      <c r="B2161" s="125"/>
      <c r="F2161" s="124"/>
    </row>
    <row r="2162" spans="1:6" ht="15.75" customHeight="1" thickBot="1" x14ac:dyDescent="0.3">
      <c r="A2162" s="124"/>
      <c r="B2162" s="125"/>
      <c r="F2162" s="124"/>
    </row>
    <row r="2163" spans="1:6" ht="15.75" customHeight="1" thickBot="1" x14ac:dyDescent="0.3">
      <c r="A2163" s="124"/>
      <c r="B2163" s="125"/>
      <c r="F2163" s="124"/>
    </row>
    <row r="2164" spans="1:6" ht="15.75" customHeight="1" thickBot="1" x14ac:dyDescent="0.3">
      <c r="A2164" s="124"/>
      <c r="B2164" s="125"/>
      <c r="F2164" s="124"/>
    </row>
    <row r="2165" spans="1:6" ht="15.75" customHeight="1" thickBot="1" x14ac:dyDescent="0.3">
      <c r="A2165" s="124"/>
      <c r="B2165" s="125"/>
      <c r="F2165" s="124"/>
    </row>
    <row r="2166" spans="1:6" ht="15.75" customHeight="1" thickBot="1" x14ac:dyDescent="0.3">
      <c r="A2166" s="124"/>
      <c r="B2166" s="125"/>
      <c r="F2166" s="124"/>
    </row>
    <row r="2167" spans="1:6" ht="15.75" customHeight="1" thickBot="1" x14ac:dyDescent="0.3">
      <c r="A2167" s="124"/>
      <c r="B2167" s="125"/>
      <c r="F2167" s="124"/>
    </row>
    <row r="2168" spans="1:6" ht="15.75" customHeight="1" thickBot="1" x14ac:dyDescent="0.3">
      <c r="A2168" s="124"/>
      <c r="B2168" s="125"/>
      <c r="F2168" s="124"/>
    </row>
    <row r="2169" spans="1:6" ht="15.75" customHeight="1" thickBot="1" x14ac:dyDescent="0.3">
      <c r="A2169" s="124"/>
      <c r="B2169" s="125"/>
      <c r="F2169" s="124"/>
    </row>
    <row r="2170" spans="1:6" ht="15.75" customHeight="1" thickBot="1" x14ac:dyDescent="0.3">
      <c r="A2170" s="124"/>
      <c r="B2170" s="125"/>
      <c r="F2170" s="124"/>
    </row>
    <row r="2171" spans="1:6" ht="15.75" customHeight="1" thickBot="1" x14ac:dyDescent="0.3">
      <c r="A2171" s="124"/>
      <c r="B2171" s="125"/>
      <c r="F2171" s="124"/>
    </row>
    <row r="2172" spans="1:6" ht="15.75" customHeight="1" thickBot="1" x14ac:dyDescent="0.3">
      <c r="A2172" s="124"/>
      <c r="B2172" s="125"/>
      <c r="F2172" s="124"/>
    </row>
    <row r="2173" spans="1:6" ht="15.75" customHeight="1" thickBot="1" x14ac:dyDescent="0.3">
      <c r="A2173" s="124"/>
      <c r="B2173" s="125"/>
      <c r="F2173" s="124"/>
    </row>
    <row r="2174" spans="1:6" ht="15.75" customHeight="1" thickBot="1" x14ac:dyDescent="0.3">
      <c r="A2174" s="124"/>
      <c r="B2174" s="125"/>
      <c r="F2174" s="124"/>
    </row>
    <row r="2175" spans="1:6" ht="15.75" customHeight="1" thickBot="1" x14ac:dyDescent="0.3">
      <c r="A2175" s="124"/>
      <c r="B2175" s="125"/>
      <c r="F2175" s="124"/>
    </row>
    <row r="2176" spans="1:6" ht="15.75" customHeight="1" thickBot="1" x14ac:dyDescent="0.3">
      <c r="A2176" s="124"/>
      <c r="B2176" s="125"/>
      <c r="F2176" s="124"/>
    </row>
    <row r="2177" spans="1:6" ht="15.75" customHeight="1" thickBot="1" x14ac:dyDescent="0.3">
      <c r="A2177" s="124"/>
      <c r="B2177" s="125"/>
      <c r="F2177" s="124"/>
    </row>
    <row r="2178" spans="1:6" ht="15.75" customHeight="1" thickBot="1" x14ac:dyDescent="0.3">
      <c r="A2178" s="124"/>
      <c r="B2178" s="125"/>
      <c r="F2178" s="124"/>
    </row>
    <row r="2179" spans="1:6" ht="15.75" customHeight="1" thickBot="1" x14ac:dyDescent="0.3">
      <c r="A2179" s="124"/>
      <c r="B2179" s="125"/>
      <c r="F2179" s="124"/>
    </row>
    <row r="2180" spans="1:6" ht="15.75" customHeight="1" thickBot="1" x14ac:dyDescent="0.3">
      <c r="A2180" s="124"/>
      <c r="B2180" s="125"/>
      <c r="F2180" s="124"/>
    </row>
    <row r="2181" spans="1:6" ht="15.75" customHeight="1" thickBot="1" x14ac:dyDescent="0.3">
      <c r="A2181" s="124"/>
      <c r="B2181" s="125"/>
      <c r="F2181" s="124"/>
    </row>
    <row r="2182" spans="1:6" ht="15.75" customHeight="1" thickBot="1" x14ac:dyDescent="0.3">
      <c r="A2182" s="124"/>
      <c r="B2182" s="125"/>
      <c r="F2182" s="124"/>
    </row>
    <row r="2183" spans="1:6" ht="15.75" customHeight="1" thickBot="1" x14ac:dyDescent="0.3">
      <c r="A2183" s="124"/>
      <c r="B2183" s="125"/>
      <c r="F2183" s="124"/>
    </row>
    <row r="2184" spans="1:6" ht="15.75" customHeight="1" thickBot="1" x14ac:dyDescent="0.3">
      <c r="A2184" s="124"/>
      <c r="B2184" s="125"/>
      <c r="F2184" s="124"/>
    </row>
    <row r="2185" spans="1:6" ht="15.75" customHeight="1" thickBot="1" x14ac:dyDescent="0.3">
      <c r="A2185" s="124"/>
      <c r="B2185" s="125"/>
      <c r="F2185" s="124"/>
    </row>
    <row r="2186" spans="1:6" ht="15.75" customHeight="1" thickBot="1" x14ac:dyDescent="0.3">
      <c r="A2186" s="124"/>
      <c r="B2186" s="125"/>
      <c r="F2186" s="124"/>
    </row>
    <row r="2187" spans="1:6" ht="15.75" customHeight="1" thickBot="1" x14ac:dyDescent="0.3">
      <c r="A2187" s="124"/>
      <c r="B2187" s="125"/>
      <c r="F2187" s="124"/>
    </row>
    <row r="2188" spans="1:6" ht="15.75" customHeight="1" thickBot="1" x14ac:dyDescent="0.3">
      <c r="A2188" s="124"/>
      <c r="B2188" s="125"/>
      <c r="F2188" s="124"/>
    </row>
    <row r="2189" spans="1:6" ht="15.75" customHeight="1" thickBot="1" x14ac:dyDescent="0.3">
      <c r="A2189" s="124"/>
      <c r="B2189" s="125"/>
      <c r="F2189" s="124"/>
    </row>
    <row r="2190" spans="1:6" ht="15.75" customHeight="1" thickBot="1" x14ac:dyDescent="0.3">
      <c r="A2190" s="124"/>
      <c r="B2190" s="125"/>
      <c r="F2190" s="124"/>
    </row>
    <row r="2191" spans="1:6" ht="15.75" customHeight="1" thickBot="1" x14ac:dyDescent="0.3">
      <c r="A2191" s="124"/>
      <c r="B2191" s="125"/>
      <c r="F2191" s="124"/>
    </row>
    <row r="2192" spans="1:6" ht="15.75" customHeight="1" thickBot="1" x14ac:dyDescent="0.3">
      <c r="A2192" s="124"/>
      <c r="B2192" s="125"/>
      <c r="F2192" s="124"/>
    </row>
    <row r="2193" spans="1:6" ht="15.75" customHeight="1" thickBot="1" x14ac:dyDescent="0.3">
      <c r="A2193" s="124"/>
      <c r="B2193" s="125"/>
      <c r="F2193" s="124"/>
    </row>
    <row r="2194" spans="1:6" ht="15.75" customHeight="1" thickBot="1" x14ac:dyDescent="0.3">
      <c r="A2194" s="124"/>
      <c r="B2194" s="125"/>
      <c r="F2194" s="124"/>
    </row>
    <row r="2195" spans="1:6" ht="15.75" customHeight="1" thickBot="1" x14ac:dyDescent="0.3">
      <c r="A2195" s="124"/>
      <c r="B2195" s="125"/>
      <c r="F2195" s="124"/>
    </row>
    <row r="2196" spans="1:6" ht="15.75" customHeight="1" thickBot="1" x14ac:dyDescent="0.3">
      <c r="A2196" s="124"/>
      <c r="B2196" s="125"/>
      <c r="F2196" s="124"/>
    </row>
    <row r="2197" spans="1:6" ht="15.75" customHeight="1" thickBot="1" x14ac:dyDescent="0.3">
      <c r="A2197" s="124"/>
      <c r="B2197" s="125"/>
      <c r="F2197" s="124"/>
    </row>
    <row r="2198" spans="1:6" ht="15.75" customHeight="1" thickBot="1" x14ac:dyDescent="0.3">
      <c r="A2198" s="124"/>
      <c r="B2198" s="125"/>
      <c r="F2198" s="124"/>
    </row>
    <row r="2199" spans="1:6" ht="15.75" customHeight="1" thickBot="1" x14ac:dyDescent="0.3">
      <c r="A2199" s="124"/>
      <c r="B2199" s="125"/>
      <c r="F2199" s="124"/>
    </row>
    <row r="2200" spans="1:6" ht="15.75" customHeight="1" thickBot="1" x14ac:dyDescent="0.3">
      <c r="A2200" s="124"/>
      <c r="B2200" s="125"/>
      <c r="F2200" s="124"/>
    </row>
    <row r="2201" spans="1:6" ht="15.75" customHeight="1" thickBot="1" x14ac:dyDescent="0.3">
      <c r="A2201" s="124"/>
      <c r="B2201" s="125"/>
      <c r="F2201" s="124"/>
    </row>
    <row r="2202" spans="1:6" ht="15.75" customHeight="1" thickBot="1" x14ac:dyDescent="0.3">
      <c r="A2202" s="124"/>
      <c r="B2202" s="125"/>
      <c r="F2202" s="124"/>
    </row>
    <row r="2203" spans="1:6" ht="15.75" customHeight="1" thickBot="1" x14ac:dyDescent="0.3">
      <c r="A2203" s="124"/>
      <c r="B2203" s="125"/>
      <c r="F2203" s="124"/>
    </row>
    <row r="2204" spans="1:6" ht="15.75" customHeight="1" thickBot="1" x14ac:dyDescent="0.3">
      <c r="A2204" s="124"/>
      <c r="B2204" s="125"/>
      <c r="F2204" s="124"/>
    </row>
    <row r="2205" spans="1:6" ht="15.75" customHeight="1" thickBot="1" x14ac:dyDescent="0.3">
      <c r="A2205" s="124"/>
      <c r="B2205" s="125"/>
      <c r="F2205" s="124"/>
    </row>
    <row r="2206" spans="1:6" ht="15.75" customHeight="1" thickBot="1" x14ac:dyDescent="0.3">
      <c r="A2206" s="124"/>
      <c r="B2206" s="125"/>
      <c r="F2206" s="124"/>
    </row>
    <row r="2207" spans="1:6" ht="15.75" customHeight="1" thickBot="1" x14ac:dyDescent="0.3">
      <c r="A2207" s="124"/>
      <c r="B2207" s="125"/>
      <c r="F2207" s="124"/>
    </row>
    <row r="2208" spans="1:6" ht="15.75" customHeight="1" thickBot="1" x14ac:dyDescent="0.3">
      <c r="A2208" s="124"/>
      <c r="B2208" s="125"/>
      <c r="F2208" s="124"/>
    </row>
    <row r="2209" spans="1:6" ht="15.75" customHeight="1" thickBot="1" x14ac:dyDescent="0.3">
      <c r="A2209" s="124"/>
      <c r="B2209" s="125"/>
      <c r="F2209" s="124"/>
    </row>
    <row r="2210" spans="1:6" ht="15.75" customHeight="1" thickBot="1" x14ac:dyDescent="0.3">
      <c r="A2210" s="124"/>
      <c r="B2210" s="125"/>
      <c r="F2210" s="124"/>
    </row>
    <row r="2211" spans="1:6" ht="15.75" customHeight="1" thickBot="1" x14ac:dyDescent="0.3">
      <c r="A2211" s="124"/>
      <c r="B2211" s="125"/>
      <c r="F2211" s="124"/>
    </row>
    <row r="2212" spans="1:6" ht="15.75" customHeight="1" thickBot="1" x14ac:dyDescent="0.3">
      <c r="A2212" s="124"/>
      <c r="B2212" s="125"/>
      <c r="F2212" s="124"/>
    </row>
    <row r="2213" spans="1:6" ht="15.75" customHeight="1" thickBot="1" x14ac:dyDescent="0.3">
      <c r="A2213" s="124"/>
      <c r="B2213" s="125"/>
      <c r="F2213" s="124"/>
    </row>
    <row r="2214" spans="1:6" ht="15.75" customHeight="1" thickBot="1" x14ac:dyDescent="0.3">
      <c r="A2214" s="124"/>
      <c r="B2214" s="125"/>
      <c r="F2214" s="124"/>
    </row>
    <row r="2215" spans="1:6" ht="15.75" customHeight="1" thickBot="1" x14ac:dyDescent="0.3">
      <c r="A2215" s="124"/>
      <c r="B2215" s="125"/>
      <c r="F2215" s="124"/>
    </row>
    <row r="2216" spans="1:6" ht="15.75" customHeight="1" thickBot="1" x14ac:dyDescent="0.3">
      <c r="A2216" s="124"/>
      <c r="B2216" s="125"/>
      <c r="F2216" s="124"/>
    </row>
    <row r="2217" spans="1:6" ht="15.75" customHeight="1" thickBot="1" x14ac:dyDescent="0.3">
      <c r="A2217" s="124"/>
      <c r="B2217" s="125"/>
      <c r="F2217" s="124"/>
    </row>
    <row r="2218" spans="1:6" ht="15.75" customHeight="1" thickBot="1" x14ac:dyDescent="0.3">
      <c r="A2218" s="124"/>
      <c r="B2218" s="125"/>
      <c r="F2218" s="124"/>
    </row>
    <row r="2219" spans="1:6" ht="15.75" customHeight="1" thickBot="1" x14ac:dyDescent="0.3">
      <c r="A2219" s="124"/>
      <c r="B2219" s="125"/>
      <c r="F2219" s="124"/>
    </row>
    <row r="2220" spans="1:6" ht="15.75" customHeight="1" thickBot="1" x14ac:dyDescent="0.3">
      <c r="A2220" s="124"/>
      <c r="B2220" s="125"/>
      <c r="F2220" s="124"/>
    </row>
    <row r="2221" spans="1:6" ht="15.75" customHeight="1" thickBot="1" x14ac:dyDescent="0.3">
      <c r="A2221" s="124"/>
      <c r="B2221" s="125"/>
      <c r="F2221" s="124"/>
    </row>
    <row r="2222" spans="1:6" ht="15.75" customHeight="1" thickBot="1" x14ac:dyDescent="0.3">
      <c r="A2222" s="124"/>
      <c r="B2222" s="125"/>
      <c r="F2222" s="124"/>
    </row>
    <row r="2223" spans="1:6" ht="15.75" customHeight="1" thickBot="1" x14ac:dyDescent="0.3">
      <c r="A2223" s="124"/>
      <c r="B2223" s="125"/>
      <c r="F2223" s="124"/>
    </row>
    <row r="2224" spans="1:6" ht="15.75" customHeight="1" thickBot="1" x14ac:dyDescent="0.3">
      <c r="A2224" s="124"/>
      <c r="B2224" s="125"/>
      <c r="F2224" s="124"/>
    </row>
    <row r="2225" spans="1:6" ht="15.75" customHeight="1" thickBot="1" x14ac:dyDescent="0.3">
      <c r="A2225" s="124"/>
      <c r="B2225" s="125"/>
      <c r="F2225" s="124"/>
    </row>
    <row r="2226" spans="1:6" ht="15.75" customHeight="1" thickBot="1" x14ac:dyDescent="0.3">
      <c r="A2226" s="124"/>
      <c r="B2226" s="125"/>
      <c r="F2226" s="124"/>
    </row>
    <row r="2227" spans="1:6" ht="15.75" customHeight="1" thickBot="1" x14ac:dyDescent="0.3">
      <c r="A2227" s="124"/>
      <c r="B2227" s="125"/>
      <c r="F2227" s="124"/>
    </row>
    <row r="2228" spans="1:6" ht="15.75" customHeight="1" thickBot="1" x14ac:dyDescent="0.3">
      <c r="A2228" s="124"/>
      <c r="B2228" s="125"/>
      <c r="F2228" s="124"/>
    </row>
    <row r="2229" spans="1:6" ht="15.75" customHeight="1" thickBot="1" x14ac:dyDescent="0.3">
      <c r="A2229" s="124"/>
      <c r="B2229" s="125"/>
      <c r="F2229" s="124"/>
    </row>
    <row r="2230" spans="1:6" ht="15.75" customHeight="1" thickBot="1" x14ac:dyDescent="0.3">
      <c r="A2230" s="124"/>
      <c r="B2230" s="125"/>
      <c r="F2230" s="124"/>
    </row>
    <row r="2231" spans="1:6" ht="15.75" customHeight="1" thickBot="1" x14ac:dyDescent="0.3">
      <c r="A2231" s="124"/>
      <c r="B2231" s="125"/>
      <c r="F2231" s="124"/>
    </row>
    <row r="2232" spans="1:6" ht="15.75" customHeight="1" thickBot="1" x14ac:dyDescent="0.3">
      <c r="A2232" s="124"/>
      <c r="B2232" s="125"/>
      <c r="F2232" s="124"/>
    </row>
    <row r="2233" spans="1:6" ht="15.75" customHeight="1" thickBot="1" x14ac:dyDescent="0.3">
      <c r="A2233" s="124"/>
      <c r="B2233" s="125"/>
      <c r="F2233" s="124"/>
    </row>
    <row r="2234" spans="1:6" ht="15.75" customHeight="1" thickBot="1" x14ac:dyDescent="0.3">
      <c r="A2234" s="124"/>
      <c r="B2234" s="125"/>
      <c r="F2234" s="124"/>
    </row>
    <row r="2235" spans="1:6" ht="15.75" customHeight="1" thickBot="1" x14ac:dyDescent="0.3">
      <c r="A2235" s="124"/>
      <c r="B2235" s="125"/>
      <c r="F2235" s="124"/>
    </row>
    <row r="2236" spans="1:6" ht="15.75" customHeight="1" thickBot="1" x14ac:dyDescent="0.3">
      <c r="A2236" s="124"/>
      <c r="B2236" s="125"/>
      <c r="F2236" s="124"/>
    </row>
    <row r="2237" spans="1:6" ht="15.75" customHeight="1" thickBot="1" x14ac:dyDescent="0.3">
      <c r="A2237" s="124"/>
      <c r="B2237" s="125"/>
      <c r="F2237" s="124"/>
    </row>
    <row r="2238" spans="1:6" ht="15.75" customHeight="1" thickBot="1" x14ac:dyDescent="0.3">
      <c r="A2238" s="124"/>
      <c r="B2238" s="125"/>
      <c r="F2238" s="124"/>
    </row>
    <row r="2239" spans="1:6" ht="15.75" customHeight="1" thickBot="1" x14ac:dyDescent="0.3">
      <c r="A2239" s="124"/>
      <c r="B2239" s="125"/>
      <c r="F2239" s="124"/>
    </row>
    <row r="2240" spans="1:6" ht="15.75" customHeight="1" thickBot="1" x14ac:dyDescent="0.3">
      <c r="A2240" s="124"/>
      <c r="B2240" s="125"/>
      <c r="F2240" s="124"/>
    </row>
    <row r="2241" spans="1:6" ht="15.75" customHeight="1" thickBot="1" x14ac:dyDescent="0.3">
      <c r="A2241" s="124"/>
      <c r="B2241" s="125"/>
      <c r="F2241" s="124"/>
    </row>
    <row r="2242" spans="1:6" ht="15.75" customHeight="1" thickBot="1" x14ac:dyDescent="0.3">
      <c r="A2242" s="124"/>
      <c r="B2242" s="125"/>
      <c r="F2242" s="124"/>
    </row>
    <row r="2243" spans="1:6" ht="15.75" customHeight="1" thickBot="1" x14ac:dyDescent="0.3">
      <c r="A2243" s="124"/>
      <c r="B2243" s="125"/>
      <c r="F2243" s="124"/>
    </row>
    <row r="2244" spans="1:6" ht="15.75" customHeight="1" thickBot="1" x14ac:dyDescent="0.3">
      <c r="A2244" s="124"/>
      <c r="B2244" s="125"/>
      <c r="F2244" s="124"/>
    </row>
    <row r="2245" spans="1:6" ht="15.75" customHeight="1" thickBot="1" x14ac:dyDescent="0.3">
      <c r="A2245" s="124"/>
      <c r="B2245" s="125"/>
      <c r="F2245" s="124"/>
    </row>
    <row r="2246" spans="1:6" ht="15.75" customHeight="1" thickBot="1" x14ac:dyDescent="0.3">
      <c r="A2246" s="124"/>
      <c r="B2246" s="125"/>
      <c r="F2246" s="124"/>
    </row>
    <row r="2247" spans="1:6" ht="15.75" customHeight="1" thickBot="1" x14ac:dyDescent="0.3">
      <c r="A2247" s="124"/>
      <c r="B2247" s="125"/>
      <c r="F2247" s="124"/>
    </row>
    <row r="2248" spans="1:6" ht="15.75" customHeight="1" thickBot="1" x14ac:dyDescent="0.3">
      <c r="A2248" s="124"/>
      <c r="B2248" s="125"/>
      <c r="F2248" s="124"/>
    </row>
    <row r="2249" spans="1:6" ht="15.75" customHeight="1" thickBot="1" x14ac:dyDescent="0.3">
      <c r="A2249" s="124"/>
      <c r="B2249" s="125"/>
      <c r="F2249" s="124"/>
    </row>
    <row r="2250" spans="1:6" ht="15.75" customHeight="1" thickBot="1" x14ac:dyDescent="0.3">
      <c r="A2250" s="124"/>
      <c r="B2250" s="125"/>
      <c r="F2250" s="124"/>
    </row>
    <row r="2251" spans="1:6" ht="15.75" customHeight="1" thickBot="1" x14ac:dyDescent="0.3">
      <c r="A2251" s="124"/>
      <c r="B2251" s="125"/>
      <c r="F2251" s="124"/>
    </row>
    <row r="2252" spans="1:6" ht="15.75" customHeight="1" thickBot="1" x14ac:dyDescent="0.3">
      <c r="A2252" s="124"/>
      <c r="B2252" s="125"/>
      <c r="F2252" s="124"/>
    </row>
    <row r="2253" spans="1:6" ht="15.75" customHeight="1" thickBot="1" x14ac:dyDescent="0.3">
      <c r="A2253" s="124"/>
      <c r="B2253" s="125"/>
      <c r="F2253" s="124"/>
    </row>
    <row r="2254" spans="1:6" ht="15.75" customHeight="1" thickBot="1" x14ac:dyDescent="0.3">
      <c r="A2254" s="124"/>
      <c r="B2254" s="125"/>
      <c r="F2254" s="124"/>
    </row>
    <row r="2255" spans="1:6" ht="15.75" customHeight="1" thickBot="1" x14ac:dyDescent="0.3">
      <c r="A2255" s="124"/>
      <c r="B2255" s="125"/>
      <c r="F2255" s="124"/>
    </row>
    <row r="2256" spans="1:6" ht="15.75" customHeight="1" thickBot="1" x14ac:dyDescent="0.3">
      <c r="A2256" s="124"/>
      <c r="B2256" s="125"/>
      <c r="F2256" s="124"/>
    </row>
    <row r="2257" spans="1:6" ht="15.75" customHeight="1" thickBot="1" x14ac:dyDescent="0.3">
      <c r="A2257" s="124"/>
      <c r="B2257" s="125"/>
      <c r="F2257" s="124"/>
    </row>
    <row r="2258" spans="1:6" ht="15.75" customHeight="1" thickBot="1" x14ac:dyDescent="0.3">
      <c r="A2258" s="124"/>
      <c r="B2258" s="125"/>
      <c r="F2258" s="124"/>
    </row>
    <row r="2259" spans="1:6" ht="15.75" customHeight="1" thickBot="1" x14ac:dyDescent="0.3">
      <c r="A2259" s="124"/>
      <c r="B2259" s="125"/>
      <c r="F2259" s="124"/>
    </row>
    <row r="2260" spans="1:6" ht="15.75" customHeight="1" thickBot="1" x14ac:dyDescent="0.3">
      <c r="A2260" s="124"/>
      <c r="B2260" s="125"/>
      <c r="F2260" s="124"/>
    </row>
    <row r="2261" spans="1:6" ht="15.75" customHeight="1" thickBot="1" x14ac:dyDescent="0.3">
      <c r="A2261" s="124"/>
      <c r="B2261" s="125"/>
      <c r="F2261" s="124"/>
    </row>
    <row r="2262" spans="1:6" ht="15.75" customHeight="1" thickBot="1" x14ac:dyDescent="0.3">
      <c r="A2262" s="124"/>
      <c r="B2262" s="125"/>
      <c r="F2262" s="124"/>
    </row>
    <row r="2263" spans="1:6" ht="15.75" customHeight="1" thickBot="1" x14ac:dyDescent="0.3">
      <c r="A2263" s="124"/>
      <c r="B2263" s="125"/>
      <c r="F2263" s="124"/>
    </row>
    <row r="2264" spans="1:6" ht="15.75" customHeight="1" thickBot="1" x14ac:dyDescent="0.3">
      <c r="A2264" s="124"/>
      <c r="B2264" s="125"/>
      <c r="F2264" s="124"/>
    </row>
    <row r="2265" spans="1:6" ht="15.75" customHeight="1" thickBot="1" x14ac:dyDescent="0.3">
      <c r="A2265" s="124"/>
      <c r="B2265" s="125"/>
      <c r="F2265" s="124"/>
    </row>
    <row r="2266" spans="1:6" ht="15.75" customHeight="1" thickBot="1" x14ac:dyDescent="0.3">
      <c r="A2266" s="124"/>
      <c r="B2266" s="125"/>
      <c r="F2266" s="124"/>
    </row>
    <row r="2267" spans="1:6" ht="15.75" customHeight="1" thickBot="1" x14ac:dyDescent="0.3">
      <c r="A2267" s="124"/>
      <c r="B2267" s="125"/>
      <c r="F2267" s="124"/>
    </row>
    <row r="2268" spans="1:6" ht="15.75" customHeight="1" thickBot="1" x14ac:dyDescent="0.3">
      <c r="A2268" s="124"/>
      <c r="B2268" s="125"/>
      <c r="F2268" s="124"/>
    </row>
    <row r="2269" spans="1:6" ht="15.75" customHeight="1" thickBot="1" x14ac:dyDescent="0.3">
      <c r="A2269" s="124"/>
      <c r="B2269" s="125"/>
      <c r="F2269" s="124"/>
    </row>
    <row r="2270" spans="1:6" ht="15.75" customHeight="1" thickBot="1" x14ac:dyDescent="0.3">
      <c r="A2270" s="124"/>
      <c r="B2270" s="125"/>
      <c r="F2270" s="124"/>
    </row>
    <row r="2271" spans="1:6" ht="15.75" customHeight="1" thickBot="1" x14ac:dyDescent="0.3">
      <c r="A2271" s="124"/>
      <c r="B2271" s="125"/>
      <c r="F2271" s="124"/>
    </row>
    <row r="2272" spans="1:6" ht="15.75" customHeight="1" thickBot="1" x14ac:dyDescent="0.3">
      <c r="A2272" s="124"/>
      <c r="B2272" s="125"/>
      <c r="F2272" s="124"/>
    </row>
    <row r="2273" spans="1:6" ht="15.75" customHeight="1" thickBot="1" x14ac:dyDescent="0.3">
      <c r="A2273" s="124"/>
      <c r="B2273" s="125"/>
      <c r="F2273" s="124"/>
    </row>
    <row r="2274" spans="1:6" ht="15.75" customHeight="1" thickBot="1" x14ac:dyDescent="0.3">
      <c r="A2274" s="124"/>
      <c r="B2274" s="125"/>
      <c r="F2274" s="124"/>
    </row>
    <row r="2275" spans="1:6" ht="15.75" customHeight="1" thickBot="1" x14ac:dyDescent="0.3">
      <c r="A2275" s="124"/>
      <c r="B2275" s="125"/>
      <c r="F2275" s="124"/>
    </row>
    <row r="2276" spans="1:6" ht="15.75" customHeight="1" thickBot="1" x14ac:dyDescent="0.3">
      <c r="A2276" s="124"/>
      <c r="B2276" s="125"/>
      <c r="F2276" s="124"/>
    </row>
    <row r="2277" spans="1:6" ht="15.75" customHeight="1" thickBot="1" x14ac:dyDescent="0.3">
      <c r="A2277" s="124"/>
      <c r="B2277" s="125"/>
      <c r="F2277" s="124"/>
    </row>
    <row r="2278" spans="1:6" ht="15.75" customHeight="1" thickBot="1" x14ac:dyDescent="0.3">
      <c r="A2278" s="124"/>
      <c r="B2278" s="125"/>
      <c r="F2278" s="124"/>
    </row>
    <row r="2279" spans="1:6" ht="15.75" customHeight="1" thickBot="1" x14ac:dyDescent="0.3">
      <c r="A2279" s="124"/>
      <c r="B2279" s="125"/>
      <c r="F2279" s="124"/>
    </row>
    <row r="2280" spans="1:6" ht="15.75" customHeight="1" thickBot="1" x14ac:dyDescent="0.3">
      <c r="A2280" s="124"/>
      <c r="B2280" s="125"/>
      <c r="F2280" s="124"/>
    </row>
    <row r="2281" spans="1:6" ht="15.75" customHeight="1" thickBot="1" x14ac:dyDescent="0.3">
      <c r="A2281" s="124"/>
      <c r="B2281" s="125"/>
      <c r="F2281" s="124"/>
    </row>
    <row r="2282" spans="1:6" ht="15.75" customHeight="1" thickBot="1" x14ac:dyDescent="0.3">
      <c r="A2282" s="124"/>
      <c r="B2282" s="125"/>
      <c r="F2282" s="124"/>
    </row>
    <row r="2283" spans="1:6" ht="15.75" customHeight="1" thickBot="1" x14ac:dyDescent="0.3">
      <c r="A2283" s="124"/>
      <c r="B2283" s="125"/>
      <c r="F2283" s="124"/>
    </row>
    <row r="2284" spans="1:6" ht="15.75" customHeight="1" thickBot="1" x14ac:dyDescent="0.3">
      <c r="A2284" s="124"/>
      <c r="B2284" s="125"/>
      <c r="F2284" s="124"/>
    </row>
    <row r="2285" spans="1:6" ht="15.75" customHeight="1" thickBot="1" x14ac:dyDescent="0.3">
      <c r="A2285" s="124"/>
      <c r="B2285" s="125"/>
      <c r="F2285" s="124"/>
    </row>
    <row r="2286" spans="1:6" ht="15.75" customHeight="1" thickBot="1" x14ac:dyDescent="0.3">
      <c r="A2286" s="124"/>
      <c r="B2286" s="125"/>
      <c r="F2286" s="124"/>
    </row>
    <row r="2287" spans="1:6" ht="15.75" customHeight="1" thickBot="1" x14ac:dyDescent="0.3">
      <c r="A2287" s="124"/>
      <c r="B2287" s="125"/>
      <c r="F2287" s="124"/>
    </row>
    <row r="2288" spans="1:6" ht="15.75" customHeight="1" thickBot="1" x14ac:dyDescent="0.3">
      <c r="A2288" s="124"/>
      <c r="B2288" s="125"/>
      <c r="F2288" s="124"/>
    </row>
    <row r="2289" spans="1:6" ht="15.75" customHeight="1" thickBot="1" x14ac:dyDescent="0.3">
      <c r="A2289" s="124"/>
      <c r="B2289" s="125"/>
      <c r="F2289" s="124"/>
    </row>
    <row r="2290" spans="1:6" ht="15.75" customHeight="1" thickBot="1" x14ac:dyDescent="0.3">
      <c r="A2290" s="124"/>
      <c r="B2290" s="125"/>
      <c r="F2290" s="124"/>
    </row>
    <row r="2291" spans="1:6" ht="15.75" customHeight="1" thickBot="1" x14ac:dyDescent="0.3">
      <c r="A2291" s="124"/>
      <c r="B2291" s="125"/>
      <c r="F2291" s="124"/>
    </row>
    <row r="2292" spans="1:6" ht="15.75" customHeight="1" thickBot="1" x14ac:dyDescent="0.3">
      <c r="A2292" s="124"/>
      <c r="B2292" s="125"/>
      <c r="F2292" s="124"/>
    </row>
    <row r="2293" spans="1:6" ht="15.75" customHeight="1" thickBot="1" x14ac:dyDescent="0.3">
      <c r="A2293" s="124"/>
      <c r="B2293" s="125"/>
      <c r="F2293" s="124"/>
    </row>
    <row r="2294" spans="1:6" ht="15.75" customHeight="1" thickBot="1" x14ac:dyDescent="0.3">
      <c r="A2294" s="124"/>
      <c r="B2294" s="125"/>
      <c r="F2294" s="124"/>
    </row>
    <row r="2295" spans="1:6" ht="15.75" customHeight="1" thickBot="1" x14ac:dyDescent="0.3">
      <c r="A2295" s="124"/>
      <c r="B2295" s="125"/>
      <c r="F2295" s="124"/>
    </row>
    <row r="2296" spans="1:6" ht="15.75" customHeight="1" thickBot="1" x14ac:dyDescent="0.3">
      <c r="A2296" s="124"/>
      <c r="B2296" s="125"/>
      <c r="F2296" s="124"/>
    </row>
    <row r="2297" spans="1:6" ht="15.75" customHeight="1" thickBot="1" x14ac:dyDescent="0.3">
      <c r="A2297" s="124"/>
      <c r="B2297" s="125"/>
      <c r="F2297" s="124"/>
    </row>
    <row r="2298" spans="1:6" ht="15.75" customHeight="1" thickBot="1" x14ac:dyDescent="0.3">
      <c r="A2298" s="124"/>
      <c r="B2298" s="125"/>
      <c r="F2298" s="124"/>
    </row>
    <row r="2299" spans="1:6" ht="15.75" customHeight="1" thickBot="1" x14ac:dyDescent="0.3">
      <c r="A2299" s="124"/>
      <c r="B2299" s="125"/>
      <c r="F2299" s="124"/>
    </row>
    <row r="2300" spans="1:6" ht="15.75" customHeight="1" thickBot="1" x14ac:dyDescent="0.3">
      <c r="A2300" s="124"/>
      <c r="B2300" s="125"/>
      <c r="F2300" s="124"/>
    </row>
    <row r="2301" spans="1:6" ht="15.75" customHeight="1" thickBot="1" x14ac:dyDescent="0.3">
      <c r="A2301" s="124"/>
      <c r="B2301" s="125"/>
      <c r="F2301" s="124"/>
    </row>
    <row r="2302" spans="1:6" ht="15.75" customHeight="1" thickBot="1" x14ac:dyDescent="0.3">
      <c r="A2302" s="124"/>
      <c r="B2302" s="125"/>
      <c r="F2302" s="124"/>
    </row>
    <row r="2303" spans="1:6" ht="15.75" customHeight="1" thickBot="1" x14ac:dyDescent="0.3">
      <c r="A2303" s="124"/>
      <c r="B2303" s="125"/>
      <c r="F2303" s="124"/>
    </row>
    <row r="2304" spans="1:6" ht="15.75" customHeight="1" thickBot="1" x14ac:dyDescent="0.3">
      <c r="A2304" s="124"/>
      <c r="B2304" s="125"/>
      <c r="F2304" s="124"/>
    </row>
    <row r="2305" spans="1:6" ht="15.75" customHeight="1" thickBot="1" x14ac:dyDescent="0.3">
      <c r="A2305" s="124"/>
      <c r="B2305" s="125"/>
      <c r="F2305" s="124"/>
    </row>
    <row r="2306" spans="1:6" ht="15.75" customHeight="1" thickBot="1" x14ac:dyDescent="0.3">
      <c r="A2306" s="124"/>
      <c r="B2306" s="125"/>
      <c r="F2306" s="124"/>
    </row>
    <row r="2307" spans="1:6" ht="15.75" customHeight="1" thickBot="1" x14ac:dyDescent="0.3">
      <c r="A2307" s="124"/>
      <c r="B2307" s="125"/>
      <c r="F2307" s="124"/>
    </row>
    <row r="2308" spans="1:6" ht="15.75" customHeight="1" thickBot="1" x14ac:dyDescent="0.3">
      <c r="A2308" s="124"/>
      <c r="B2308" s="125"/>
      <c r="F2308" s="124"/>
    </row>
    <row r="2309" spans="1:6" ht="15.75" customHeight="1" thickBot="1" x14ac:dyDescent="0.3">
      <c r="A2309" s="124"/>
      <c r="B2309" s="125"/>
      <c r="F2309" s="124"/>
    </row>
    <row r="2310" spans="1:6" ht="15.75" customHeight="1" thickBot="1" x14ac:dyDescent="0.3">
      <c r="A2310" s="124"/>
      <c r="B2310" s="125"/>
      <c r="F2310" s="124"/>
    </row>
    <row r="2311" spans="1:6" ht="15.75" customHeight="1" thickBot="1" x14ac:dyDescent="0.3">
      <c r="A2311" s="124"/>
      <c r="B2311" s="125"/>
      <c r="F2311" s="124"/>
    </row>
    <row r="2312" spans="1:6" ht="15.75" customHeight="1" thickBot="1" x14ac:dyDescent="0.3">
      <c r="A2312" s="124"/>
      <c r="B2312" s="125"/>
      <c r="F2312" s="124"/>
    </row>
    <row r="2313" spans="1:6" ht="15.75" customHeight="1" thickBot="1" x14ac:dyDescent="0.3">
      <c r="A2313" s="124"/>
      <c r="B2313" s="125"/>
      <c r="F2313" s="124"/>
    </row>
    <row r="2314" spans="1:6" ht="15.75" customHeight="1" thickBot="1" x14ac:dyDescent="0.3">
      <c r="A2314" s="124"/>
      <c r="B2314" s="125"/>
      <c r="F2314" s="124"/>
    </row>
    <row r="2315" spans="1:6" ht="15.75" customHeight="1" thickBot="1" x14ac:dyDescent="0.3">
      <c r="A2315" s="124"/>
      <c r="B2315" s="125"/>
      <c r="F2315" s="124"/>
    </row>
    <row r="2316" spans="1:6" ht="15.75" customHeight="1" thickBot="1" x14ac:dyDescent="0.3">
      <c r="A2316" s="124"/>
      <c r="B2316" s="125"/>
      <c r="F2316" s="124"/>
    </row>
    <row r="2317" spans="1:6" ht="15.75" customHeight="1" thickBot="1" x14ac:dyDescent="0.3">
      <c r="A2317" s="124"/>
      <c r="B2317" s="125"/>
      <c r="F2317" s="124"/>
    </row>
    <row r="2318" spans="1:6" ht="15.75" customHeight="1" thickBot="1" x14ac:dyDescent="0.3">
      <c r="A2318" s="124"/>
      <c r="B2318" s="125"/>
      <c r="F2318" s="124"/>
    </row>
    <row r="2319" spans="1:6" ht="15.75" customHeight="1" thickBot="1" x14ac:dyDescent="0.3">
      <c r="A2319" s="124"/>
      <c r="B2319" s="125"/>
      <c r="F2319" s="124"/>
    </row>
    <row r="2320" spans="1:6" ht="15.75" customHeight="1" thickBot="1" x14ac:dyDescent="0.3">
      <c r="A2320" s="124"/>
      <c r="B2320" s="125"/>
      <c r="F2320" s="124"/>
    </row>
    <row r="2321" spans="1:6" ht="15.75" customHeight="1" thickBot="1" x14ac:dyDescent="0.3">
      <c r="A2321" s="124"/>
      <c r="B2321" s="125"/>
      <c r="F2321" s="124"/>
    </row>
    <row r="2322" spans="1:6" ht="15.75" customHeight="1" thickBot="1" x14ac:dyDescent="0.3">
      <c r="A2322" s="124"/>
      <c r="B2322" s="125"/>
      <c r="F2322" s="124"/>
    </row>
    <row r="2323" spans="1:6" ht="15.75" customHeight="1" thickBot="1" x14ac:dyDescent="0.3">
      <c r="A2323" s="124"/>
      <c r="B2323" s="125"/>
      <c r="F2323" s="124"/>
    </row>
    <row r="2324" spans="1:6" ht="15.75" customHeight="1" thickBot="1" x14ac:dyDescent="0.3">
      <c r="A2324" s="124"/>
      <c r="B2324" s="125"/>
      <c r="F2324" s="124"/>
    </row>
    <row r="2325" spans="1:6" ht="15.75" customHeight="1" thickBot="1" x14ac:dyDescent="0.3">
      <c r="A2325" s="124"/>
      <c r="B2325" s="125"/>
      <c r="F2325" s="124"/>
    </row>
    <row r="2326" spans="1:6" ht="15.75" customHeight="1" thickBot="1" x14ac:dyDescent="0.3">
      <c r="A2326" s="124"/>
      <c r="B2326" s="125"/>
      <c r="F2326" s="124"/>
    </row>
    <row r="2327" spans="1:6" ht="15.75" customHeight="1" thickBot="1" x14ac:dyDescent="0.3">
      <c r="A2327" s="124"/>
      <c r="B2327" s="125"/>
      <c r="F2327" s="124"/>
    </row>
    <row r="2328" spans="1:6" ht="15.75" customHeight="1" thickBot="1" x14ac:dyDescent="0.3">
      <c r="A2328" s="124"/>
      <c r="B2328" s="125"/>
      <c r="F2328" s="124"/>
    </row>
    <row r="2329" spans="1:6" ht="15.75" customHeight="1" thickBot="1" x14ac:dyDescent="0.3">
      <c r="A2329" s="124"/>
      <c r="B2329" s="125"/>
      <c r="F2329" s="124"/>
    </row>
    <row r="2330" spans="1:6" ht="15.75" customHeight="1" thickBot="1" x14ac:dyDescent="0.3">
      <c r="A2330" s="124"/>
      <c r="B2330" s="125"/>
      <c r="F2330" s="124"/>
    </row>
    <row r="2331" spans="1:6" ht="15.75" customHeight="1" thickBot="1" x14ac:dyDescent="0.3">
      <c r="A2331" s="124"/>
      <c r="B2331" s="125"/>
      <c r="F2331" s="124"/>
    </row>
    <row r="2332" spans="1:6" ht="15.75" customHeight="1" thickBot="1" x14ac:dyDescent="0.3">
      <c r="A2332" s="124"/>
      <c r="B2332" s="125"/>
      <c r="F2332" s="124"/>
    </row>
    <row r="2333" spans="1:6" ht="15.75" customHeight="1" thickBot="1" x14ac:dyDescent="0.3">
      <c r="A2333" s="124"/>
      <c r="B2333" s="125"/>
      <c r="F2333" s="124"/>
    </row>
    <row r="2334" spans="1:6" ht="15.75" customHeight="1" thickBot="1" x14ac:dyDescent="0.3">
      <c r="A2334" s="124"/>
      <c r="B2334" s="125"/>
      <c r="F2334" s="124"/>
    </row>
    <row r="2335" spans="1:6" ht="15.75" customHeight="1" thickBot="1" x14ac:dyDescent="0.3">
      <c r="A2335" s="124"/>
      <c r="B2335" s="125"/>
      <c r="F2335" s="124"/>
    </row>
    <row r="2336" spans="1:6" ht="15.75" customHeight="1" thickBot="1" x14ac:dyDescent="0.3">
      <c r="A2336" s="124"/>
      <c r="B2336" s="125"/>
      <c r="F2336" s="124"/>
    </row>
    <row r="2337" spans="1:6" ht="15.75" customHeight="1" thickBot="1" x14ac:dyDescent="0.3">
      <c r="A2337" s="124"/>
      <c r="B2337" s="125"/>
      <c r="F2337" s="124"/>
    </row>
    <row r="2338" spans="1:6" ht="15.75" customHeight="1" thickBot="1" x14ac:dyDescent="0.3">
      <c r="A2338" s="124"/>
      <c r="B2338" s="125"/>
      <c r="F2338" s="124"/>
    </row>
    <row r="2339" spans="1:6" ht="15.75" customHeight="1" thickBot="1" x14ac:dyDescent="0.3">
      <c r="A2339" s="124"/>
      <c r="B2339" s="125"/>
      <c r="F2339" s="124"/>
    </row>
    <row r="2340" spans="1:6" ht="15.75" customHeight="1" thickBot="1" x14ac:dyDescent="0.3">
      <c r="A2340" s="124"/>
      <c r="B2340" s="125"/>
      <c r="F2340" s="124"/>
    </row>
    <row r="2341" spans="1:6" ht="15.75" customHeight="1" thickBot="1" x14ac:dyDescent="0.3">
      <c r="A2341" s="124"/>
      <c r="B2341" s="125"/>
      <c r="F2341" s="124"/>
    </row>
    <row r="2342" spans="1:6" ht="15.75" customHeight="1" thickBot="1" x14ac:dyDescent="0.3">
      <c r="A2342" s="124"/>
      <c r="B2342" s="125"/>
      <c r="F2342" s="124"/>
    </row>
    <row r="2343" spans="1:6" ht="15.75" customHeight="1" thickBot="1" x14ac:dyDescent="0.3">
      <c r="A2343" s="124"/>
      <c r="B2343" s="125"/>
      <c r="F2343" s="124"/>
    </row>
    <row r="2344" spans="1:6" ht="15.75" customHeight="1" thickBot="1" x14ac:dyDescent="0.3">
      <c r="A2344" s="124"/>
      <c r="B2344" s="125"/>
      <c r="F2344" s="124"/>
    </row>
    <row r="2345" spans="1:6" ht="15.75" customHeight="1" thickBot="1" x14ac:dyDescent="0.3">
      <c r="A2345" s="124"/>
      <c r="B2345" s="125"/>
      <c r="F2345" s="124"/>
    </row>
    <row r="2346" spans="1:6" ht="15.75" customHeight="1" thickBot="1" x14ac:dyDescent="0.3">
      <c r="A2346" s="124"/>
      <c r="B2346" s="125"/>
      <c r="F2346" s="124"/>
    </row>
    <row r="2347" spans="1:6" ht="15.75" customHeight="1" thickBot="1" x14ac:dyDescent="0.3">
      <c r="A2347" s="124"/>
      <c r="B2347" s="125"/>
      <c r="F2347" s="124"/>
    </row>
    <row r="2348" spans="1:6" ht="15.75" customHeight="1" thickBot="1" x14ac:dyDescent="0.3">
      <c r="A2348" s="124"/>
      <c r="B2348" s="125"/>
      <c r="F2348" s="124"/>
    </row>
    <row r="2349" spans="1:6" ht="15.75" customHeight="1" thickBot="1" x14ac:dyDescent="0.3">
      <c r="A2349" s="124"/>
      <c r="B2349" s="125"/>
      <c r="F2349" s="124"/>
    </row>
    <row r="2350" spans="1:6" ht="15.75" customHeight="1" thickBot="1" x14ac:dyDescent="0.3">
      <c r="A2350" s="124"/>
      <c r="B2350" s="125"/>
      <c r="F2350" s="124"/>
    </row>
    <row r="2351" spans="1:6" ht="15.75" customHeight="1" thickBot="1" x14ac:dyDescent="0.3">
      <c r="A2351" s="124"/>
      <c r="B2351" s="125"/>
      <c r="F2351" s="124"/>
    </row>
    <row r="2352" spans="1:6" ht="15.75" customHeight="1" thickBot="1" x14ac:dyDescent="0.3">
      <c r="A2352" s="124"/>
      <c r="B2352" s="125"/>
      <c r="F2352" s="124"/>
    </row>
    <row r="2353" spans="1:6" ht="15.75" customHeight="1" thickBot="1" x14ac:dyDescent="0.3">
      <c r="A2353" s="124"/>
      <c r="B2353" s="125"/>
      <c r="F2353" s="124"/>
    </row>
    <row r="2354" spans="1:6" ht="15.75" customHeight="1" thickBot="1" x14ac:dyDescent="0.3">
      <c r="A2354" s="124"/>
      <c r="B2354" s="125"/>
      <c r="F2354" s="124"/>
    </row>
    <row r="2355" spans="1:6" ht="15.75" customHeight="1" thickBot="1" x14ac:dyDescent="0.3">
      <c r="A2355" s="124"/>
      <c r="B2355" s="125"/>
      <c r="F2355" s="124"/>
    </row>
    <row r="2356" spans="1:6" ht="15.75" customHeight="1" thickBot="1" x14ac:dyDescent="0.3">
      <c r="A2356" s="124"/>
      <c r="B2356" s="125"/>
      <c r="F2356" s="124"/>
    </row>
    <row r="2357" spans="1:6" ht="15.75" customHeight="1" thickBot="1" x14ac:dyDescent="0.3">
      <c r="A2357" s="124"/>
      <c r="B2357" s="125"/>
      <c r="F2357" s="124"/>
    </row>
    <row r="2358" spans="1:6" ht="15.75" customHeight="1" thickBot="1" x14ac:dyDescent="0.3">
      <c r="A2358" s="124"/>
      <c r="B2358" s="125"/>
      <c r="F2358" s="124"/>
    </row>
    <row r="2359" spans="1:6" ht="15.75" customHeight="1" thickBot="1" x14ac:dyDescent="0.3">
      <c r="A2359" s="124"/>
      <c r="B2359" s="125"/>
      <c r="F2359" s="124"/>
    </row>
    <row r="2360" spans="1:6" ht="15.75" customHeight="1" thickBot="1" x14ac:dyDescent="0.3">
      <c r="A2360" s="124"/>
      <c r="B2360" s="125"/>
      <c r="F2360" s="124"/>
    </row>
    <row r="2361" spans="1:6" ht="15.75" customHeight="1" thickBot="1" x14ac:dyDescent="0.3">
      <c r="A2361" s="124"/>
      <c r="B2361" s="125"/>
      <c r="F2361" s="124"/>
    </row>
    <row r="2362" spans="1:6" ht="15.75" customHeight="1" thickBot="1" x14ac:dyDescent="0.3">
      <c r="A2362" s="124"/>
      <c r="B2362" s="125"/>
      <c r="F2362" s="124"/>
    </row>
    <row r="2363" spans="1:6" ht="15.75" customHeight="1" thickBot="1" x14ac:dyDescent="0.3">
      <c r="A2363" s="124"/>
      <c r="B2363" s="125"/>
      <c r="F2363" s="124"/>
    </row>
    <row r="2364" spans="1:6" ht="15.75" customHeight="1" thickBot="1" x14ac:dyDescent="0.3">
      <c r="A2364" s="124"/>
      <c r="B2364" s="125"/>
      <c r="F2364" s="124"/>
    </row>
    <row r="2365" spans="1:6" ht="15.75" customHeight="1" thickBot="1" x14ac:dyDescent="0.3">
      <c r="A2365" s="124"/>
      <c r="B2365" s="125"/>
      <c r="F2365" s="124"/>
    </row>
    <row r="2366" spans="1:6" ht="15.75" customHeight="1" thickBot="1" x14ac:dyDescent="0.3">
      <c r="A2366" s="124"/>
      <c r="B2366" s="125"/>
      <c r="F2366" s="124"/>
    </row>
    <row r="2367" spans="1:6" ht="15.75" customHeight="1" thickBot="1" x14ac:dyDescent="0.3">
      <c r="A2367" s="124"/>
      <c r="B2367" s="125"/>
      <c r="F2367" s="124"/>
    </row>
    <row r="2368" spans="1:6" ht="15.75" customHeight="1" thickBot="1" x14ac:dyDescent="0.3">
      <c r="A2368" s="124"/>
      <c r="B2368" s="125"/>
      <c r="F2368" s="124"/>
    </row>
    <row r="2369" spans="1:6" ht="15.75" customHeight="1" thickBot="1" x14ac:dyDescent="0.3">
      <c r="A2369" s="124"/>
      <c r="B2369" s="125"/>
      <c r="F2369" s="124"/>
    </row>
    <row r="2370" spans="1:6" ht="15.75" customHeight="1" thickBot="1" x14ac:dyDescent="0.3">
      <c r="A2370" s="124"/>
      <c r="B2370" s="125"/>
      <c r="F2370" s="124"/>
    </row>
    <row r="2371" spans="1:6" ht="15.75" customHeight="1" thickBot="1" x14ac:dyDescent="0.3">
      <c r="A2371" s="124"/>
      <c r="B2371" s="125"/>
      <c r="F2371" s="124"/>
    </row>
    <row r="2372" spans="1:6" ht="15.75" customHeight="1" thickBot="1" x14ac:dyDescent="0.3">
      <c r="A2372" s="124"/>
      <c r="B2372" s="125"/>
      <c r="F2372" s="124"/>
    </row>
    <row r="2373" spans="1:6" ht="15.75" customHeight="1" thickBot="1" x14ac:dyDescent="0.3">
      <c r="A2373" s="124"/>
      <c r="B2373" s="125"/>
      <c r="F2373" s="124"/>
    </row>
    <row r="2374" spans="1:6" ht="15.75" customHeight="1" thickBot="1" x14ac:dyDescent="0.3">
      <c r="A2374" s="124"/>
      <c r="B2374" s="125"/>
      <c r="F2374" s="124"/>
    </row>
    <row r="2375" spans="1:6" ht="15.75" customHeight="1" thickBot="1" x14ac:dyDescent="0.3">
      <c r="A2375" s="124"/>
      <c r="B2375" s="125"/>
      <c r="F2375" s="124"/>
    </row>
    <row r="2376" spans="1:6" ht="15.75" customHeight="1" thickBot="1" x14ac:dyDescent="0.3">
      <c r="A2376" s="124"/>
      <c r="B2376" s="125"/>
      <c r="F2376" s="124"/>
    </row>
    <row r="2377" spans="1:6" ht="15.75" customHeight="1" thickBot="1" x14ac:dyDescent="0.3">
      <c r="A2377" s="124"/>
      <c r="B2377" s="125"/>
      <c r="F2377" s="124"/>
    </row>
    <row r="2378" spans="1:6" ht="15.75" customHeight="1" thickBot="1" x14ac:dyDescent="0.3">
      <c r="A2378" s="124"/>
      <c r="B2378" s="125"/>
      <c r="F2378" s="124"/>
    </row>
    <row r="2379" spans="1:6" ht="15.75" customHeight="1" thickBot="1" x14ac:dyDescent="0.3">
      <c r="A2379" s="124"/>
      <c r="B2379" s="125"/>
      <c r="F2379" s="124"/>
    </row>
    <row r="2380" spans="1:6" ht="15.75" customHeight="1" thickBot="1" x14ac:dyDescent="0.3">
      <c r="A2380" s="124"/>
      <c r="B2380" s="125"/>
      <c r="F2380" s="124"/>
    </row>
    <row r="2381" spans="1:6" ht="15.75" customHeight="1" thickBot="1" x14ac:dyDescent="0.3">
      <c r="A2381" s="124"/>
      <c r="B2381" s="125"/>
      <c r="F2381" s="124"/>
    </row>
    <row r="2382" spans="1:6" ht="15.75" customHeight="1" thickBot="1" x14ac:dyDescent="0.3">
      <c r="A2382" s="124"/>
      <c r="B2382" s="125"/>
      <c r="F2382" s="124"/>
    </row>
    <row r="2383" spans="1:6" ht="15.75" customHeight="1" thickBot="1" x14ac:dyDescent="0.3">
      <c r="A2383" s="124"/>
      <c r="B2383" s="125"/>
      <c r="F2383" s="124"/>
    </row>
    <row r="2384" spans="1:6" ht="15.75" customHeight="1" thickBot="1" x14ac:dyDescent="0.3">
      <c r="A2384" s="124"/>
      <c r="B2384" s="125"/>
      <c r="F2384" s="124"/>
    </row>
    <row r="2385" spans="1:6" ht="15.75" customHeight="1" thickBot="1" x14ac:dyDescent="0.3">
      <c r="A2385" s="124"/>
      <c r="B2385" s="125"/>
      <c r="F2385" s="124"/>
    </row>
    <row r="2386" spans="1:6" ht="15.75" customHeight="1" thickBot="1" x14ac:dyDescent="0.3">
      <c r="A2386" s="124"/>
      <c r="B2386" s="125"/>
      <c r="F2386" s="124"/>
    </row>
    <row r="2387" spans="1:6" ht="15.75" customHeight="1" thickBot="1" x14ac:dyDescent="0.3">
      <c r="A2387" s="124"/>
      <c r="B2387" s="125"/>
      <c r="F2387" s="124"/>
    </row>
    <row r="2388" spans="1:6" ht="15.75" customHeight="1" thickBot="1" x14ac:dyDescent="0.3">
      <c r="A2388" s="124"/>
      <c r="B2388" s="125"/>
      <c r="F2388" s="124"/>
    </row>
    <row r="2389" spans="1:6" ht="15.75" customHeight="1" thickBot="1" x14ac:dyDescent="0.3">
      <c r="A2389" s="124"/>
      <c r="B2389" s="125"/>
      <c r="F2389" s="124"/>
    </row>
    <row r="2390" spans="1:6" ht="15.75" customHeight="1" thickBot="1" x14ac:dyDescent="0.3">
      <c r="A2390" s="124"/>
      <c r="B2390" s="125"/>
      <c r="F2390" s="124"/>
    </row>
    <row r="2391" spans="1:6" ht="15.75" customHeight="1" thickBot="1" x14ac:dyDescent="0.3">
      <c r="A2391" s="124"/>
      <c r="B2391" s="125"/>
      <c r="F2391" s="124"/>
    </row>
    <row r="2392" spans="1:6" ht="15.75" customHeight="1" thickBot="1" x14ac:dyDescent="0.3">
      <c r="A2392" s="124"/>
      <c r="B2392" s="125"/>
      <c r="F2392" s="124"/>
    </row>
    <row r="2393" spans="1:6" ht="15.75" customHeight="1" thickBot="1" x14ac:dyDescent="0.3">
      <c r="A2393" s="124"/>
      <c r="B2393" s="125"/>
      <c r="F2393" s="124"/>
    </row>
    <row r="2394" spans="1:6" ht="15.75" customHeight="1" thickBot="1" x14ac:dyDescent="0.3">
      <c r="A2394" s="124"/>
      <c r="B2394" s="125"/>
      <c r="F2394" s="124"/>
    </row>
    <row r="2395" spans="1:6" ht="15.75" customHeight="1" thickBot="1" x14ac:dyDescent="0.3">
      <c r="A2395" s="124"/>
      <c r="B2395" s="125"/>
      <c r="F2395" s="124"/>
    </row>
    <row r="2396" spans="1:6" ht="15.75" customHeight="1" thickBot="1" x14ac:dyDescent="0.3">
      <c r="A2396" s="124"/>
      <c r="B2396" s="125"/>
      <c r="F2396" s="124"/>
    </row>
    <row r="2397" spans="1:6" ht="15.75" customHeight="1" thickBot="1" x14ac:dyDescent="0.3">
      <c r="A2397" s="124"/>
      <c r="B2397" s="125"/>
      <c r="F2397" s="124"/>
    </row>
    <row r="2398" spans="1:6" ht="15.75" customHeight="1" thickBot="1" x14ac:dyDescent="0.3">
      <c r="A2398" s="124"/>
      <c r="B2398" s="125"/>
      <c r="F2398" s="124"/>
    </row>
    <row r="2399" spans="1:6" ht="15.75" customHeight="1" thickBot="1" x14ac:dyDescent="0.3">
      <c r="A2399" s="124"/>
      <c r="B2399" s="125"/>
      <c r="F2399" s="124"/>
    </row>
    <row r="2400" spans="1:6" ht="15.75" customHeight="1" thickBot="1" x14ac:dyDescent="0.3">
      <c r="A2400" s="124"/>
      <c r="B2400" s="125"/>
      <c r="F2400" s="124"/>
    </row>
    <row r="2401" spans="1:6" ht="15.75" customHeight="1" thickBot="1" x14ac:dyDescent="0.3">
      <c r="A2401" s="124"/>
      <c r="B2401" s="125"/>
      <c r="F2401" s="124"/>
    </row>
    <row r="2402" spans="1:6" ht="15.75" customHeight="1" thickBot="1" x14ac:dyDescent="0.3">
      <c r="A2402" s="124"/>
      <c r="B2402" s="125"/>
      <c r="F2402" s="124"/>
    </row>
    <row r="2403" spans="1:6" ht="15.75" customHeight="1" thickBot="1" x14ac:dyDescent="0.3">
      <c r="A2403" s="124"/>
      <c r="B2403" s="125"/>
      <c r="F2403" s="124"/>
    </row>
    <row r="2404" spans="1:6" ht="15.75" customHeight="1" thickBot="1" x14ac:dyDescent="0.3">
      <c r="A2404" s="124"/>
      <c r="B2404" s="125"/>
      <c r="F2404" s="124"/>
    </row>
    <row r="2405" spans="1:6" ht="15.75" customHeight="1" thickBot="1" x14ac:dyDescent="0.3">
      <c r="A2405" s="124"/>
      <c r="B2405" s="125"/>
      <c r="F2405" s="124"/>
    </row>
    <row r="2406" spans="1:6" ht="15.75" customHeight="1" thickBot="1" x14ac:dyDescent="0.3">
      <c r="A2406" s="124"/>
      <c r="B2406" s="125"/>
      <c r="F2406" s="124"/>
    </row>
    <row r="2407" spans="1:6" ht="15.75" customHeight="1" thickBot="1" x14ac:dyDescent="0.3">
      <c r="A2407" s="124"/>
      <c r="B2407" s="125"/>
      <c r="F2407" s="124"/>
    </row>
    <row r="2408" spans="1:6" ht="15.75" customHeight="1" thickBot="1" x14ac:dyDescent="0.3">
      <c r="A2408" s="124"/>
      <c r="B2408" s="125"/>
      <c r="F2408" s="124"/>
    </row>
    <row r="2409" spans="1:6" ht="15.75" customHeight="1" thickBot="1" x14ac:dyDescent="0.3">
      <c r="A2409" s="124"/>
      <c r="B2409" s="125"/>
      <c r="F2409" s="124"/>
    </row>
    <row r="2410" spans="1:6" ht="15.75" customHeight="1" thickBot="1" x14ac:dyDescent="0.3">
      <c r="A2410" s="124"/>
      <c r="B2410" s="125"/>
      <c r="F2410" s="124"/>
    </row>
    <row r="2411" spans="1:6" ht="15.75" customHeight="1" thickBot="1" x14ac:dyDescent="0.3">
      <c r="A2411" s="124"/>
      <c r="B2411" s="125"/>
      <c r="F2411" s="124"/>
    </row>
    <row r="2412" spans="1:6" ht="15.75" customHeight="1" thickBot="1" x14ac:dyDescent="0.3">
      <c r="A2412" s="124"/>
      <c r="B2412" s="125"/>
      <c r="F2412" s="124"/>
    </row>
    <row r="2413" spans="1:6" ht="15.75" customHeight="1" thickBot="1" x14ac:dyDescent="0.3">
      <c r="A2413" s="124"/>
      <c r="B2413" s="125"/>
      <c r="F2413" s="124"/>
    </row>
    <row r="2414" spans="1:6" ht="15.75" customHeight="1" thickBot="1" x14ac:dyDescent="0.3">
      <c r="A2414" s="124"/>
      <c r="B2414" s="125"/>
      <c r="F2414" s="124"/>
    </row>
    <row r="2415" spans="1:6" ht="15.75" customHeight="1" thickBot="1" x14ac:dyDescent="0.3">
      <c r="A2415" s="124"/>
      <c r="B2415" s="125"/>
      <c r="F2415" s="124"/>
    </row>
    <row r="2416" spans="1:6" ht="15.75" customHeight="1" thickBot="1" x14ac:dyDescent="0.3">
      <c r="A2416" s="124"/>
      <c r="B2416" s="125"/>
      <c r="F2416" s="124"/>
    </row>
    <row r="2417" spans="1:6" ht="15.75" customHeight="1" thickBot="1" x14ac:dyDescent="0.3">
      <c r="A2417" s="124"/>
      <c r="B2417" s="125"/>
      <c r="F2417" s="124"/>
    </row>
    <row r="2418" spans="1:6" ht="15.75" customHeight="1" thickBot="1" x14ac:dyDescent="0.3">
      <c r="A2418" s="124"/>
      <c r="B2418" s="125"/>
      <c r="F2418" s="124"/>
    </row>
    <row r="2419" spans="1:6" ht="15.75" customHeight="1" thickBot="1" x14ac:dyDescent="0.3">
      <c r="A2419" s="124"/>
      <c r="B2419" s="125"/>
      <c r="F2419" s="124"/>
    </row>
    <row r="2420" spans="1:6" ht="15.75" customHeight="1" thickBot="1" x14ac:dyDescent="0.3">
      <c r="A2420" s="124"/>
      <c r="B2420" s="125"/>
      <c r="F2420" s="124"/>
    </row>
    <row r="2421" spans="1:6" ht="15.75" customHeight="1" thickBot="1" x14ac:dyDescent="0.3">
      <c r="A2421" s="124"/>
      <c r="B2421" s="125"/>
      <c r="F2421" s="124"/>
    </row>
    <row r="2422" spans="1:6" ht="15.75" customHeight="1" thickBot="1" x14ac:dyDescent="0.3">
      <c r="A2422" s="124"/>
      <c r="B2422" s="125"/>
      <c r="F2422" s="124"/>
    </row>
    <row r="2423" spans="1:6" ht="15.75" customHeight="1" thickBot="1" x14ac:dyDescent="0.3">
      <c r="A2423" s="124"/>
      <c r="B2423" s="125"/>
      <c r="F2423" s="124"/>
    </row>
    <row r="2424" spans="1:6" ht="15.75" customHeight="1" thickBot="1" x14ac:dyDescent="0.3">
      <c r="A2424" s="124"/>
      <c r="B2424" s="125"/>
      <c r="F2424" s="124"/>
    </row>
    <row r="2425" spans="1:6" ht="15.75" customHeight="1" thickBot="1" x14ac:dyDescent="0.3">
      <c r="A2425" s="124"/>
      <c r="B2425" s="125"/>
      <c r="F2425" s="124"/>
    </row>
    <row r="2426" spans="1:6" ht="15.75" customHeight="1" thickBot="1" x14ac:dyDescent="0.3">
      <c r="A2426" s="124"/>
      <c r="B2426" s="125"/>
      <c r="F2426" s="124"/>
    </row>
    <row r="2427" spans="1:6" ht="15.75" customHeight="1" thickBot="1" x14ac:dyDescent="0.3">
      <c r="A2427" s="124"/>
      <c r="B2427" s="125"/>
      <c r="F2427" s="124"/>
    </row>
    <row r="2428" spans="1:6" ht="15.75" customHeight="1" thickBot="1" x14ac:dyDescent="0.3">
      <c r="A2428" s="124"/>
      <c r="B2428" s="125"/>
      <c r="F2428" s="124"/>
    </row>
    <row r="2429" spans="1:6" ht="15.75" customHeight="1" thickBot="1" x14ac:dyDescent="0.3">
      <c r="A2429" s="124"/>
      <c r="B2429" s="125"/>
      <c r="F2429" s="124"/>
    </row>
    <row r="2430" spans="1:6" ht="15.75" customHeight="1" thickBot="1" x14ac:dyDescent="0.3">
      <c r="A2430" s="124"/>
      <c r="B2430" s="125"/>
      <c r="F2430" s="124"/>
    </row>
    <row r="2431" spans="1:6" ht="15.75" customHeight="1" thickBot="1" x14ac:dyDescent="0.3">
      <c r="A2431" s="124"/>
      <c r="B2431" s="125"/>
      <c r="F2431" s="124"/>
    </row>
    <row r="2432" spans="1:6" ht="15.75" customHeight="1" thickBot="1" x14ac:dyDescent="0.3">
      <c r="A2432" s="124"/>
      <c r="B2432" s="125"/>
      <c r="F2432" s="124"/>
    </row>
    <row r="2433" spans="1:6" ht="15.75" customHeight="1" thickBot="1" x14ac:dyDescent="0.3">
      <c r="A2433" s="124"/>
      <c r="B2433" s="125"/>
      <c r="F2433" s="124"/>
    </row>
    <row r="2434" spans="1:6" ht="15.75" customHeight="1" thickBot="1" x14ac:dyDescent="0.3">
      <c r="A2434" s="124"/>
      <c r="B2434" s="125"/>
      <c r="F2434" s="124"/>
    </row>
    <row r="2435" spans="1:6" ht="15.75" customHeight="1" thickBot="1" x14ac:dyDescent="0.3">
      <c r="A2435" s="124"/>
      <c r="B2435" s="125"/>
      <c r="F2435" s="124"/>
    </row>
    <row r="2436" spans="1:6" ht="15.75" customHeight="1" thickBot="1" x14ac:dyDescent="0.3">
      <c r="A2436" s="124"/>
      <c r="B2436" s="125"/>
      <c r="F2436" s="124"/>
    </row>
    <row r="2437" spans="1:6" ht="15.75" customHeight="1" thickBot="1" x14ac:dyDescent="0.3">
      <c r="A2437" s="124"/>
      <c r="B2437" s="125"/>
      <c r="F2437" s="124"/>
    </row>
    <row r="2438" spans="1:6" ht="15.75" customHeight="1" thickBot="1" x14ac:dyDescent="0.3">
      <c r="A2438" s="124"/>
      <c r="B2438" s="125"/>
      <c r="F2438" s="124"/>
    </row>
    <row r="2439" spans="1:6" ht="15.75" customHeight="1" thickBot="1" x14ac:dyDescent="0.3">
      <c r="A2439" s="124"/>
      <c r="B2439" s="125"/>
      <c r="F2439" s="124"/>
    </row>
    <row r="2440" spans="1:6" ht="15.75" customHeight="1" thickBot="1" x14ac:dyDescent="0.3">
      <c r="A2440" s="124"/>
      <c r="B2440" s="125"/>
      <c r="F2440" s="124"/>
    </row>
    <row r="2441" spans="1:6" ht="15.75" customHeight="1" thickBot="1" x14ac:dyDescent="0.3">
      <c r="A2441" s="124"/>
      <c r="B2441" s="125"/>
      <c r="F2441" s="124"/>
    </row>
    <row r="2442" spans="1:6" ht="15.75" customHeight="1" thickBot="1" x14ac:dyDescent="0.3">
      <c r="A2442" s="124"/>
      <c r="B2442" s="125"/>
      <c r="F2442" s="124"/>
    </row>
    <row r="2443" spans="1:6" ht="15.75" customHeight="1" thickBot="1" x14ac:dyDescent="0.3">
      <c r="A2443" s="124"/>
      <c r="B2443" s="125"/>
      <c r="F2443" s="124"/>
    </row>
    <row r="2444" spans="1:6" ht="15.75" customHeight="1" thickBot="1" x14ac:dyDescent="0.3">
      <c r="A2444" s="124"/>
      <c r="B2444" s="125"/>
      <c r="F2444" s="124"/>
    </row>
    <row r="2445" spans="1:6" ht="15.75" customHeight="1" thickBot="1" x14ac:dyDescent="0.3">
      <c r="A2445" s="124"/>
      <c r="B2445" s="125"/>
      <c r="F2445" s="124"/>
    </row>
    <row r="2446" spans="1:6" ht="15.75" customHeight="1" thickBot="1" x14ac:dyDescent="0.3">
      <c r="A2446" s="124"/>
      <c r="B2446" s="125"/>
      <c r="F2446" s="124"/>
    </row>
    <row r="2447" spans="1:6" ht="15.75" customHeight="1" thickBot="1" x14ac:dyDescent="0.3">
      <c r="A2447" s="124"/>
      <c r="B2447" s="125"/>
      <c r="F2447" s="124"/>
    </row>
    <row r="2448" spans="1:6" ht="15.75" customHeight="1" thickBot="1" x14ac:dyDescent="0.3">
      <c r="A2448" s="124"/>
      <c r="B2448" s="125"/>
      <c r="F2448" s="124"/>
    </row>
    <row r="2449" spans="1:6" ht="15.75" customHeight="1" thickBot="1" x14ac:dyDescent="0.3">
      <c r="A2449" s="124"/>
      <c r="B2449" s="125"/>
      <c r="F2449" s="124"/>
    </row>
    <row r="2450" spans="1:6" ht="15.75" customHeight="1" thickBot="1" x14ac:dyDescent="0.3">
      <c r="A2450" s="124"/>
      <c r="B2450" s="125"/>
      <c r="F2450" s="124"/>
    </row>
    <row r="2451" spans="1:6" ht="15.75" customHeight="1" thickBot="1" x14ac:dyDescent="0.3">
      <c r="A2451" s="124"/>
      <c r="B2451" s="125"/>
      <c r="F2451" s="124"/>
    </row>
    <row r="2452" spans="1:6" ht="15.75" customHeight="1" thickBot="1" x14ac:dyDescent="0.3">
      <c r="A2452" s="124"/>
      <c r="B2452" s="125"/>
      <c r="F2452" s="124"/>
    </row>
    <row r="2453" spans="1:6" ht="15.75" customHeight="1" thickBot="1" x14ac:dyDescent="0.3">
      <c r="A2453" s="124"/>
      <c r="B2453" s="125"/>
      <c r="F2453" s="124"/>
    </row>
    <row r="2454" spans="1:6" ht="15.75" customHeight="1" thickBot="1" x14ac:dyDescent="0.3">
      <c r="A2454" s="124"/>
      <c r="B2454" s="125"/>
      <c r="F2454" s="124"/>
    </row>
    <row r="2455" spans="1:6" ht="15.75" customHeight="1" thickBot="1" x14ac:dyDescent="0.3">
      <c r="A2455" s="124"/>
      <c r="B2455" s="125"/>
      <c r="F2455" s="124"/>
    </row>
    <row r="2456" spans="1:6" ht="15.75" customHeight="1" thickBot="1" x14ac:dyDescent="0.3">
      <c r="A2456" s="124"/>
      <c r="B2456" s="125"/>
      <c r="F2456" s="124"/>
    </row>
    <row r="2457" spans="1:6" ht="15.75" customHeight="1" thickBot="1" x14ac:dyDescent="0.3">
      <c r="A2457" s="124"/>
      <c r="B2457" s="125"/>
      <c r="F2457" s="124"/>
    </row>
    <row r="2458" spans="1:6" ht="15.75" customHeight="1" thickBot="1" x14ac:dyDescent="0.3">
      <c r="A2458" s="124"/>
      <c r="B2458" s="125"/>
      <c r="F2458" s="124"/>
    </row>
    <row r="2459" spans="1:6" ht="15.75" customHeight="1" thickBot="1" x14ac:dyDescent="0.3">
      <c r="A2459" s="124"/>
      <c r="B2459" s="125"/>
      <c r="F2459" s="124"/>
    </row>
    <row r="2460" spans="1:6" ht="15.75" customHeight="1" thickBot="1" x14ac:dyDescent="0.3">
      <c r="A2460" s="124"/>
      <c r="B2460" s="125"/>
      <c r="F2460" s="124"/>
    </row>
    <row r="2461" spans="1:6" ht="15.75" customHeight="1" thickBot="1" x14ac:dyDescent="0.3">
      <c r="A2461" s="124"/>
      <c r="B2461" s="125"/>
      <c r="F2461" s="124"/>
    </row>
    <row r="2462" spans="1:6" ht="15.75" customHeight="1" thickBot="1" x14ac:dyDescent="0.3">
      <c r="A2462" s="124"/>
      <c r="B2462" s="125"/>
      <c r="F2462" s="124"/>
    </row>
    <row r="2463" spans="1:6" ht="15.75" customHeight="1" thickBot="1" x14ac:dyDescent="0.3">
      <c r="A2463" s="124"/>
      <c r="B2463" s="125"/>
      <c r="F2463" s="124"/>
    </row>
    <row r="2464" spans="1:6" ht="15.75" customHeight="1" thickBot="1" x14ac:dyDescent="0.3">
      <c r="A2464" s="124"/>
      <c r="B2464" s="125"/>
      <c r="F2464" s="124"/>
    </row>
    <row r="2465" spans="1:6" ht="15.75" customHeight="1" thickBot="1" x14ac:dyDescent="0.3">
      <c r="A2465" s="124"/>
      <c r="B2465" s="125"/>
      <c r="F2465" s="124"/>
    </row>
    <row r="2466" spans="1:6" ht="15.75" customHeight="1" thickBot="1" x14ac:dyDescent="0.3">
      <c r="A2466" s="124"/>
      <c r="B2466" s="125"/>
      <c r="F2466" s="124"/>
    </row>
    <row r="2467" spans="1:6" ht="15.75" customHeight="1" thickBot="1" x14ac:dyDescent="0.3">
      <c r="A2467" s="124"/>
      <c r="B2467" s="125"/>
      <c r="F2467" s="124"/>
    </row>
    <row r="2468" spans="1:6" ht="15.75" customHeight="1" thickBot="1" x14ac:dyDescent="0.3">
      <c r="A2468" s="124"/>
      <c r="B2468" s="125"/>
      <c r="F2468" s="124"/>
    </row>
    <row r="2469" spans="1:6" ht="15.75" customHeight="1" thickBot="1" x14ac:dyDescent="0.3">
      <c r="A2469" s="124"/>
      <c r="B2469" s="125"/>
      <c r="F2469" s="124"/>
    </row>
    <row r="2470" spans="1:6" ht="15.75" customHeight="1" thickBot="1" x14ac:dyDescent="0.3">
      <c r="A2470" s="124"/>
      <c r="B2470" s="125"/>
      <c r="F2470" s="124"/>
    </row>
    <row r="2471" spans="1:6" ht="15.75" customHeight="1" thickBot="1" x14ac:dyDescent="0.3">
      <c r="A2471" s="124"/>
      <c r="B2471" s="125"/>
      <c r="F2471" s="124"/>
    </row>
    <row r="2472" spans="1:6" ht="15.75" customHeight="1" thickBot="1" x14ac:dyDescent="0.3">
      <c r="A2472" s="124"/>
      <c r="B2472" s="125"/>
      <c r="F2472" s="124"/>
    </row>
    <row r="2473" spans="1:6" ht="15.75" customHeight="1" thickBot="1" x14ac:dyDescent="0.3">
      <c r="A2473" s="124"/>
      <c r="B2473" s="125"/>
      <c r="F2473" s="124"/>
    </row>
    <row r="2474" spans="1:6" ht="15.75" customHeight="1" thickBot="1" x14ac:dyDescent="0.3">
      <c r="A2474" s="124"/>
      <c r="B2474" s="125"/>
      <c r="F2474" s="124"/>
    </row>
    <row r="2475" spans="1:6" ht="15.75" customHeight="1" thickBot="1" x14ac:dyDescent="0.3">
      <c r="A2475" s="124"/>
      <c r="B2475" s="125"/>
      <c r="F2475" s="124"/>
    </row>
    <row r="2476" spans="1:6" ht="15.75" customHeight="1" thickBot="1" x14ac:dyDescent="0.3">
      <c r="A2476" s="124"/>
      <c r="B2476" s="125"/>
      <c r="F2476" s="124"/>
    </row>
    <row r="2477" spans="1:6" ht="15.75" customHeight="1" thickBot="1" x14ac:dyDescent="0.3">
      <c r="A2477" s="124"/>
      <c r="B2477" s="125"/>
      <c r="F2477" s="124"/>
    </row>
    <row r="2478" spans="1:6" ht="15.75" customHeight="1" thickBot="1" x14ac:dyDescent="0.3">
      <c r="A2478" s="124"/>
      <c r="B2478" s="125"/>
      <c r="F2478" s="124"/>
    </row>
    <row r="2479" spans="1:6" ht="15.75" customHeight="1" thickBot="1" x14ac:dyDescent="0.3">
      <c r="A2479" s="124"/>
      <c r="B2479" s="125"/>
      <c r="F2479" s="124"/>
    </row>
    <row r="2480" spans="1:6" ht="15.75" customHeight="1" thickBot="1" x14ac:dyDescent="0.3">
      <c r="A2480" s="124"/>
      <c r="B2480" s="125"/>
      <c r="F2480" s="124"/>
    </row>
    <row r="2481" spans="1:6" ht="15.75" customHeight="1" thickBot="1" x14ac:dyDescent="0.3">
      <c r="A2481" s="124"/>
      <c r="B2481" s="125"/>
      <c r="F2481" s="124"/>
    </row>
    <row r="2482" spans="1:6" ht="15.75" customHeight="1" thickBot="1" x14ac:dyDescent="0.3">
      <c r="A2482" s="124"/>
      <c r="B2482" s="125"/>
      <c r="F2482" s="124"/>
    </row>
    <row r="2483" spans="1:6" ht="15.75" customHeight="1" thickBot="1" x14ac:dyDescent="0.3">
      <c r="A2483" s="124"/>
      <c r="B2483" s="125"/>
      <c r="F2483" s="124"/>
    </row>
    <row r="2484" spans="1:6" ht="15.75" customHeight="1" thickBot="1" x14ac:dyDescent="0.3">
      <c r="A2484" s="124"/>
      <c r="B2484" s="125"/>
      <c r="F2484" s="124"/>
    </row>
    <row r="2485" spans="1:6" ht="15.75" customHeight="1" thickBot="1" x14ac:dyDescent="0.3">
      <c r="A2485" s="124"/>
      <c r="B2485" s="125"/>
      <c r="F2485" s="124"/>
    </row>
    <row r="2486" spans="1:6" ht="15.75" customHeight="1" thickBot="1" x14ac:dyDescent="0.3">
      <c r="A2486" s="124"/>
      <c r="B2486" s="125"/>
      <c r="F2486" s="124"/>
    </row>
    <row r="2487" spans="1:6" ht="15.75" customHeight="1" thickBot="1" x14ac:dyDescent="0.3">
      <c r="A2487" s="124"/>
      <c r="B2487" s="125"/>
      <c r="F2487" s="124"/>
    </row>
    <row r="2488" spans="1:6" ht="15.75" customHeight="1" thickBot="1" x14ac:dyDescent="0.3">
      <c r="A2488" s="124"/>
      <c r="B2488" s="125"/>
      <c r="F2488" s="124"/>
    </row>
    <row r="2489" spans="1:6" ht="15.75" customHeight="1" thickBot="1" x14ac:dyDescent="0.3">
      <c r="A2489" s="124"/>
      <c r="B2489" s="125"/>
      <c r="F2489" s="124"/>
    </row>
    <row r="2490" spans="1:6" ht="15.75" customHeight="1" thickBot="1" x14ac:dyDescent="0.3">
      <c r="A2490" s="124"/>
      <c r="B2490" s="125"/>
      <c r="F2490" s="124"/>
    </row>
    <row r="2491" spans="1:6" ht="15.75" customHeight="1" thickBot="1" x14ac:dyDescent="0.3">
      <c r="A2491" s="124"/>
      <c r="B2491" s="125"/>
      <c r="F2491" s="124"/>
    </row>
    <row r="2492" spans="1:6" ht="15.75" customHeight="1" thickBot="1" x14ac:dyDescent="0.3">
      <c r="A2492" s="124"/>
      <c r="B2492" s="125"/>
      <c r="F2492" s="124"/>
    </row>
    <row r="2493" spans="1:6" ht="15.75" customHeight="1" thickBot="1" x14ac:dyDescent="0.3">
      <c r="A2493" s="124"/>
      <c r="B2493" s="125"/>
      <c r="F2493" s="124"/>
    </row>
    <row r="2494" spans="1:6" ht="15.75" customHeight="1" thickBot="1" x14ac:dyDescent="0.3">
      <c r="A2494" s="124"/>
      <c r="B2494" s="125"/>
      <c r="F2494" s="124"/>
    </row>
    <row r="2495" spans="1:6" ht="15.75" customHeight="1" thickBot="1" x14ac:dyDescent="0.3">
      <c r="A2495" s="124"/>
      <c r="B2495" s="125"/>
      <c r="F2495" s="124"/>
    </row>
    <row r="2496" spans="1:6" ht="15.75" customHeight="1" thickBot="1" x14ac:dyDescent="0.3">
      <c r="A2496" s="124"/>
      <c r="B2496" s="125"/>
      <c r="F2496" s="124"/>
    </row>
    <row r="2497" spans="1:6" ht="15.75" customHeight="1" thickBot="1" x14ac:dyDescent="0.3">
      <c r="A2497" s="124"/>
      <c r="B2497" s="125"/>
      <c r="F2497" s="124"/>
    </row>
    <row r="2498" spans="1:6" ht="15.75" customHeight="1" thickBot="1" x14ac:dyDescent="0.3">
      <c r="A2498" s="124"/>
      <c r="B2498" s="125"/>
      <c r="F2498" s="124"/>
    </row>
    <row r="2499" spans="1:6" ht="15.75" customHeight="1" thickBot="1" x14ac:dyDescent="0.3">
      <c r="A2499" s="124"/>
      <c r="B2499" s="125"/>
      <c r="F2499" s="124"/>
    </row>
    <row r="2500" spans="1:6" ht="15.75" customHeight="1" thickBot="1" x14ac:dyDescent="0.3">
      <c r="A2500" s="124"/>
      <c r="B2500" s="125"/>
      <c r="F2500" s="124"/>
    </row>
    <row r="2501" spans="1:6" ht="15.75" customHeight="1" thickBot="1" x14ac:dyDescent="0.3">
      <c r="A2501" s="124"/>
      <c r="B2501" s="125"/>
      <c r="F2501" s="124"/>
    </row>
    <row r="2502" spans="1:6" ht="15.75" customHeight="1" thickBot="1" x14ac:dyDescent="0.3">
      <c r="A2502" s="124"/>
      <c r="B2502" s="125"/>
      <c r="F2502" s="124"/>
    </row>
    <row r="2503" spans="1:6" ht="15.75" customHeight="1" thickBot="1" x14ac:dyDescent="0.3">
      <c r="A2503" s="124"/>
      <c r="B2503" s="125"/>
      <c r="F2503" s="124"/>
    </row>
    <row r="2504" spans="1:6" ht="15.75" customHeight="1" thickBot="1" x14ac:dyDescent="0.3">
      <c r="A2504" s="124"/>
      <c r="B2504" s="125"/>
      <c r="F2504" s="124"/>
    </row>
    <row r="2505" spans="1:6" ht="15.75" customHeight="1" thickBot="1" x14ac:dyDescent="0.3">
      <c r="A2505" s="124"/>
      <c r="B2505" s="125"/>
      <c r="F2505" s="124"/>
    </row>
    <row r="2506" spans="1:6" ht="15.75" customHeight="1" thickBot="1" x14ac:dyDescent="0.3">
      <c r="A2506" s="124"/>
      <c r="B2506" s="125"/>
      <c r="F2506" s="124"/>
    </row>
    <row r="2507" spans="1:6" ht="15.75" customHeight="1" thickBot="1" x14ac:dyDescent="0.3">
      <c r="A2507" s="124"/>
      <c r="B2507" s="125"/>
      <c r="F2507" s="124"/>
    </row>
    <row r="2508" spans="1:6" ht="15.75" customHeight="1" thickBot="1" x14ac:dyDescent="0.3">
      <c r="A2508" s="124"/>
      <c r="B2508" s="125"/>
      <c r="F2508" s="124"/>
    </row>
    <row r="2509" spans="1:6" ht="15.75" customHeight="1" thickBot="1" x14ac:dyDescent="0.3">
      <c r="A2509" s="124"/>
      <c r="B2509" s="125"/>
      <c r="F2509" s="124"/>
    </row>
    <row r="2510" spans="1:6" ht="15.75" customHeight="1" thickBot="1" x14ac:dyDescent="0.3">
      <c r="A2510" s="124"/>
      <c r="B2510" s="125"/>
      <c r="F2510" s="124"/>
    </row>
    <row r="2511" spans="1:6" ht="15.75" customHeight="1" thickBot="1" x14ac:dyDescent="0.3">
      <c r="A2511" s="124"/>
      <c r="B2511" s="125"/>
      <c r="F2511" s="124"/>
    </row>
    <row r="2512" spans="1:6" ht="15.75" customHeight="1" thickBot="1" x14ac:dyDescent="0.3">
      <c r="A2512" s="124"/>
      <c r="B2512" s="125"/>
      <c r="F2512" s="124"/>
    </row>
    <row r="2513" spans="1:6" ht="15.75" customHeight="1" thickBot="1" x14ac:dyDescent="0.3">
      <c r="A2513" s="124"/>
      <c r="B2513" s="125"/>
      <c r="F2513" s="124"/>
    </row>
    <row r="2514" spans="1:6" ht="15.75" customHeight="1" thickBot="1" x14ac:dyDescent="0.3">
      <c r="A2514" s="124"/>
      <c r="B2514" s="125"/>
      <c r="F2514" s="124"/>
    </row>
    <row r="2515" spans="1:6" ht="15.75" customHeight="1" thickBot="1" x14ac:dyDescent="0.3">
      <c r="A2515" s="124"/>
      <c r="B2515" s="125"/>
      <c r="F2515" s="124"/>
    </row>
    <row r="2516" spans="1:6" ht="15.75" customHeight="1" thickBot="1" x14ac:dyDescent="0.3">
      <c r="A2516" s="124"/>
      <c r="B2516" s="125"/>
      <c r="F2516" s="124"/>
    </row>
    <row r="2517" spans="1:6" ht="15.75" customHeight="1" thickBot="1" x14ac:dyDescent="0.3">
      <c r="A2517" s="124"/>
      <c r="B2517" s="125"/>
      <c r="F2517" s="124"/>
    </row>
    <row r="2518" spans="1:6" ht="15.75" customHeight="1" thickBot="1" x14ac:dyDescent="0.3">
      <c r="A2518" s="124"/>
      <c r="B2518" s="125"/>
      <c r="F2518" s="124"/>
    </row>
    <row r="2519" spans="1:6" ht="15.75" customHeight="1" thickBot="1" x14ac:dyDescent="0.3">
      <c r="A2519" s="124"/>
      <c r="B2519" s="125"/>
      <c r="F2519" s="124"/>
    </row>
    <row r="2520" spans="1:6" ht="15.75" customHeight="1" thickBot="1" x14ac:dyDescent="0.3">
      <c r="A2520" s="124"/>
      <c r="B2520" s="125"/>
      <c r="F2520" s="124"/>
    </row>
    <row r="2521" spans="1:6" ht="15.75" customHeight="1" thickBot="1" x14ac:dyDescent="0.3">
      <c r="A2521" s="124"/>
      <c r="B2521" s="125"/>
      <c r="F2521" s="124"/>
    </row>
    <row r="2522" spans="1:6" ht="15.75" customHeight="1" thickBot="1" x14ac:dyDescent="0.3">
      <c r="A2522" s="124"/>
      <c r="B2522" s="125"/>
      <c r="F2522" s="124"/>
    </row>
    <row r="2523" spans="1:6" ht="15.75" customHeight="1" thickBot="1" x14ac:dyDescent="0.3">
      <c r="A2523" s="124"/>
      <c r="B2523" s="125"/>
      <c r="F2523" s="124"/>
    </row>
    <row r="2524" spans="1:6" ht="15.75" customHeight="1" thickBot="1" x14ac:dyDescent="0.3">
      <c r="A2524" s="124"/>
      <c r="B2524" s="125"/>
      <c r="F2524" s="124"/>
    </row>
    <row r="2525" spans="1:6" ht="15.75" customHeight="1" thickBot="1" x14ac:dyDescent="0.3">
      <c r="A2525" s="124"/>
      <c r="B2525" s="125"/>
      <c r="F2525" s="124"/>
    </row>
    <row r="2526" spans="1:6" ht="15.75" customHeight="1" thickBot="1" x14ac:dyDescent="0.3">
      <c r="A2526" s="124"/>
      <c r="B2526" s="125"/>
      <c r="F2526" s="124"/>
    </row>
    <row r="2527" spans="1:6" ht="15.75" customHeight="1" thickBot="1" x14ac:dyDescent="0.3">
      <c r="A2527" s="124"/>
      <c r="B2527" s="125"/>
      <c r="F2527" s="124"/>
    </row>
    <row r="2528" spans="1:6" ht="15.75" customHeight="1" thickBot="1" x14ac:dyDescent="0.3">
      <c r="A2528" s="124"/>
      <c r="B2528" s="125"/>
      <c r="F2528" s="124"/>
    </row>
    <row r="2529" spans="1:6" ht="15.75" customHeight="1" thickBot="1" x14ac:dyDescent="0.3">
      <c r="A2529" s="124"/>
      <c r="B2529" s="125"/>
      <c r="F2529" s="124"/>
    </row>
    <row r="2530" spans="1:6" ht="15.75" customHeight="1" thickBot="1" x14ac:dyDescent="0.3">
      <c r="A2530" s="124"/>
      <c r="B2530" s="125"/>
      <c r="F2530" s="124"/>
    </row>
    <row r="2531" spans="1:6" ht="15.75" customHeight="1" thickBot="1" x14ac:dyDescent="0.3">
      <c r="A2531" s="124"/>
      <c r="B2531" s="125"/>
      <c r="F2531" s="124"/>
    </row>
    <row r="2532" spans="1:6" ht="15.75" customHeight="1" thickBot="1" x14ac:dyDescent="0.3">
      <c r="A2532" s="124"/>
      <c r="B2532" s="125"/>
      <c r="F2532" s="124"/>
    </row>
    <row r="2533" spans="1:6" ht="15.75" customHeight="1" thickBot="1" x14ac:dyDescent="0.3">
      <c r="A2533" s="124"/>
      <c r="B2533" s="125"/>
      <c r="F2533" s="124"/>
    </row>
    <row r="2534" spans="1:6" ht="15.75" customHeight="1" thickBot="1" x14ac:dyDescent="0.3">
      <c r="A2534" s="124"/>
      <c r="B2534" s="125"/>
      <c r="F2534" s="124"/>
    </row>
    <row r="2535" spans="1:6" ht="15.75" customHeight="1" thickBot="1" x14ac:dyDescent="0.3">
      <c r="A2535" s="124"/>
      <c r="B2535" s="125"/>
      <c r="F2535" s="124"/>
    </row>
    <row r="2536" spans="1:6" ht="15.75" customHeight="1" thickBot="1" x14ac:dyDescent="0.3">
      <c r="A2536" s="124"/>
      <c r="B2536" s="125"/>
      <c r="F2536" s="124"/>
    </row>
    <row r="2537" spans="1:6" ht="15.75" customHeight="1" thickBot="1" x14ac:dyDescent="0.3">
      <c r="A2537" s="124"/>
      <c r="B2537" s="125"/>
      <c r="F2537" s="124"/>
    </row>
    <row r="2538" spans="1:6" ht="15.75" customHeight="1" thickBot="1" x14ac:dyDescent="0.3">
      <c r="A2538" s="124"/>
      <c r="B2538" s="125"/>
      <c r="F2538" s="124"/>
    </row>
    <row r="2539" spans="1:6" ht="15.75" customHeight="1" thickBot="1" x14ac:dyDescent="0.3">
      <c r="A2539" s="124"/>
      <c r="B2539" s="125"/>
      <c r="F2539" s="124"/>
    </row>
    <row r="2540" spans="1:6" ht="15.75" customHeight="1" thickBot="1" x14ac:dyDescent="0.3">
      <c r="A2540" s="124"/>
      <c r="B2540" s="125"/>
      <c r="F2540" s="124"/>
    </row>
    <row r="2541" spans="1:6" ht="15.75" customHeight="1" thickBot="1" x14ac:dyDescent="0.3">
      <c r="A2541" s="124"/>
      <c r="B2541" s="125"/>
      <c r="F2541" s="124"/>
    </row>
    <row r="2542" spans="1:6" ht="15.75" customHeight="1" thickBot="1" x14ac:dyDescent="0.3">
      <c r="A2542" s="124"/>
      <c r="B2542" s="125"/>
      <c r="F2542" s="124"/>
    </row>
    <row r="2543" spans="1:6" ht="15.75" customHeight="1" thickBot="1" x14ac:dyDescent="0.3">
      <c r="A2543" s="124"/>
      <c r="B2543" s="125"/>
      <c r="F2543" s="124"/>
    </row>
    <row r="2544" spans="1:6" ht="15.75" customHeight="1" thickBot="1" x14ac:dyDescent="0.3">
      <c r="A2544" s="124"/>
      <c r="B2544" s="125"/>
      <c r="F2544" s="124"/>
    </row>
    <row r="2545" spans="1:6" ht="15.75" customHeight="1" thickBot="1" x14ac:dyDescent="0.3">
      <c r="A2545" s="124"/>
      <c r="B2545" s="125"/>
      <c r="F2545" s="124"/>
    </row>
    <row r="2546" spans="1:6" ht="15.75" customHeight="1" thickBot="1" x14ac:dyDescent="0.3">
      <c r="A2546" s="124"/>
      <c r="B2546" s="125"/>
      <c r="F2546" s="124"/>
    </row>
    <row r="2547" spans="1:6" ht="15.75" customHeight="1" thickBot="1" x14ac:dyDescent="0.3">
      <c r="A2547" s="124"/>
      <c r="B2547" s="125"/>
      <c r="F2547" s="124"/>
    </row>
    <row r="2548" spans="1:6" ht="15.75" customHeight="1" thickBot="1" x14ac:dyDescent="0.3">
      <c r="A2548" s="124"/>
      <c r="B2548" s="125"/>
      <c r="F2548" s="124"/>
    </row>
    <row r="2549" spans="1:6" ht="15.75" customHeight="1" thickBot="1" x14ac:dyDescent="0.3">
      <c r="A2549" s="124"/>
      <c r="B2549" s="125"/>
      <c r="F2549" s="124"/>
    </row>
    <row r="2550" spans="1:6" ht="15.75" customHeight="1" thickBot="1" x14ac:dyDescent="0.3">
      <c r="A2550" s="124"/>
      <c r="B2550" s="125"/>
      <c r="F2550" s="124"/>
    </row>
    <row r="2551" spans="1:6" ht="15.75" customHeight="1" thickBot="1" x14ac:dyDescent="0.3">
      <c r="A2551" s="124"/>
      <c r="B2551" s="125"/>
      <c r="F2551" s="124"/>
    </row>
    <row r="2552" spans="1:6" ht="15.75" customHeight="1" thickBot="1" x14ac:dyDescent="0.3">
      <c r="A2552" s="124"/>
      <c r="B2552" s="125"/>
      <c r="F2552" s="124"/>
    </row>
    <row r="2553" spans="1:6" ht="15.75" customHeight="1" thickBot="1" x14ac:dyDescent="0.3">
      <c r="A2553" s="124"/>
      <c r="B2553" s="125"/>
      <c r="F2553" s="124"/>
    </row>
    <row r="2554" spans="1:6" ht="15.75" customHeight="1" thickBot="1" x14ac:dyDescent="0.3">
      <c r="A2554" s="124"/>
      <c r="B2554" s="125"/>
      <c r="F2554" s="124"/>
    </row>
    <row r="2555" spans="1:6" ht="15.75" customHeight="1" thickBot="1" x14ac:dyDescent="0.3">
      <c r="A2555" s="124"/>
      <c r="B2555" s="125"/>
      <c r="F2555" s="124"/>
    </row>
    <row r="2556" spans="1:6" ht="15.75" customHeight="1" thickBot="1" x14ac:dyDescent="0.3">
      <c r="A2556" s="124"/>
      <c r="B2556" s="125"/>
      <c r="F2556" s="124"/>
    </row>
    <row r="2557" spans="1:6" ht="15.75" customHeight="1" thickBot="1" x14ac:dyDescent="0.3">
      <c r="A2557" s="124"/>
      <c r="B2557" s="125"/>
      <c r="F2557" s="124"/>
    </row>
    <row r="2558" spans="1:6" ht="15.75" customHeight="1" thickBot="1" x14ac:dyDescent="0.3">
      <c r="A2558" s="124"/>
      <c r="B2558" s="125"/>
      <c r="F2558" s="124"/>
    </row>
    <row r="2559" spans="1:6" ht="15.75" customHeight="1" thickBot="1" x14ac:dyDescent="0.3">
      <c r="A2559" s="124"/>
      <c r="B2559" s="125"/>
      <c r="F2559" s="124"/>
    </row>
    <row r="2560" spans="1:6" ht="15.75" customHeight="1" thickBot="1" x14ac:dyDescent="0.3">
      <c r="A2560" s="124"/>
      <c r="B2560" s="125"/>
      <c r="F2560" s="124"/>
    </row>
    <row r="2561" spans="1:6" ht="15.75" customHeight="1" thickBot="1" x14ac:dyDescent="0.3">
      <c r="A2561" s="124"/>
      <c r="B2561" s="125"/>
      <c r="F2561" s="124"/>
    </row>
    <row r="2562" spans="1:6" ht="15.75" customHeight="1" thickBot="1" x14ac:dyDescent="0.3">
      <c r="A2562" s="124"/>
      <c r="B2562" s="125"/>
      <c r="F2562" s="124"/>
    </row>
    <row r="2563" spans="1:6" ht="15.75" customHeight="1" thickBot="1" x14ac:dyDescent="0.3">
      <c r="A2563" s="124"/>
      <c r="B2563" s="125"/>
      <c r="F2563" s="124"/>
    </row>
    <row r="2564" spans="1:6" ht="15.75" customHeight="1" thickBot="1" x14ac:dyDescent="0.3">
      <c r="A2564" s="124"/>
      <c r="B2564" s="125"/>
      <c r="F2564" s="124"/>
    </row>
    <row r="2565" spans="1:6" ht="15.75" customHeight="1" thickBot="1" x14ac:dyDescent="0.3">
      <c r="A2565" s="124"/>
      <c r="B2565" s="125"/>
      <c r="F2565" s="124"/>
    </row>
    <row r="2566" spans="1:6" ht="15.75" customHeight="1" thickBot="1" x14ac:dyDescent="0.3">
      <c r="A2566" s="124"/>
      <c r="B2566" s="125"/>
      <c r="F2566" s="124"/>
    </row>
    <row r="2567" spans="1:6" ht="15.75" customHeight="1" thickBot="1" x14ac:dyDescent="0.3">
      <c r="A2567" s="124"/>
      <c r="B2567" s="125"/>
      <c r="F2567" s="124"/>
    </row>
    <row r="2568" spans="1:6" ht="15.75" customHeight="1" thickBot="1" x14ac:dyDescent="0.3">
      <c r="A2568" s="124"/>
      <c r="B2568" s="125"/>
      <c r="F2568" s="124"/>
    </row>
    <row r="2569" spans="1:6" ht="15.75" customHeight="1" thickBot="1" x14ac:dyDescent="0.3">
      <c r="A2569" s="124"/>
      <c r="B2569" s="125"/>
      <c r="F2569" s="124"/>
    </row>
    <row r="2570" spans="1:6" ht="15.75" customHeight="1" thickBot="1" x14ac:dyDescent="0.3">
      <c r="A2570" s="124"/>
      <c r="B2570" s="125"/>
      <c r="F2570" s="124"/>
    </row>
    <row r="2571" spans="1:6" ht="15.75" customHeight="1" thickBot="1" x14ac:dyDescent="0.3">
      <c r="A2571" s="124"/>
      <c r="B2571" s="125"/>
      <c r="F2571" s="124"/>
    </row>
    <row r="2572" spans="1:6" ht="15.75" customHeight="1" thickBot="1" x14ac:dyDescent="0.3">
      <c r="A2572" s="124"/>
      <c r="B2572" s="125"/>
      <c r="F2572" s="124"/>
    </row>
    <row r="2573" spans="1:6" ht="15.75" customHeight="1" thickBot="1" x14ac:dyDescent="0.3">
      <c r="A2573" s="124"/>
      <c r="B2573" s="125"/>
      <c r="F2573" s="124"/>
    </row>
    <row r="2574" spans="1:6" ht="15.75" customHeight="1" thickBot="1" x14ac:dyDescent="0.3">
      <c r="A2574" s="124"/>
      <c r="B2574" s="125"/>
      <c r="F2574" s="124"/>
    </row>
    <row r="2575" spans="1:6" ht="15.75" customHeight="1" thickBot="1" x14ac:dyDescent="0.3">
      <c r="A2575" s="124"/>
      <c r="B2575" s="125"/>
      <c r="F2575" s="124"/>
    </row>
    <row r="2576" spans="1:6" ht="15.75" customHeight="1" thickBot="1" x14ac:dyDescent="0.3">
      <c r="A2576" s="124"/>
      <c r="B2576" s="125"/>
      <c r="F2576" s="124"/>
    </row>
    <row r="2577" spans="1:6" ht="15.75" customHeight="1" thickBot="1" x14ac:dyDescent="0.3">
      <c r="A2577" s="124"/>
      <c r="B2577" s="125"/>
      <c r="F2577" s="124"/>
    </row>
    <row r="2578" spans="1:6" ht="15.75" customHeight="1" thickBot="1" x14ac:dyDescent="0.3">
      <c r="A2578" s="124"/>
      <c r="B2578" s="125"/>
      <c r="F2578" s="124"/>
    </row>
    <row r="2579" spans="1:6" ht="15.75" customHeight="1" thickBot="1" x14ac:dyDescent="0.3">
      <c r="A2579" s="124"/>
      <c r="B2579" s="125"/>
      <c r="F2579" s="124"/>
    </row>
    <row r="2580" spans="1:6" ht="15.75" customHeight="1" thickBot="1" x14ac:dyDescent="0.3">
      <c r="A2580" s="124"/>
      <c r="B2580" s="125"/>
      <c r="F2580" s="124"/>
    </row>
    <row r="2581" spans="1:6" ht="15.75" customHeight="1" thickBot="1" x14ac:dyDescent="0.3">
      <c r="A2581" s="124"/>
      <c r="B2581" s="125"/>
      <c r="F2581" s="124"/>
    </row>
    <row r="2582" spans="1:6" ht="15.75" customHeight="1" thickBot="1" x14ac:dyDescent="0.3">
      <c r="A2582" s="124"/>
      <c r="B2582" s="125"/>
      <c r="F2582" s="124"/>
    </row>
    <row r="2583" spans="1:6" ht="15.75" customHeight="1" thickBot="1" x14ac:dyDescent="0.3">
      <c r="A2583" s="124"/>
      <c r="B2583" s="125"/>
      <c r="F2583" s="124"/>
    </row>
    <row r="2584" spans="1:6" ht="15.75" customHeight="1" thickBot="1" x14ac:dyDescent="0.3">
      <c r="A2584" s="124"/>
      <c r="B2584" s="125"/>
      <c r="F2584" s="124"/>
    </row>
    <row r="2585" spans="1:6" ht="15.75" customHeight="1" thickBot="1" x14ac:dyDescent="0.3">
      <c r="A2585" s="124"/>
      <c r="B2585" s="125"/>
      <c r="F2585" s="124"/>
    </row>
    <row r="2586" spans="1:6" ht="15.75" customHeight="1" thickBot="1" x14ac:dyDescent="0.3">
      <c r="A2586" s="124"/>
      <c r="B2586" s="125"/>
      <c r="F2586" s="124"/>
    </row>
    <row r="2587" spans="1:6" ht="15.75" customHeight="1" thickBot="1" x14ac:dyDescent="0.3">
      <c r="A2587" s="124"/>
      <c r="B2587" s="125"/>
      <c r="F2587" s="124"/>
    </row>
    <row r="2588" spans="1:6" ht="15.75" customHeight="1" thickBot="1" x14ac:dyDescent="0.3">
      <c r="A2588" s="124"/>
      <c r="B2588" s="125"/>
      <c r="F2588" s="124"/>
    </row>
    <row r="2589" spans="1:6" ht="15.75" customHeight="1" thickBot="1" x14ac:dyDescent="0.3">
      <c r="A2589" s="124"/>
      <c r="B2589" s="125"/>
      <c r="F2589" s="124"/>
    </row>
    <row r="2590" spans="1:6" ht="15.75" customHeight="1" thickBot="1" x14ac:dyDescent="0.3">
      <c r="A2590" s="124"/>
      <c r="B2590" s="125"/>
      <c r="F2590" s="124"/>
    </row>
    <row r="2591" spans="1:6" ht="15.75" customHeight="1" thickBot="1" x14ac:dyDescent="0.3">
      <c r="A2591" s="124"/>
      <c r="B2591" s="125"/>
      <c r="F2591" s="124"/>
    </row>
    <row r="2592" spans="1:6" ht="15.75" customHeight="1" thickBot="1" x14ac:dyDescent="0.3">
      <c r="A2592" s="124"/>
      <c r="B2592" s="125"/>
      <c r="F2592" s="124"/>
    </row>
    <row r="2593" spans="1:6" ht="15.75" customHeight="1" thickBot="1" x14ac:dyDescent="0.3">
      <c r="A2593" s="124"/>
      <c r="B2593" s="125"/>
      <c r="F2593" s="124"/>
    </row>
    <row r="2594" spans="1:6" ht="15.75" customHeight="1" thickBot="1" x14ac:dyDescent="0.3">
      <c r="A2594" s="124"/>
      <c r="B2594" s="125"/>
      <c r="F2594" s="124"/>
    </row>
    <row r="2595" spans="1:6" ht="15.75" customHeight="1" thickBot="1" x14ac:dyDescent="0.3">
      <c r="A2595" s="124"/>
      <c r="B2595" s="125"/>
      <c r="F2595" s="124"/>
    </row>
    <row r="2596" spans="1:6" ht="15.75" customHeight="1" thickBot="1" x14ac:dyDescent="0.3">
      <c r="A2596" s="124"/>
      <c r="B2596" s="125"/>
      <c r="F2596" s="124"/>
    </row>
    <row r="2597" spans="1:6" ht="15.75" customHeight="1" thickBot="1" x14ac:dyDescent="0.3">
      <c r="A2597" s="124"/>
      <c r="B2597" s="125"/>
      <c r="F2597" s="124"/>
    </row>
    <row r="2598" spans="1:6" ht="15.75" customHeight="1" thickBot="1" x14ac:dyDescent="0.3">
      <c r="A2598" s="124"/>
      <c r="B2598" s="125"/>
      <c r="F2598" s="124"/>
    </row>
    <row r="2599" spans="1:6" ht="15.75" customHeight="1" thickBot="1" x14ac:dyDescent="0.3">
      <c r="A2599" s="124"/>
      <c r="B2599" s="125"/>
      <c r="F2599" s="124"/>
    </row>
    <row r="2600" spans="1:6" ht="15.75" customHeight="1" thickBot="1" x14ac:dyDescent="0.3">
      <c r="A2600" s="124"/>
      <c r="B2600" s="125"/>
      <c r="F2600" s="124"/>
    </row>
    <row r="2601" spans="1:6" ht="15.75" customHeight="1" thickBot="1" x14ac:dyDescent="0.3">
      <c r="A2601" s="124"/>
      <c r="B2601" s="125"/>
      <c r="F2601" s="124"/>
    </row>
    <row r="2602" spans="1:6" ht="15.75" customHeight="1" thickBot="1" x14ac:dyDescent="0.3">
      <c r="A2602" s="124"/>
      <c r="B2602" s="125"/>
      <c r="F2602" s="124"/>
    </row>
    <row r="2603" spans="1:6" ht="15.75" customHeight="1" thickBot="1" x14ac:dyDescent="0.3">
      <c r="A2603" s="124"/>
      <c r="B2603" s="125"/>
      <c r="F2603" s="124"/>
    </row>
    <row r="2604" spans="1:6" ht="15.75" customHeight="1" thickBot="1" x14ac:dyDescent="0.3">
      <c r="A2604" s="124"/>
      <c r="B2604" s="125"/>
      <c r="F2604" s="124"/>
    </row>
    <row r="2605" spans="1:6" ht="15.75" customHeight="1" thickBot="1" x14ac:dyDescent="0.3">
      <c r="A2605" s="124"/>
      <c r="B2605" s="125"/>
      <c r="F2605" s="124"/>
    </row>
    <row r="2606" spans="1:6" ht="15.75" customHeight="1" thickBot="1" x14ac:dyDescent="0.3">
      <c r="A2606" s="124"/>
      <c r="B2606" s="125"/>
      <c r="F2606" s="124"/>
    </row>
    <row r="2607" spans="1:6" ht="15.75" customHeight="1" thickBot="1" x14ac:dyDescent="0.3">
      <c r="A2607" s="124"/>
      <c r="B2607" s="125"/>
      <c r="F2607" s="124"/>
    </row>
    <row r="2608" spans="1:6" ht="15.75" customHeight="1" thickBot="1" x14ac:dyDescent="0.3">
      <c r="A2608" s="124"/>
      <c r="B2608" s="125"/>
      <c r="F2608" s="124"/>
    </row>
    <row r="2609" spans="1:6" ht="15.75" customHeight="1" thickBot="1" x14ac:dyDescent="0.3">
      <c r="A2609" s="124"/>
      <c r="B2609" s="125"/>
      <c r="F2609" s="124"/>
    </row>
    <row r="2610" spans="1:6" ht="15.75" customHeight="1" thickBot="1" x14ac:dyDescent="0.3">
      <c r="A2610" s="124"/>
      <c r="B2610" s="125"/>
      <c r="F2610" s="124"/>
    </row>
    <row r="2611" spans="1:6" ht="15.75" customHeight="1" thickBot="1" x14ac:dyDescent="0.3">
      <c r="A2611" s="124"/>
      <c r="B2611" s="125"/>
      <c r="F2611" s="124"/>
    </row>
    <row r="2612" spans="1:6" ht="15.75" customHeight="1" thickBot="1" x14ac:dyDescent="0.3">
      <c r="A2612" s="124"/>
      <c r="B2612" s="125"/>
      <c r="F2612" s="124"/>
    </row>
    <row r="2613" spans="1:6" ht="15.75" customHeight="1" thickBot="1" x14ac:dyDescent="0.3">
      <c r="A2613" s="124"/>
      <c r="B2613" s="125"/>
      <c r="F2613" s="124"/>
    </row>
    <row r="2614" spans="1:6" ht="15.75" customHeight="1" thickBot="1" x14ac:dyDescent="0.3">
      <c r="A2614" s="124"/>
      <c r="B2614" s="125"/>
      <c r="F2614" s="124"/>
    </row>
    <row r="2615" spans="1:6" ht="15.75" customHeight="1" thickBot="1" x14ac:dyDescent="0.3">
      <c r="A2615" s="124"/>
      <c r="B2615" s="125"/>
      <c r="F2615" s="124"/>
    </row>
    <row r="2616" spans="1:6" ht="15.75" customHeight="1" thickBot="1" x14ac:dyDescent="0.3">
      <c r="A2616" s="124"/>
      <c r="B2616" s="125"/>
      <c r="F2616" s="124"/>
    </row>
    <row r="2617" spans="1:6" ht="15.75" customHeight="1" thickBot="1" x14ac:dyDescent="0.3">
      <c r="A2617" s="124"/>
      <c r="B2617" s="125"/>
      <c r="F2617" s="124"/>
    </row>
    <row r="2618" spans="1:6" ht="15.75" customHeight="1" thickBot="1" x14ac:dyDescent="0.3">
      <c r="A2618" s="124"/>
      <c r="B2618" s="125"/>
      <c r="F2618" s="124"/>
    </row>
    <row r="2619" spans="1:6" ht="15.75" customHeight="1" thickBot="1" x14ac:dyDescent="0.3">
      <c r="A2619" s="124"/>
      <c r="B2619" s="125"/>
      <c r="F2619" s="124"/>
    </row>
    <row r="2620" spans="1:6" ht="15.75" customHeight="1" thickBot="1" x14ac:dyDescent="0.3">
      <c r="A2620" s="124"/>
      <c r="B2620" s="125"/>
      <c r="F2620" s="124"/>
    </row>
    <row r="2621" spans="1:6" ht="15.75" customHeight="1" thickBot="1" x14ac:dyDescent="0.3">
      <c r="A2621" s="124"/>
      <c r="B2621" s="125"/>
      <c r="F2621" s="124"/>
    </row>
    <row r="2622" spans="1:6" ht="15.75" customHeight="1" thickBot="1" x14ac:dyDescent="0.3">
      <c r="A2622" s="124"/>
      <c r="B2622" s="125"/>
      <c r="F2622" s="124"/>
    </row>
    <row r="2623" spans="1:6" ht="15.75" customHeight="1" thickBot="1" x14ac:dyDescent="0.3">
      <c r="A2623" s="124"/>
      <c r="B2623" s="125"/>
      <c r="F2623" s="124"/>
    </row>
    <row r="2624" spans="1:6" ht="15.75" customHeight="1" thickBot="1" x14ac:dyDescent="0.3">
      <c r="A2624" s="124"/>
      <c r="B2624" s="125"/>
      <c r="F2624" s="124"/>
    </row>
    <row r="2625" spans="1:6" ht="15.75" customHeight="1" thickBot="1" x14ac:dyDescent="0.3">
      <c r="A2625" s="124"/>
      <c r="B2625" s="125"/>
      <c r="F2625" s="124"/>
    </row>
    <row r="2626" spans="1:6" ht="15.75" customHeight="1" thickBot="1" x14ac:dyDescent="0.3">
      <c r="A2626" s="124"/>
      <c r="B2626" s="125"/>
      <c r="F2626" s="124"/>
    </row>
    <row r="2627" spans="1:6" ht="15.75" customHeight="1" thickBot="1" x14ac:dyDescent="0.3">
      <c r="A2627" s="124"/>
      <c r="B2627" s="125"/>
      <c r="F2627" s="124"/>
    </row>
    <row r="2628" spans="1:6" ht="15.75" customHeight="1" thickBot="1" x14ac:dyDescent="0.3">
      <c r="A2628" s="124"/>
      <c r="B2628" s="125"/>
      <c r="F2628" s="124"/>
    </row>
    <row r="2629" spans="1:6" ht="15.75" customHeight="1" thickBot="1" x14ac:dyDescent="0.3">
      <c r="A2629" s="124"/>
      <c r="B2629" s="125"/>
      <c r="F2629" s="124"/>
    </row>
    <row r="2630" spans="1:6" ht="15.75" customHeight="1" thickBot="1" x14ac:dyDescent="0.3">
      <c r="A2630" s="124"/>
      <c r="B2630" s="125"/>
      <c r="F2630" s="124"/>
    </row>
    <row r="2631" spans="1:6" ht="15.75" customHeight="1" thickBot="1" x14ac:dyDescent="0.3">
      <c r="A2631" s="124"/>
      <c r="B2631" s="125"/>
      <c r="F2631" s="124"/>
    </row>
    <row r="2632" spans="1:6" ht="15.75" customHeight="1" thickBot="1" x14ac:dyDescent="0.3">
      <c r="A2632" s="124"/>
      <c r="B2632" s="125"/>
      <c r="F2632" s="124"/>
    </row>
    <row r="2633" spans="1:6" ht="15.75" customHeight="1" thickBot="1" x14ac:dyDescent="0.3">
      <c r="A2633" s="124"/>
      <c r="B2633" s="125"/>
      <c r="F2633" s="124"/>
    </row>
    <row r="2634" spans="1:6" ht="15.75" customHeight="1" thickBot="1" x14ac:dyDescent="0.3">
      <c r="A2634" s="124"/>
      <c r="B2634" s="125"/>
      <c r="F2634" s="124"/>
    </row>
    <row r="2635" spans="1:6" ht="15.75" customHeight="1" thickBot="1" x14ac:dyDescent="0.3">
      <c r="A2635" s="124"/>
      <c r="B2635" s="125"/>
      <c r="F2635" s="124"/>
    </row>
    <row r="2636" spans="1:6" ht="15.75" customHeight="1" thickBot="1" x14ac:dyDescent="0.3">
      <c r="A2636" s="124"/>
      <c r="B2636" s="125"/>
      <c r="F2636" s="124"/>
    </row>
    <row r="2637" spans="1:6" ht="15.75" customHeight="1" thickBot="1" x14ac:dyDescent="0.3">
      <c r="A2637" s="124"/>
      <c r="B2637" s="125"/>
      <c r="F2637" s="124"/>
    </row>
    <row r="2638" spans="1:6" ht="15.75" customHeight="1" thickBot="1" x14ac:dyDescent="0.3">
      <c r="A2638" s="124"/>
      <c r="B2638" s="125"/>
      <c r="F2638" s="124"/>
    </row>
    <row r="2639" spans="1:6" ht="15.75" customHeight="1" thickBot="1" x14ac:dyDescent="0.3">
      <c r="A2639" s="124"/>
      <c r="B2639" s="125"/>
      <c r="F2639" s="124"/>
    </row>
    <row r="2640" spans="1:6" ht="15.75" customHeight="1" thickBot="1" x14ac:dyDescent="0.3">
      <c r="A2640" s="124"/>
      <c r="B2640" s="125"/>
      <c r="F2640" s="124"/>
    </row>
    <row r="2641" spans="1:6" ht="15.75" customHeight="1" thickBot="1" x14ac:dyDescent="0.3">
      <c r="A2641" s="124"/>
      <c r="B2641" s="125"/>
      <c r="F2641" s="124"/>
    </row>
    <row r="2642" spans="1:6" ht="15.75" customHeight="1" thickBot="1" x14ac:dyDescent="0.3">
      <c r="A2642" s="124"/>
      <c r="B2642" s="125"/>
      <c r="F2642" s="124"/>
    </row>
    <row r="2643" spans="1:6" ht="15.75" customHeight="1" thickBot="1" x14ac:dyDescent="0.3">
      <c r="A2643" s="124"/>
      <c r="B2643" s="125"/>
      <c r="F2643" s="124"/>
    </row>
    <row r="2644" spans="1:6" ht="15.75" customHeight="1" thickBot="1" x14ac:dyDescent="0.3">
      <c r="A2644" s="124"/>
      <c r="B2644" s="125"/>
      <c r="F2644" s="124"/>
    </row>
    <row r="2645" spans="1:6" ht="15.75" customHeight="1" thickBot="1" x14ac:dyDescent="0.3">
      <c r="A2645" s="124"/>
      <c r="B2645" s="125"/>
      <c r="F2645" s="124"/>
    </row>
    <row r="2646" spans="1:6" ht="15.75" customHeight="1" thickBot="1" x14ac:dyDescent="0.3">
      <c r="A2646" s="124"/>
      <c r="B2646" s="125"/>
      <c r="F2646" s="124"/>
    </row>
    <row r="2647" spans="1:6" ht="15.75" customHeight="1" thickBot="1" x14ac:dyDescent="0.3">
      <c r="A2647" s="124"/>
      <c r="B2647" s="125"/>
      <c r="F2647" s="124"/>
    </row>
    <row r="2648" spans="1:6" ht="15.75" customHeight="1" thickBot="1" x14ac:dyDescent="0.3">
      <c r="A2648" s="124"/>
      <c r="B2648" s="125"/>
      <c r="F2648" s="124"/>
    </row>
    <row r="2649" spans="1:6" ht="15.75" customHeight="1" thickBot="1" x14ac:dyDescent="0.3">
      <c r="A2649" s="124"/>
      <c r="B2649" s="125"/>
      <c r="F2649" s="124"/>
    </row>
    <row r="2650" spans="1:6" ht="15.75" customHeight="1" thickBot="1" x14ac:dyDescent="0.3">
      <c r="A2650" s="124"/>
      <c r="B2650" s="125"/>
      <c r="F2650" s="124"/>
    </row>
    <row r="2651" spans="1:6" ht="15.75" customHeight="1" thickBot="1" x14ac:dyDescent="0.3">
      <c r="A2651" s="124"/>
      <c r="B2651" s="125"/>
      <c r="F2651" s="124"/>
    </row>
    <row r="2652" spans="1:6" ht="15.75" customHeight="1" thickBot="1" x14ac:dyDescent="0.3">
      <c r="A2652" s="124"/>
      <c r="B2652" s="125"/>
      <c r="F2652" s="124"/>
    </row>
    <row r="2653" spans="1:6" ht="15.75" customHeight="1" thickBot="1" x14ac:dyDescent="0.3">
      <c r="A2653" s="124"/>
      <c r="B2653" s="125"/>
      <c r="F2653" s="124"/>
    </row>
    <row r="2654" spans="1:6" ht="15.75" customHeight="1" thickBot="1" x14ac:dyDescent="0.3">
      <c r="A2654" s="124"/>
      <c r="B2654" s="125"/>
      <c r="F2654" s="124"/>
    </row>
    <row r="2655" spans="1:6" ht="15.75" customHeight="1" thickBot="1" x14ac:dyDescent="0.3">
      <c r="A2655" s="124"/>
      <c r="B2655" s="125"/>
      <c r="F2655" s="124"/>
    </row>
    <row r="2656" spans="1:6" ht="15.75" customHeight="1" thickBot="1" x14ac:dyDescent="0.3">
      <c r="A2656" s="124"/>
      <c r="B2656" s="125"/>
      <c r="F2656" s="124"/>
    </row>
    <row r="2657" spans="1:6" ht="15.75" customHeight="1" thickBot="1" x14ac:dyDescent="0.3">
      <c r="A2657" s="124"/>
      <c r="B2657" s="125"/>
      <c r="F2657" s="124"/>
    </row>
    <row r="2658" spans="1:6" ht="15.75" customHeight="1" thickBot="1" x14ac:dyDescent="0.3">
      <c r="A2658" s="124"/>
      <c r="B2658" s="125"/>
      <c r="F2658" s="124"/>
    </row>
    <row r="2659" spans="1:6" ht="15.75" customHeight="1" thickBot="1" x14ac:dyDescent="0.3">
      <c r="A2659" s="124"/>
      <c r="B2659" s="125"/>
      <c r="F2659" s="124"/>
    </row>
    <row r="2660" spans="1:6" ht="15.75" customHeight="1" thickBot="1" x14ac:dyDescent="0.3">
      <c r="A2660" s="124"/>
      <c r="B2660" s="125"/>
      <c r="F2660" s="124"/>
    </row>
    <row r="2661" spans="1:6" ht="15.75" customHeight="1" thickBot="1" x14ac:dyDescent="0.3">
      <c r="A2661" s="124"/>
      <c r="B2661" s="125"/>
      <c r="F2661" s="124"/>
    </row>
    <row r="2662" spans="1:6" ht="15.75" customHeight="1" thickBot="1" x14ac:dyDescent="0.3">
      <c r="A2662" s="124"/>
      <c r="B2662" s="125"/>
      <c r="F2662" s="124"/>
    </row>
    <row r="2663" spans="1:6" ht="15.75" customHeight="1" thickBot="1" x14ac:dyDescent="0.3">
      <c r="A2663" s="124"/>
      <c r="B2663" s="125"/>
      <c r="F2663" s="124"/>
    </row>
    <row r="2664" spans="1:6" ht="15.75" customHeight="1" thickBot="1" x14ac:dyDescent="0.3">
      <c r="A2664" s="124"/>
      <c r="B2664" s="125"/>
      <c r="F2664" s="124"/>
    </row>
    <row r="2665" spans="1:6" ht="15.75" customHeight="1" thickBot="1" x14ac:dyDescent="0.3">
      <c r="A2665" s="124"/>
      <c r="B2665" s="125"/>
      <c r="F2665" s="124"/>
    </row>
    <row r="2666" spans="1:6" ht="15.75" customHeight="1" thickBot="1" x14ac:dyDescent="0.3">
      <c r="A2666" s="124"/>
      <c r="B2666" s="125"/>
      <c r="F2666" s="124"/>
    </row>
    <row r="2667" spans="1:6" ht="15.75" customHeight="1" thickBot="1" x14ac:dyDescent="0.3">
      <c r="A2667" s="124"/>
      <c r="B2667" s="125"/>
      <c r="F2667" s="124"/>
    </row>
    <row r="2668" spans="1:6" ht="15.75" customHeight="1" thickBot="1" x14ac:dyDescent="0.3">
      <c r="A2668" s="124"/>
      <c r="B2668" s="125"/>
      <c r="F2668" s="124"/>
    </row>
    <row r="2669" spans="1:6" ht="15.75" customHeight="1" thickBot="1" x14ac:dyDescent="0.3">
      <c r="A2669" s="124"/>
      <c r="B2669" s="125"/>
      <c r="F2669" s="124"/>
    </row>
    <row r="2670" spans="1:6" ht="15.75" customHeight="1" thickBot="1" x14ac:dyDescent="0.3">
      <c r="A2670" s="124"/>
      <c r="B2670" s="125"/>
      <c r="F2670" s="124"/>
    </row>
    <row r="2671" spans="1:6" ht="15.75" customHeight="1" thickBot="1" x14ac:dyDescent="0.3">
      <c r="A2671" s="124"/>
      <c r="B2671" s="125"/>
      <c r="F2671" s="124"/>
    </row>
    <row r="2672" spans="1:6" ht="15.75" customHeight="1" thickBot="1" x14ac:dyDescent="0.3">
      <c r="A2672" s="124"/>
      <c r="B2672" s="125"/>
      <c r="F2672" s="124"/>
    </row>
    <row r="2673" spans="1:6" ht="15.75" customHeight="1" thickBot="1" x14ac:dyDescent="0.3">
      <c r="A2673" s="124"/>
      <c r="B2673" s="125"/>
      <c r="F2673" s="124"/>
    </row>
    <row r="2674" spans="1:6" ht="15.75" customHeight="1" thickBot="1" x14ac:dyDescent="0.3">
      <c r="A2674" s="124"/>
      <c r="B2674" s="125"/>
      <c r="F2674" s="124"/>
    </row>
    <row r="2675" spans="1:6" ht="15.75" customHeight="1" thickBot="1" x14ac:dyDescent="0.3">
      <c r="A2675" s="124"/>
      <c r="B2675" s="125"/>
      <c r="F2675" s="124"/>
    </row>
    <row r="2676" spans="1:6" ht="15.75" customHeight="1" thickBot="1" x14ac:dyDescent="0.3">
      <c r="A2676" s="124"/>
      <c r="B2676" s="125"/>
      <c r="F2676" s="124"/>
    </row>
    <row r="2677" spans="1:6" ht="15.75" customHeight="1" thickBot="1" x14ac:dyDescent="0.3">
      <c r="A2677" s="124"/>
      <c r="B2677" s="125"/>
      <c r="F2677" s="124"/>
    </row>
    <row r="2678" spans="1:6" ht="15.75" customHeight="1" thickBot="1" x14ac:dyDescent="0.3">
      <c r="A2678" s="124"/>
      <c r="B2678" s="125"/>
      <c r="F2678" s="124"/>
    </row>
    <row r="2679" spans="1:6" ht="15.75" customHeight="1" thickBot="1" x14ac:dyDescent="0.3">
      <c r="A2679" s="124"/>
      <c r="B2679" s="125"/>
      <c r="F2679" s="124"/>
    </row>
    <row r="2680" spans="1:6" ht="15.75" customHeight="1" thickBot="1" x14ac:dyDescent="0.3">
      <c r="A2680" s="124"/>
      <c r="B2680" s="125"/>
      <c r="F2680" s="124"/>
    </row>
    <row r="2681" spans="1:6" ht="15.75" customHeight="1" thickBot="1" x14ac:dyDescent="0.3">
      <c r="A2681" s="124"/>
      <c r="B2681" s="125"/>
      <c r="F2681" s="124"/>
    </row>
    <row r="2682" spans="1:6" ht="15.75" customHeight="1" thickBot="1" x14ac:dyDescent="0.3">
      <c r="A2682" s="124"/>
      <c r="B2682" s="125"/>
      <c r="F2682" s="124"/>
    </row>
    <row r="2683" spans="1:6" ht="15.75" customHeight="1" thickBot="1" x14ac:dyDescent="0.3">
      <c r="A2683" s="124"/>
      <c r="B2683" s="125"/>
      <c r="F2683" s="124"/>
    </row>
    <row r="2684" spans="1:6" ht="15.75" customHeight="1" thickBot="1" x14ac:dyDescent="0.3">
      <c r="A2684" s="124"/>
      <c r="B2684" s="125"/>
      <c r="F2684" s="124"/>
    </row>
    <row r="2685" spans="1:6" ht="15.75" customHeight="1" thickBot="1" x14ac:dyDescent="0.3">
      <c r="A2685" s="124"/>
      <c r="B2685" s="125"/>
      <c r="F2685" s="124"/>
    </row>
    <row r="2686" spans="1:6" ht="15.75" customHeight="1" thickBot="1" x14ac:dyDescent="0.3">
      <c r="A2686" s="124"/>
      <c r="B2686" s="125"/>
      <c r="F2686" s="124"/>
    </row>
    <row r="2687" spans="1:6" ht="15.75" customHeight="1" thickBot="1" x14ac:dyDescent="0.3">
      <c r="A2687" s="124"/>
      <c r="B2687" s="125"/>
      <c r="F2687" s="124"/>
    </row>
    <row r="2688" spans="1:6" ht="15.75" customHeight="1" thickBot="1" x14ac:dyDescent="0.3">
      <c r="A2688" s="124"/>
      <c r="B2688" s="125"/>
      <c r="F2688" s="124"/>
    </row>
    <row r="2689" spans="1:6" ht="15.75" customHeight="1" thickBot="1" x14ac:dyDescent="0.3">
      <c r="A2689" s="124"/>
      <c r="B2689" s="125"/>
      <c r="F2689" s="124"/>
    </row>
    <row r="2690" spans="1:6" ht="15.75" customHeight="1" thickBot="1" x14ac:dyDescent="0.3">
      <c r="A2690" s="124"/>
      <c r="B2690" s="125"/>
      <c r="F2690" s="124"/>
    </row>
    <row r="2691" spans="1:6" ht="15.75" customHeight="1" thickBot="1" x14ac:dyDescent="0.3">
      <c r="A2691" s="124"/>
      <c r="B2691" s="125"/>
      <c r="F2691" s="124"/>
    </row>
    <row r="2692" spans="1:6" ht="15.75" customHeight="1" thickBot="1" x14ac:dyDescent="0.3">
      <c r="A2692" s="124"/>
      <c r="B2692" s="125"/>
      <c r="F2692" s="124"/>
    </row>
    <row r="2693" spans="1:6" ht="15.75" customHeight="1" thickBot="1" x14ac:dyDescent="0.3">
      <c r="A2693" s="124"/>
      <c r="B2693" s="125"/>
      <c r="F2693" s="124"/>
    </row>
    <row r="2694" spans="1:6" ht="15.75" customHeight="1" thickBot="1" x14ac:dyDescent="0.3">
      <c r="A2694" s="124"/>
      <c r="B2694" s="125"/>
      <c r="F2694" s="124"/>
    </row>
    <row r="2695" spans="1:6" ht="15.75" customHeight="1" thickBot="1" x14ac:dyDescent="0.3">
      <c r="A2695" s="124"/>
      <c r="B2695" s="125"/>
      <c r="F2695" s="124"/>
    </row>
    <row r="2696" spans="1:6" ht="15.75" customHeight="1" thickBot="1" x14ac:dyDescent="0.3">
      <c r="A2696" s="124"/>
      <c r="B2696" s="125"/>
      <c r="F2696" s="124"/>
    </row>
    <row r="2697" spans="1:6" ht="15.75" customHeight="1" thickBot="1" x14ac:dyDescent="0.3">
      <c r="A2697" s="124"/>
      <c r="B2697" s="125"/>
      <c r="F2697" s="124"/>
    </row>
    <row r="2698" spans="1:6" ht="15.75" customHeight="1" thickBot="1" x14ac:dyDescent="0.3">
      <c r="A2698" s="124"/>
      <c r="B2698" s="125"/>
      <c r="F2698" s="124"/>
    </row>
    <row r="2699" spans="1:6" ht="15.75" customHeight="1" thickBot="1" x14ac:dyDescent="0.3">
      <c r="A2699" s="124"/>
      <c r="B2699" s="125"/>
      <c r="F2699" s="124"/>
    </row>
    <row r="2700" spans="1:6" ht="15.75" customHeight="1" thickBot="1" x14ac:dyDescent="0.3">
      <c r="A2700" s="124"/>
      <c r="B2700" s="125"/>
      <c r="F2700" s="124"/>
    </row>
    <row r="2701" spans="1:6" ht="15.75" customHeight="1" thickBot="1" x14ac:dyDescent="0.3">
      <c r="A2701" s="124"/>
      <c r="B2701" s="125"/>
      <c r="F2701" s="124"/>
    </row>
    <row r="2702" spans="1:6" ht="15.75" customHeight="1" thickBot="1" x14ac:dyDescent="0.3">
      <c r="A2702" s="124"/>
      <c r="B2702" s="125"/>
      <c r="F2702" s="124"/>
    </row>
    <row r="2703" spans="1:6" ht="15.75" customHeight="1" thickBot="1" x14ac:dyDescent="0.3">
      <c r="A2703" s="124"/>
      <c r="B2703" s="125"/>
      <c r="F2703" s="124"/>
    </row>
    <row r="2704" spans="1:6" ht="15.75" customHeight="1" thickBot="1" x14ac:dyDescent="0.3">
      <c r="A2704" s="124"/>
      <c r="B2704" s="125"/>
      <c r="F2704" s="124"/>
    </row>
    <row r="2705" spans="1:6" ht="15.75" customHeight="1" thickBot="1" x14ac:dyDescent="0.3">
      <c r="A2705" s="124"/>
      <c r="B2705" s="125"/>
      <c r="F2705" s="124"/>
    </row>
    <row r="2706" spans="1:6" ht="15.75" customHeight="1" thickBot="1" x14ac:dyDescent="0.3">
      <c r="A2706" s="124"/>
      <c r="B2706" s="125"/>
      <c r="F2706" s="124"/>
    </row>
    <row r="2707" spans="1:6" ht="15.75" customHeight="1" thickBot="1" x14ac:dyDescent="0.3">
      <c r="A2707" s="124"/>
      <c r="B2707" s="125"/>
      <c r="F2707" s="124"/>
    </row>
    <row r="2708" spans="1:6" ht="15.75" customHeight="1" thickBot="1" x14ac:dyDescent="0.3">
      <c r="A2708" s="124"/>
      <c r="B2708" s="125"/>
      <c r="F2708" s="124"/>
    </row>
    <row r="2709" spans="1:6" ht="15.75" customHeight="1" thickBot="1" x14ac:dyDescent="0.3">
      <c r="A2709" s="124"/>
      <c r="B2709" s="125"/>
      <c r="F2709" s="124"/>
    </row>
    <row r="2710" spans="1:6" ht="15.75" customHeight="1" thickBot="1" x14ac:dyDescent="0.3">
      <c r="A2710" s="124"/>
      <c r="B2710" s="125"/>
      <c r="F2710" s="124"/>
    </row>
    <row r="2711" spans="1:6" ht="15.75" customHeight="1" thickBot="1" x14ac:dyDescent="0.3">
      <c r="A2711" s="124"/>
      <c r="B2711" s="125"/>
      <c r="F2711" s="124"/>
    </row>
    <row r="2712" spans="1:6" ht="15.75" customHeight="1" thickBot="1" x14ac:dyDescent="0.3">
      <c r="A2712" s="124"/>
      <c r="B2712" s="125"/>
      <c r="F2712" s="124"/>
    </row>
    <row r="2713" spans="1:6" ht="15.75" customHeight="1" thickBot="1" x14ac:dyDescent="0.3">
      <c r="A2713" s="124"/>
      <c r="B2713" s="125"/>
      <c r="F2713" s="124"/>
    </row>
    <row r="2714" spans="1:6" ht="15.75" customHeight="1" thickBot="1" x14ac:dyDescent="0.3">
      <c r="A2714" s="124"/>
      <c r="B2714" s="125"/>
      <c r="F2714" s="124"/>
    </row>
    <row r="2715" spans="1:6" ht="15.75" customHeight="1" thickBot="1" x14ac:dyDescent="0.3">
      <c r="A2715" s="124"/>
      <c r="B2715" s="125"/>
      <c r="F2715" s="124"/>
    </row>
    <row r="2716" spans="1:6" ht="15.75" customHeight="1" thickBot="1" x14ac:dyDescent="0.3">
      <c r="A2716" s="124"/>
      <c r="B2716" s="125"/>
      <c r="F2716" s="124"/>
    </row>
    <row r="2717" spans="1:6" ht="15.75" customHeight="1" thickBot="1" x14ac:dyDescent="0.3">
      <c r="A2717" s="124"/>
      <c r="B2717" s="125"/>
      <c r="F2717" s="124"/>
    </row>
    <row r="2718" spans="1:6" ht="15.75" customHeight="1" thickBot="1" x14ac:dyDescent="0.3">
      <c r="A2718" s="124"/>
      <c r="B2718" s="125"/>
      <c r="F2718" s="124"/>
    </row>
    <row r="2719" spans="1:6" ht="15.75" customHeight="1" thickBot="1" x14ac:dyDescent="0.3">
      <c r="A2719" s="124"/>
      <c r="B2719" s="125"/>
      <c r="F2719" s="124"/>
    </row>
    <row r="2720" spans="1:6" ht="15.75" customHeight="1" thickBot="1" x14ac:dyDescent="0.3">
      <c r="A2720" s="124"/>
      <c r="B2720" s="125"/>
      <c r="F2720" s="124"/>
    </row>
    <row r="2721" spans="1:6" ht="15.75" customHeight="1" thickBot="1" x14ac:dyDescent="0.3">
      <c r="A2721" s="124"/>
      <c r="B2721" s="125"/>
      <c r="F2721" s="124"/>
    </row>
    <row r="2722" spans="1:6" ht="15.75" customHeight="1" thickBot="1" x14ac:dyDescent="0.3">
      <c r="A2722" s="124"/>
      <c r="B2722" s="125"/>
      <c r="F2722" s="124"/>
    </row>
    <row r="2723" spans="1:6" ht="15.75" customHeight="1" thickBot="1" x14ac:dyDescent="0.3">
      <c r="A2723" s="124"/>
      <c r="B2723" s="125"/>
      <c r="F2723" s="124"/>
    </row>
    <row r="2724" spans="1:6" ht="15.75" customHeight="1" thickBot="1" x14ac:dyDescent="0.3">
      <c r="A2724" s="124"/>
      <c r="B2724" s="125"/>
      <c r="F2724" s="124"/>
    </row>
    <row r="2725" spans="1:6" ht="15.75" customHeight="1" thickBot="1" x14ac:dyDescent="0.3">
      <c r="A2725" s="124"/>
      <c r="B2725" s="125"/>
      <c r="F2725" s="124"/>
    </row>
    <row r="2726" spans="1:6" ht="15.75" customHeight="1" thickBot="1" x14ac:dyDescent="0.3">
      <c r="A2726" s="124"/>
      <c r="B2726" s="125"/>
      <c r="F2726" s="124"/>
    </row>
    <row r="2727" spans="1:6" ht="15.75" customHeight="1" thickBot="1" x14ac:dyDescent="0.3">
      <c r="A2727" s="124"/>
      <c r="B2727" s="125"/>
      <c r="F2727" s="124"/>
    </row>
    <row r="2728" spans="1:6" ht="15.75" customHeight="1" thickBot="1" x14ac:dyDescent="0.3">
      <c r="A2728" s="124"/>
      <c r="B2728" s="125"/>
      <c r="F2728" s="124"/>
    </row>
    <row r="2729" spans="1:6" ht="15.75" customHeight="1" thickBot="1" x14ac:dyDescent="0.3">
      <c r="A2729" s="124"/>
      <c r="B2729" s="125"/>
      <c r="F2729" s="124"/>
    </row>
    <row r="2730" spans="1:6" ht="15.75" customHeight="1" thickBot="1" x14ac:dyDescent="0.3">
      <c r="A2730" s="124"/>
      <c r="B2730" s="125"/>
      <c r="F2730" s="124"/>
    </row>
    <row r="2731" spans="1:6" ht="15.75" customHeight="1" thickBot="1" x14ac:dyDescent="0.3">
      <c r="A2731" s="124"/>
      <c r="B2731" s="125"/>
      <c r="F2731" s="124"/>
    </row>
    <row r="2732" spans="1:6" ht="15.75" customHeight="1" thickBot="1" x14ac:dyDescent="0.3">
      <c r="A2732" s="124"/>
      <c r="B2732" s="125"/>
      <c r="F2732" s="124"/>
    </row>
    <row r="2733" spans="1:6" ht="15.75" customHeight="1" thickBot="1" x14ac:dyDescent="0.3">
      <c r="A2733" s="124"/>
      <c r="B2733" s="125"/>
      <c r="F2733" s="124"/>
    </row>
    <row r="2734" spans="1:6" ht="15.75" customHeight="1" thickBot="1" x14ac:dyDescent="0.3">
      <c r="A2734" s="124"/>
      <c r="B2734" s="125"/>
      <c r="F2734" s="124"/>
    </row>
    <row r="2735" spans="1:6" ht="15.75" customHeight="1" thickBot="1" x14ac:dyDescent="0.3">
      <c r="A2735" s="124"/>
      <c r="B2735" s="125"/>
      <c r="F2735" s="124"/>
    </row>
    <row r="2736" spans="1:6" ht="15.75" customHeight="1" thickBot="1" x14ac:dyDescent="0.3">
      <c r="A2736" s="124"/>
      <c r="B2736" s="125"/>
      <c r="F2736" s="124"/>
    </row>
    <row r="2737" spans="1:6" ht="15.75" customHeight="1" thickBot="1" x14ac:dyDescent="0.3">
      <c r="A2737" s="124"/>
      <c r="B2737" s="125"/>
      <c r="F2737" s="124"/>
    </row>
    <row r="2738" spans="1:6" ht="15.75" customHeight="1" thickBot="1" x14ac:dyDescent="0.3">
      <c r="A2738" s="124"/>
      <c r="B2738" s="125"/>
      <c r="F2738" s="124"/>
    </row>
    <row r="2739" spans="1:6" ht="15.75" customHeight="1" thickBot="1" x14ac:dyDescent="0.3">
      <c r="A2739" s="124"/>
      <c r="B2739" s="125"/>
      <c r="F2739" s="124"/>
    </row>
    <row r="2740" spans="1:6" ht="15.75" customHeight="1" thickBot="1" x14ac:dyDescent="0.3">
      <c r="A2740" s="124"/>
      <c r="B2740" s="125"/>
      <c r="F2740" s="124"/>
    </row>
    <row r="2741" spans="1:6" ht="15.75" customHeight="1" thickBot="1" x14ac:dyDescent="0.3">
      <c r="A2741" s="124"/>
      <c r="B2741" s="125"/>
      <c r="F2741" s="124"/>
    </row>
    <row r="2742" spans="1:6" ht="15.75" customHeight="1" thickBot="1" x14ac:dyDescent="0.3">
      <c r="A2742" s="124"/>
      <c r="B2742" s="125"/>
      <c r="F2742" s="124"/>
    </row>
    <row r="2743" spans="1:6" ht="15.75" customHeight="1" thickBot="1" x14ac:dyDescent="0.3">
      <c r="A2743" s="124"/>
      <c r="B2743" s="125"/>
      <c r="F2743" s="124"/>
    </row>
    <row r="2744" spans="1:6" ht="15.75" customHeight="1" thickBot="1" x14ac:dyDescent="0.3">
      <c r="A2744" s="124"/>
      <c r="B2744" s="125"/>
      <c r="F2744" s="124"/>
    </row>
    <row r="2745" spans="1:6" ht="15.75" customHeight="1" thickBot="1" x14ac:dyDescent="0.3">
      <c r="A2745" s="124"/>
      <c r="B2745" s="125"/>
      <c r="F2745" s="124"/>
    </row>
    <row r="2746" spans="1:6" ht="15.75" customHeight="1" thickBot="1" x14ac:dyDescent="0.3">
      <c r="A2746" s="124"/>
      <c r="B2746" s="125"/>
      <c r="F2746" s="124"/>
    </row>
    <row r="2747" spans="1:6" ht="15.75" customHeight="1" thickBot="1" x14ac:dyDescent="0.3">
      <c r="A2747" s="124"/>
      <c r="B2747" s="125"/>
      <c r="F2747" s="124"/>
    </row>
    <row r="2748" spans="1:6" ht="15.75" customHeight="1" thickBot="1" x14ac:dyDescent="0.3">
      <c r="A2748" s="124"/>
      <c r="B2748" s="125"/>
      <c r="F2748" s="124"/>
    </row>
    <row r="2749" spans="1:6" ht="15.75" customHeight="1" thickBot="1" x14ac:dyDescent="0.3">
      <c r="A2749" s="124"/>
      <c r="B2749" s="125"/>
      <c r="F2749" s="124"/>
    </row>
    <row r="2750" spans="1:6" ht="15.75" customHeight="1" thickBot="1" x14ac:dyDescent="0.3">
      <c r="A2750" s="124"/>
      <c r="B2750" s="125"/>
      <c r="F2750" s="124"/>
    </row>
    <row r="2751" spans="1:6" ht="15.75" customHeight="1" thickBot="1" x14ac:dyDescent="0.3">
      <c r="A2751" s="124"/>
      <c r="B2751" s="125"/>
      <c r="F2751" s="124"/>
    </row>
    <row r="2752" spans="1:6" ht="15.75" customHeight="1" thickBot="1" x14ac:dyDescent="0.3">
      <c r="A2752" s="124"/>
      <c r="B2752" s="125"/>
      <c r="F2752" s="124"/>
    </row>
    <row r="2753" spans="1:6" ht="15.75" customHeight="1" thickBot="1" x14ac:dyDescent="0.3">
      <c r="A2753" s="124"/>
      <c r="B2753" s="125"/>
      <c r="F2753" s="124"/>
    </row>
    <row r="2754" spans="1:6" ht="15.75" customHeight="1" thickBot="1" x14ac:dyDescent="0.3">
      <c r="A2754" s="124"/>
      <c r="B2754" s="125"/>
      <c r="F2754" s="124"/>
    </row>
    <row r="2755" spans="1:6" ht="15.75" customHeight="1" thickBot="1" x14ac:dyDescent="0.3">
      <c r="A2755" s="124"/>
      <c r="B2755" s="125"/>
      <c r="F2755" s="124"/>
    </row>
    <row r="2756" spans="1:6" ht="15.75" customHeight="1" thickBot="1" x14ac:dyDescent="0.3">
      <c r="A2756" s="124"/>
      <c r="B2756" s="125"/>
      <c r="F2756" s="124"/>
    </row>
    <row r="2757" spans="1:6" ht="15.75" customHeight="1" thickBot="1" x14ac:dyDescent="0.3">
      <c r="A2757" s="124"/>
      <c r="B2757" s="125"/>
      <c r="F2757" s="124"/>
    </row>
    <row r="2758" spans="1:6" ht="15.75" customHeight="1" thickBot="1" x14ac:dyDescent="0.3">
      <c r="A2758" s="124"/>
      <c r="B2758" s="125"/>
      <c r="F2758" s="124"/>
    </row>
    <row r="2759" spans="1:6" ht="15.75" customHeight="1" thickBot="1" x14ac:dyDescent="0.3">
      <c r="A2759" s="124"/>
      <c r="B2759" s="125"/>
      <c r="F2759" s="124"/>
    </row>
    <row r="2760" spans="1:6" ht="15.75" customHeight="1" thickBot="1" x14ac:dyDescent="0.3">
      <c r="A2760" s="124"/>
      <c r="B2760" s="125"/>
      <c r="F2760" s="124"/>
    </row>
    <row r="2761" spans="1:6" ht="15.75" customHeight="1" thickBot="1" x14ac:dyDescent="0.3">
      <c r="A2761" s="124"/>
      <c r="B2761" s="125"/>
      <c r="F2761" s="124"/>
    </row>
    <row r="2762" spans="1:6" ht="15.75" customHeight="1" thickBot="1" x14ac:dyDescent="0.3">
      <c r="A2762" s="124"/>
      <c r="B2762" s="125"/>
      <c r="F2762" s="124"/>
    </row>
    <row r="2763" spans="1:6" ht="15.75" customHeight="1" thickBot="1" x14ac:dyDescent="0.3">
      <c r="A2763" s="124"/>
      <c r="B2763" s="125"/>
      <c r="F2763" s="124"/>
    </row>
    <row r="2764" spans="1:6" ht="15.75" customHeight="1" thickBot="1" x14ac:dyDescent="0.3">
      <c r="A2764" s="124"/>
      <c r="B2764" s="125"/>
      <c r="F2764" s="124"/>
    </row>
    <row r="2765" spans="1:6" ht="15.75" customHeight="1" thickBot="1" x14ac:dyDescent="0.3">
      <c r="A2765" s="124"/>
      <c r="B2765" s="125"/>
      <c r="F2765" s="124"/>
    </row>
    <row r="2766" spans="1:6" ht="15.75" customHeight="1" thickBot="1" x14ac:dyDescent="0.3">
      <c r="A2766" s="124"/>
      <c r="B2766" s="125"/>
      <c r="F2766" s="124"/>
    </row>
    <row r="2767" spans="1:6" ht="15.75" customHeight="1" thickBot="1" x14ac:dyDescent="0.3">
      <c r="A2767" s="124"/>
      <c r="B2767" s="125"/>
      <c r="F2767" s="124"/>
    </row>
    <row r="2768" spans="1:6" ht="15.75" customHeight="1" thickBot="1" x14ac:dyDescent="0.3">
      <c r="A2768" s="124"/>
      <c r="B2768" s="125"/>
      <c r="F2768" s="124"/>
    </row>
    <row r="2769" spans="1:6" ht="15.75" customHeight="1" thickBot="1" x14ac:dyDescent="0.3">
      <c r="A2769" s="124"/>
      <c r="B2769" s="125"/>
      <c r="F2769" s="124"/>
    </row>
    <row r="2770" spans="1:6" ht="15.75" customHeight="1" thickBot="1" x14ac:dyDescent="0.3">
      <c r="A2770" s="124"/>
      <c r="B2770" s="125"/>
      <c r="F2770" s="124"/>
    </row>
    <row r="2771" spans="1:6" ht="15.75" customHeight="1" thickBot="1" x14ac:dyDescent="0.3">
      <c r="A2771" s="124"/>
      <c r="B2771" s="125"/>
      <c r="F2771" s="124"/>
    </row>
    <row r="2772" spans="1:6" ht="15.75" customHeight="1" thickBot="1" x14ac:dyDescent="0.3">
      <c r="A2772" s="124"/>
      <c r="B2772" s="125"/>
      <c r="F2772" s="124"/>
    </row>
    <row r="2773" spans="1:6" ht="15.75" customHeight="1" thickBot="1" x14ac:dyDescent="0.3">
      <c r="A2773" s="124"/>
      <c r="B2773" s="125"/>
      <c r="F2773" s="124"/>
    </row>
    <row r="2774" spans="1:6" ht="15.75" customHeight="1" thickBot="1" x14ac:dyDescent="0.3">
      <c r="A2774" s="124"/>
      <c r="B2774" s="125"/>
      <c r="F2774" s="124"/>
    </row>
    <row r="2775" spans="1:6" ht="15.75" customHeight="1" thickBot="1" x14ac:dyDescent="0.3">
      <c r="A2775" s="124"/>
      <c r="B2775" s="125"/>
      <c r="F2775" s="124"/>
    </row>
    <row r="2776" spans="1:6" ht="15.75" customHeight="1" thickBot="1" x14ac:dyDescent="0.3">
      <c r="A2776" s="124"/>
      <c r="B2776" s="125"/>
      <c r="F2776" s="124"/>
    </row>
    <row r="2777" spans="1:6" ht="15.75" customHeight="1" thickBot="1" x14ac:dyDescent="0.3">
      <c r="A2777" s="124"/>
      <c r="B2777" s="125"/>
      <c r="F2777" s="124"/>
    </row>
    <row r="2778" spans="1:6" ht="15.75" customHeight="1" thickBot="1" x14ac:dyDescent="0.3">
      <c r="A2778" s="124"/>
      <c r="B2778" s="125"/>
      <c r="F2778" s="124"/>
    </row>
    <row r="2779" spans="1:6" ht="15.75" customHeight="1" thickBot="1" x14ac:dyDescent="0.3">
      <c r="A2779" s="124"/>
      <c r="B2779" s="125"/>
      <c r="F2779" s="124"/>
    </row>
    <row r="2780" spans="1:6" ht="15.75" customHeight="1" thickBot="1" x14ac:dyDescent="0.3">
      <c r="A2780" s="124"/>
      <c r="B2780" s="125"/>
      <c r="F2780" s="124"/>
    </row>
    <row r="2781" spans="1:6" ht="15.75" customHeight="1" thickBot="1" x14ac:dyDescent="0.3">
      <c r="A2781" s="124"/>
      <c r="B2781" s="125"/>
      <c r="F2781" s="124"/>
    </row>
    <row r="2782" spans="1:6" ht="15.75" customHeight="1" thickBot="1" x14ac:dyDescent="0.3">
      <c r="A2782" s="124"/>
      <c r="B2782" s="125"/>
      <c r="F2782" s="124"/>
    </row>
    <row r="2783" spans="1:6" ht="15.75" customHeight="1" thickBot="1" x14ac:dyDescent="0.3">
      <c r="A2783" s="124"/>
      <c r="B2783" s="125"/>
      <c r="F2783" s="124"/>
    </row>
    <row r="2784" spans="1:6" ht="15.75" customHeight="1" thickBot="1" x14ac:dyDescent="0.3">
      <c r="A2784" s="124"/>
      <c r="B2784" s="125"/>
      <c r="F2784" s="124"/>
    </row>
    <row r="2785" spans="1:6" ht="15.75" customHeight="1" thickBot="1" x14ac:dyDescent="0.3">
      <c r="A2785" s="124"/>
      <c r="B2785" s="125"/>
      <c r="F2785" s="124"/>
    </row>
    <row r="2786" spans="1:6" ht="15.75" customHeight="1" thickBot="1" x14ac:dyDescent="0.3">
      <c r="A2786" s="124"/>
      <c r="B2786" s="125"/>
      <c r="F2786" s="124"/>
    </row>
    <row r="2787" spans="1:6" ht="15.75" customHeight="1" thickBot="1" x14ac:dyDescent="0.3">
      <c r="A2787" s="124"/>
      <c r="B2787" s="125"/>
      <c r="F2787" s="124"/>
    </row>
    <row r="2788" spans="1:6" ht="15.75" customHeight="1" thickBot="1" x14ac:dyDescent="0.3">
      <c r="A2788" s="124"/>
      <c r="B2788" s="125"/>
      <c r="F2788" s="124"/>
    </row>
    <row r="2789" spans="1:6" ht="15.75" customHeight="1" thickBot="1" x14ac:dyDescent="0.3">
      <c r="A2789" s="124"/>
      <c r="B2789" s="125"/>
      <c r="F2789" s="124"/>
    </row>
    <row r="2790" spans="1:6" ht="15.75" customHeight="1" thickBot="1" x14ac:dyDescent="0.3">
      <c r="A2790" s="124"/>
      <c r="B2790" s="125"/>
      <c r="F2790" s="124"/>
    </row>
    <row r="2791" spans="1:6" ht="15.75" customHeight="1" thickBot="1" x14ac:dyDescent="0.3">
      <c r="A2791" s="124"/>
      <c r="B2791" s="125"/>
      <c r="F2791" s="124"/>
    </row>
    <row r="2792" spans="1:6" ht="15.75" customHeight="1" thickBot="1" x14ac:dyDescent="0.3">
      <c r="A2792" s="124"/>
      <c r="B2792" s="125"/>
      <c r="F2792" s="124"/>
    </row>
    <row r="2793" spans="1:6" ht="15.75" customHeight="1" thickBot="1" x14ac:dyDescent="0.3">
      <c r="A2793" s="124"/>
      <c r="B2793" s="125"/>
      <c r="F2793" s="124"/>
    </row>
    <row r="2794" spans="1:6" ht="15.75" customHeight="1" thickBot="1" x14ac:dyDescent="0.3">
      <c r="A2794" s="124"/>
      <c r="B2794" s="125"/>
      <c r="F2794" s="124"/>
    </row>
    <row r="2795" spans="1:6" ht="15.75" customHeight="1" thickBot="1" x14ac:dyDescent="0.3">
      <c r="A2795" s="124"/>
      <c r="B2795" s="125"/>
      <c r="F2795" s="124"/>
    </row>
    <row r="2796" spans="1:6" ht="15.75" customHeight="1" thickBot="1" x14ac:dyDescent="0.3">
      <c r="A2796" s="124"/>
      <c r="B2796" s="125"/>
      <c r="F2796" s="124"/>
    </row>
    <row r="2797" spans="1:6" ht="15.75" customHeight="1" thickBot="1" x14ac:dyDescent="0.3">
      <c r="A2797" s="124"/>
      <c r="B2797" s="125"/>
      <c r="F2797" s="124"/>
    </row>
    <row r="2798" spans="1:6" ht="15.75" customHeight="1" thickBot="1" x14ac:dyDescent="0.3">
      <c r="A2798" s="124"/>
      <c r="B2798" s="125"/>
      <c r="F2798" s="124"/>
    </row>
    <row r="2799" spans="1:6" ht="15.75" customHeight="1" thickBot="1" x14ac:dyDescent="0.3">
      <c r="A2799" s="124"/>
      <c r="B2799" s="125"/>
      <c r="F2799" s="124"/>
    </row>
    <row r="2800" spans="1:6" ht="15.75" customHeight="1" thickBot="1" x14ac:dyDescent="0.3">
      <c r="A2800" s="124"/>
      <c r="B2800" s="125"/>
      <c r="F2800" s="124"/>
    </row>
    <row r="2801" spans="1:6" ht="15.75" customHeight="1" thickBot="1" x14ac:dyDescent="0.3">
      <c r="A2801" s="124"/>
      <c r="B2801" s="125"/>
      <c r="F2801" s="124"/>
    </row>
    <row r="2802" spans="1:6" ht="15.75" customHeight="1" thickBot="1" x14ac:dyDescent="0.3">
      <c r="A2802" s="124"/>
      <c r="B2802" s="125"/>
      <c r="F2802" s="124"/>
    </row>
    <row r="2803" spans="1:6" ht="15.75" customHeight="1" thickBot="1" x14ac:dyDescent="0.3">
      <c r="A2803" s="124"/>
      <c r="B2803" s="125"/>
      <c r="F2803" s="124"/>
    </row>
    <row r="2804" spans="1:6" ht="15.75" customHeight="1" thickBot="1" x14ac:dyDescent="0.3">
      <c r="A2804" s="124"/>
      <c r="B2804" s="125"/>
      <c r="F2804" s="124"/>
    </row>
    <row r="2805" spans="1:6" ht="15.75" customHeight="1" thickBot="1" x14ac:dyDescent="0.3">
      <c r="A2805" s="124"/>
      <c r="B2805" s="125"/>
      <c r="F2805" s="124"/>
    </row>
    <row r="2806" spans="1:6" ht="15.75" customHeight="1" thickBot="1" x14ac:dyDescent="0.3">
      <c r="A2806" s="124"/>
      <c r="B2806" s="125"/>
      <c r="F2806" s="124"/>
    </row>
    <row r="2807" spans="1:6" ht="15.75" customHeight="1" thickBot="1" x14ac:dyDescent="0.3">
      <c r="A2807" s="124"/>
      <c r="B2807" s="125"/>
      <c r="F2807" s="124"/>
    </row>
    <row r="2808" spans="1:6" ht="15.75" customHeight="1" thickBot="1" x14ac:dyDescent="0.3">
      <c r="A2808" s="124"/>
      <c r="B2808" s="125"/>
      <c r="F2808" s="124"/>
    </row>
    <row r="2809" spans="1:6" ht="15.75" customHeight="1" thickBot="1" x14ac:dyDescent="0.3">
      <c r="A2809" s="124"/>
      <c r="B2809" s="125"/>
      <c r="F2809" s="124"/>
    </row>
    <row r="2810" spans="1:6" ht="15.75" customHeight="1" thickBot="1" x14ac:dyDescent="0.3">
      <c r="A2810" s="124"/>
      <c r="B2810" s="125"/>
      <c r="F2810" s="124"/>
    </row>
    <row r="2811" spans="1:6" ht="15.75" customHeight="1" thickBot="1" x14ac:dyDescent="0.3">
      <c r="A2811" s="124"/>
      <c r="B2811" s="125"/>
      <c r="F2811" s="124"/>
    </row>
    <row r="2812" spans="1:6" ht="15.75" customHeight="1" thickBot="1" x14ac:dyDescent="0.3">
      <c r="A2812" s="124"/>
      <c r="B2812" s="125"/>
      <c r="F2812" s="124"/>
    </row>
    <row r="2813" spans="1:6" ht="15.75" customHeight="1" thickBot="1" x14ac:dyDescent="0.3">
      <c r="A2813" s="124"/>
      <c r="B2813" s="125"/>
      <c r="F2813" s="124"/>
    </row>
    <row r="2814" spans="1:6" ht="15.75" customHeight="1" thickBot="1" x14ac:dyDescent="0.3">
      <c r="A2814" s="124"/>
      <c r="B2814" s="125"/>
      <c r="F2814" s="124"/>
    </row>
    <row r="2815" spans="1:6" ht="15.75" customHeight="1" thickBot="1" x14ac:dyDescent="0.3">
      <c r="A2815" s="124"/>
      <c r="B2815" s="125"/>
      <c r="F2815" s="124"/>
    </row>
    <row r="2816" spans="1:6" ht="15.75" customHeight="1" thickBot="1" x14ac:dyDescent="0.3">
      <c r="A2816" s="124"/>
      <c r="B2816" s="125"/>
      <c r="F2816" s="124"/>
    </row>
    <row r="2817" spans="1:6" ht="15.75" customHeight="1" thickBot="1" x14ac:dyDescent="0.3">
      <c r="A2817" s="124"/>
      <c r="B2817" s="125"/>
      <c r="F2817" s="124"/>
    </row>
    <row r="2818" spans="1:6" ht="15.75" customHeight="1" thickBot="1" x14ac:dyDescent="0.3">
      <c r="A2818" s="124"/>
      <c r="B2818" s="125"/>
      <c r="F2818" s="124"/>
    </row>
    <row r="2819" spans="1:6" ht="15.75" customHeight="1" thickBot="1" x14ac:dyDescent="0.3">
      <c r="A2819" s="124"/>
      <c r="B2819" s="125"/>
      <c r="F2819" s="124"/>
    </row>
    <row r="2820" spans="1:6" ht="15.75" customHeight="1" thickBot="1" x14ac:dyDescent="0.3">
      <c r="A2820" s="124"/>
      <c r="B2820" s="125"/>
      <c r="F2820" s="124"/>
    </row>
    <row r="2821" spans="1:6" ht="15.75" customHeight="1" thickBot="1" x14ac:dyDescent="0.3">
      <c r="A2821" s="124"/>
      <c r="B2821" s="125"/>
      <c r="F2821" s="124"/>
    </row>
    <row r="2822" spans="1:6" ht="15.75" customHeight="1" thickBot="1" x14ac:dyDescent="0.3">
      <c r="A2822" s="124"/>
      <c r="B2822" s="125"/>
      <c r="F2822" s="124"/>
    </row>
    <row r="2823" spans="1:6" ht="15.75" customHeight="1" thickBot="1" x14ac:dyDescent="0.3">
      <c r="A2823" s="124"/>
      <c r="B2823" s="125"/>
      <c r="F2823" s="124"/>
    </row>
    <row r="2824" spans="1:6" ht="15.75" customHeight="1" thickBot="1" x14ac:dyDescent="0.3">
      <c r="A2824" s="124"/>
      <c r="B2824" s="125"/>
      <c r="F2824" s="124"/>
    </row>
    <row r="2825" spans="1:6" ht="15.75" customHeight="1" thickBot="1" x14ac:dyDescent="0.3">
      <c r="A2825" s="124"/>
      <c r="B2825" s="125"/>
      <c r="F2825" s="124"/>
    </row>
    <row r="2826" spans="1:6" ht="15.75" customHeight="1" thickBot="1" x14ac:dyDescent="0.3">
      <c r="A2826" s="124"/>
      <c r="B2826" s="125"/>
      <c r="F2826" s="124"/>
    </row>
    <row r="2827" spans="1:6" ht="15.75" customHeight="1" thickBot="1" x14ac:dyDescent="0.3">
      <c r="A2827" s="124"/>
      <c r="B2827" s="125"/>
      <c r="F2827" s="124"/>
    </row>
    <row r="2828" spans="1:6" ht="15.75" customHeight="1" thickBot="1" x14ac:dyDescent="0.3">
      <c r="A2828" s="124"/>
      <c r="B2828" s="125"/>
      <c r="F2828" s="124"/>
    </row>
    <row r="2829" spans="1:6" ht="15.75" customHeight="1" thickBot="1" x14ac:dyDescent="0.3">
      <c r="A2829" s="124"/>
      <c r="B2829" s="125"/>
      <c r="F2829" s="124"/>
    </row>
    <row r="2830" spans="1:6" ht="15.75" customHeight="1" thickBot="1" x14ac:dyDescent="0.3">
      <c r="A2830" s="124"/>
      <c r="B2830" s="125"/>
      <c r="F2830" s="124"/>
    </row>
    <row r="2831" spans="1:6" ht="15.75" customHeight="1" thickBot="1" x14ac:dyDescent="0.3">
      <c r="A2831" s="124"/>
      <c r="B2831" s="125"/>
      <c r="F2831" s="124"/>
    </row>
    <row r="2832" spans="1:6" ht="15.75" customHeight="1" thickBot="1" x14ac:dyDescent="0.3">
      <c r="A2832" s="124"/>
      <c r="B2832" s="125"/>
      <c r="F2832" s="124"/>
    </row>
    <row r="2833" spans="1:6" ht="15.75" customHeight="1" thickBot="1" x14ac:dyDescent="0.3">
      <c r="A2833" s="124"/>
      <c r="B2833" s="125"/>
      <c r="F2833" s="124"/>
    </row>
    <row r="2834" spans="1:6" ht="15.75" customHeight="1" thickBot="1" x14ac:dyDescent="0.3">
      <c r="A2834" s="124"/>
      <c r="B2834" s="125"/>
      <c r="F2834" s="124"/>
    </row>
    <row r="2835" spans="1:6" ht="15.75" customHeight="1" thickBot="1" x14ac:dyDescent="0.3">
      <c r="A2835" s="124"/>
      <c r="B2835" s="125"/>
      <c r="F2835" s="124"/>
    </row>
    <row r="2836" spans="1:6" ht="15.75" customHeight="1" thickBot="1" x14ac:dyDescent="0.3">
      <c r="A2836" s="124"/>
      <c r="B2836" s="125"/>
      <c r="F2836" s="124"/>
    </row>
    <row r="2837" spans="1:6" ht="15.75" customHeight="1" thickBot="1" x14ac:dyDescent="0.3">
      <c r="A2837" s="124"/>
      <c r="B2837" s="125"/>
      <c r="F2837" s="124"/>
    </row>
    <row r="2838" spans="1:6" ht="15.75" customHeight="1" thickBot="1" x14ac:dyDescent="0.3">
      <c r="A2838" s="124"/>
      <c r="B2838" s="125"/>
      <c r="F2838" s="124"/>
    </row>
    <row r="2839" spans="1:6" ht="15.75" customHeight="1" thickBot="1" x14ac:dyDescent="0.3">
      <c r="A2839" s="124"/>
      <c r="B2839" s="125"/>
      <c r="F2839" s="124"/>
    </row>
    <row r="2840" spans="1:6" ht="15.75" customHeight="1" thickBot="1" x14ac:dyDescent="0.3">
      <c r="A2840" s="124"/>
      <c r="B2840" s="125"/>
      <c r="F2840" s="124"/>
    </row>
    <row r="2841" spans="1:6" ht="15.75" customHeight="1" thickBot="1" x14ac:dyDescent="0.3">
      <c r="A2841" s="124"/>
      <c r="B2841" s="125"/>
      <c r="F2841" s="124"/>
    </row>
    <row r="2842" spans="1:6" ht="15.75" customHeight="1" thickBot="1" x14ac:dyDescent="0.3">
      <c r="A2842" s="124"/>
      <c r="B2842" s="125"/>
      <c r="F2842" s="124"/>
    </row>
    <row r="2843" spans="1:6" ht="15.75" customHeight="1" thickBot="1" x14ac:dyDescent="0.3">
      <c r="A2843" s="124"/>
      <c r="B2843" s="125"/>
      <c r="F2843" s="124"/>
    </row>
    <row r="2844" spans="1:6" ht="15.75" customHeight="1" thickBot="1" x14ac:dyDescent="0.3">
      <c r="A2844" s="124"/>
      <c r="B2844" s="125"/>
      <c r="F2844" s="124"/>
    </row>
    <row r="2845" spans="1:6" ht="15.75" customHeight="1" thickBot="1" x14ac:dyDescent="0.3">
      <c r="A2845" s="124"/>
      <c r="B2845" s="125"/>
      <c r="F2845" s="124"/>
    </row>
    <row r="2846" spans="1:6" ht="15.75" customHeight="1" thickBot="1" x14ac:dyDescent="0.3">
      <c r="A2846" s="124"/>
      <c r="B2846" s="125"/>
      <c r="F2846" s="124"/>
    </row>
    <row r="2847" spans="1:6" ht="15.75" customHeight="1" thickBot="1" x14ac:dyDescent="0.3">
      <c r="A2847" s="124"/>
      <c r="B2847" s="125"/>
      <c r="F2847" s="124"/>
    </row>
    <row r="2848" spans="1:6" ht="15.75" customHeight="1" thickBot="1" x14ac:dyDescent="0.3">
      <c r="A2848" s="124"/>
      <c r="B2848" s="125"/>
      <c r="F2848" s="124"/>
    </row>
    <row r="2849" spans="1:6" ht="15.75" customHeight="1" thickBot="1" x14ac:dyDescent="0.3">
      <c r="A2849" s="124"/>
      <c r="B2849" s="125"/>
      <c r="F2849" s="124"/>
    </row>
    <row r="2850" spans="1:6" ht="15.75" customHeight="1" thickBot="1" x14ac:dyDescent="0.3">
      <c r="A2850" s="124"/>
      <c r="B2850" s="125"/>
      <c r="F2850" s="124"/>
    </row>
    <row r="2851" spans="1:6" ht="15.75" customHeight="1" thickBot="1" x14ac:dyDescent="0.3">
      <c r="A2851" s="124"/>
      <c r="B2851" s="125"/>
      <c r="F2851" s="124"/>
    </row>
    <row r="2852" spans="1:6" ht="15.75" customHeight="1" thickBot="1" x14ac:dyDescent="0.3">
      <c r="A2852" s="124"/>
      <c r="B2852" s="125"/>
      <c r="F2852" s="124"/>
    </row>
    <row r="2853" spans="1:6" ht="15.75" customHeight="1" thickBot="1" x14ac:dyDescent="0.3">
      <c r="A2853" s="124"/>
      <c r="B2853" s="125"/>
      <c r="F2853" s="124"/>
    </row>
    <row r="2854" spans="1:6" ht="15.75" customHeight="1" thickBot="1" x14ac:dyDescent="0.3">
      <c r="A2854" s="124"/>
      <c r="B2854" s="125"/>
      <c r="F2854" s="124"/>
    </row>
    <row r="2855" spans="1:6" ht="15.75" customHeight="1" thickBot="1" x14ac:dyDescent="0.3">
      <c r="A2855" s="124"/>
      <c r="B2855" s="125"/>
      <c r="F2855" s="124"/>
    </row>
    <row r="2856" spans="1:6" ht="15.75" customHeight="1" thickBot="1" x14ac:dyDescent="0.3">
      <c r="A2856" s="124"/>
      <c r="B2856" s="125"/>
      <c r="F2856" s="124"/>
    </row>
    <row r="2857" spans="1:6" ht="15.75" customHeight="1" thickBot="1" x14ac:dyDescent="0.3">
      <c r="A2857" s="124"/>
      <c r="B2857" s="125"/>
      <c r="F2857" s="124"/>
    </row>
    <row r="2858" spans="1:6" ht="15.75" customHeight="1" thickBot="1" x14ac:dyDescent="0.3">
      <c r="A2858" s="124"/>
      <c r="B2858" s="125"/>
      <c r="F2858" s="124"/>
    </row>
    <row r="2859" spans="1:6" ht="15.75" customHeight="1" thickBot="1" x14ac:dyDescent="0.3">
      <c r="A2859" s="124"/>
      <c r="B2859" s="125"/>
      <c r="F2859" s="124"/>
    </row>
    <row r="2860" spans="1:6" ht="15.75" customHeight="1" thickBot="1" x14ac:dyDescent="0.3">
      <c r="A2860" s="124"/>
      <c r="B2860" s="125"/>
      <c r="F2860" s="124"/>
    </row>
    <row r="2861" spans="1:6" ht="15.75" customHeight="1" thickBot="1" x14ac:dyDescent="0.3">
      <c r="A2861" s="124"/>
      <c r="B2861" s="125"/>
      <c r="F2861" s="124"/>
    </row>
    <row r="2862" spans="1:6" ht="15.75" customHeight="1" thickBot="1" x14ac:dyDescent="0.3">
      <c r="A2862" s="124"/>
      <c r="B2862" s="125"/>
      <c r="F2862" s="124"/>
    </row>
    <row r="2863" spans="1:6" ht="15.75" customHeight="1" thickBot="1" x14ac:dyDescent="0.3">
      <c r="A2863" s="124"/>
      <c r="B2863" s="125"/>
      <c r="F2863" s="124"/>
    </row>
    <row r="2864" spans="1:6" ht="15.75" customHeight="1" thickBot="1" x14ac:dyDescent="0.3">
      <c r="A2864" s="124"/>
      <c r="B2864" s="125"/>
      <c r="F2864" s="124"/>
    </row>
    <row r="2865" spans="1:6" ht="15.75" customHeight="1" thickBot="1" x14ac:dyDescent="0.3">
      <c r="A2865" s="124"/>
      <c r="B2865" s="125"/>
      <c r="F2865" s="124"/>
    </row>
    <row r="2866" spans="1:6" ht="15.75" customHeight="1" thickBot="1" x14ac:dyDescent="0.3">
      <c r="A2866" s="124"/>
      <c r="B2866" s="125"/>
      <c r="F2866" s="124"/>
    </row>
    <row r="2867" spans="1:6" ht="15.75" customHeight="1" thickBot="1" x14ac:dyDescent="0.3">
      <c r="A2867" s="124"/>
      <c r="B2867" s="125"/>
      <c r="F2867" s="124"/>
    </row>
    <row r="2868" spans="1:6" ht="15.75" customHeight="1" thickBot="1" x14ac:dyDescent="0.3">
      <c r="A2868" s="124"/>
      <c r="B2868" s="125"/>
      <c r="F2868" s="124"/>
    </row>
    <row r="2869" spans="1:6" ht="15.75" customHeight="1" thickBot="1" x14ac:dyDescent="0.3">
      <c r="A2869" s="124"/>
      <c r="B2869" s="125"/>
      <c r="F2869" s="124"/>
    </row>
    <row r="2870" spans="1:6" ht="15.75" customHeight="1" thickBot="1" x14ac:dyDescent="0.3">
      <c r="A2870" s="124"/>
      <c r="B2870" s="125"/>
      <c r="F2870" s="124"/>
    </row>
    <row r="2871" spans="1:6" ht="15.75" customHeight="1" thickBot="1" x14ac:dyDescent="0.3">
      <c r="A2871" s="124"/>
      <c r="B2871" s="125"/>
      <c r="F2871" s="124"/>
    </row>
    <row r="2872" spans="1:6" ht="15.75" customHeight="1" thickBot="1" x14ac:dyDescent="0.3">
      <c r="A2872" s="124"/>
      <c r="B2872" s="125"/>
      <c r="F2872" s="124"/>
    </row>
    <row r="2873" spans="1:6" ht="15.75" customHeight="1" thickBot="1" x14ac:dyDescent="0.3">
      <c r="A2873" s="124"/>
      <c r="B2873" s="125"/>
      <c r="F2873" s="124"/>
    </row>
    <row r="2874" spans="1:6" ht="15.75" customHeight="1" thickBot="1" x14ac:dyDescent="0.3">
      <c r="A2874" s="124"/>
      <c r="B2874" s="125"/>
      <c r="F2874" s="124"/>
    </row>
    <row r="2875" spans="1:6" ht="15.75" customHeight="1" thickBot="1" x14ac:dyDescent="0.3">
      <c r="A2875" s="124"/>
      <c r="B2875" s="125"/>
      <c r="F2875" s="124"/>
    </row>
    <row r="2876" spans="1:6" ht="15.75" customHeight="1" thickBot="1" x14ac:dyDescent="0.3">
      <c r="A2876" s="124"/>
      <c r="B2876" s="125"/>
      <c r="F2876" s="124"/>
    </row>
    <row r="2877" spans="1:6" ht="15.75" customHeight="1" thickBot="1" x14ac:dyDescent="0.3">
      <c r="A2877" s="124"/>
      <c r="B2877" s="125"/>
      <c r="F2877" s="124"/>
    </row>
    <row r="2878" spans="1:6" ht="15.75" customHeight="1" thickBot="1" x14ac:dyDescent="0.3">
      <c r="A2878" s="124"/>
      <c r="B2878" s="125"/>
      <c r="F2878" s="124"/>
    </row>
    <row r="2879" spans="1:6" ht="15.75" customHeight="1" thickBot="1" x14ac:dyDescent="0.3">
      <c r="A2879" s="124"/>
      <c r="B2879" s="125"/>
      <c r="F2879" s="124"/>
    </row>
    <row r="2880" spans="1:6" ht="15.75" customHeight="1" thickBot="1" x14ac:dyDescent="0.3">
      <c r="A2880" s="124"/>
      <c r="B2880" s="125"/>
      <c r="F2880" s="124"/>
    </row>
    <row r="2881" spans="1:6" ht="15.75" customHeight="1" thickBot="1" x14ac:dyDescent="0.3">
      <c r="A2881" s="124"/>
      <c r="B2881" s="125"/>
      <c r="F2881" s="124"/>
    </row>
    <row r="2882" spans="1:6" ht="15.75" customHeight="1" thickBot="1" x14ac:dyDescent="0.3">
      <c r="A2882" s="124"/>
      <c r="B2882" s="125"/>
      <c r="F2882" s="124"/>
    </row>
    <row r="2883" spans="1:6" ht="15.75" customHeight="1" thickBot="1" x14ac:dyDescent="0.3">
      <c r="A2883" s="124"/>
      <c r="B2883" s="125"/>
      <c r="F2883" s="124"/>
    </row>
    <row r="2884" spans="1:6" ht="15.75" customHeight="1" thickBot="1" x14ac:dyDescent="0.3">
      <c r="A2884" s="124"/>
      <c r="B2884" s="125"/>
      <c r="F2884" s="124"/>
    </row>
    <row r="2885" spans="1:6" ht="15.75" customHeight="1" thickBot="1" x14ac:dyDescent="0.3">
      <c r="A2885" s="124"/>
      <c r="B2885" s="125"/>
      <c r="F2885" s="124"/>
    </row>
    <row r="2886" spans="1:6" ht="15.75" customHeight="1" thickBot="1" x14ac:dyDescent="0.3">
      <c r="A2886" s="124"/>
      <c r="B2886" s="125"/>
      <c r="F2886" s="124"/>
    </row>
    <row r="2887" spans="1:6" ht="15.75" customHeight="1" thickBot="1" x14ac:dyDescent="0.3">
      <c r="A2887" s="124"/>
      <c r="B2887" s="125"/>
      <c r="F2887" s="124"/>
    </row>
    <row r="2888" spans="1:6" ht="15.75" customHeight="1" thickBot="1" x14ac:dyDescent="0.3">
      <c r="A2888" s="124"/>
      <c r="B2888" s="125"/>
      <c r="F2888" s="124"/>
    </row>
    <row r="2889" spans="1:6" ht="15.75" customHeight="1" thickBot="1" x14ac:dyDescent="0.3">
      <c r="A2889" s="124"/>
      <c r="B2889" s="125"/>
      <c r="F2889" s="124"/>
    </row>
    <row r="2890" spans="1:6" ht="15.75" customHeight="1" thickBot="1" x14ac:dyDescent="0.3">
      <c r="A2890" s="124"/>
      <c r="B2890" s="125"/>
      <c r="F2890" s="124"/>
    </row>
    <row r="2891" spans="1:6" ht="15.75" customHeight="1" thickBot="1" x14ac:dyDescent="0.3">
      <c r="A2891" s="124"/>
      <c r="B2891" s="125"/>
      <c r="F2891" s="124"/>
    </row>
    <row r="2892" spans="1:6" ht="15.75" customHeight="1" thickBot="1" x14ac:dyDescent="0.3">
      <c r="A2892" s="124"/>
      <c r="B2892" s="125"/>
      <c r="F2892" s="124"/>
    </row>
    <row r="2893" spans="1:6" ht="15.75" customHeight="1" thickBot="1" x14ac:dyDescent="0.3">
      <c r="A2893" s="124"/>
      <c r="B2893" s="125"/>
      <c r="F2893" s="124"/>
    </row>
    <row r="2894" spans="1:6" ht="15.75" customHeight="1" thickBot="1" x14ac:dyDescent="0.3">
      <c r="A2894" s="124"/>
      <c r="B2894" s="125"/>
      <c r="F2894" s="124"/>
    </row>
    <row r="2895" spans="1:6" ht="15.75" customHeight="1" thickBot="1" x14ac:dyDescent="0.3">
      <c r="A2895" s="124"/>
      <c r="B2895" s="125"/>
      <c r="F2895" s="124"/>
    </row>
    <row r="2896" spans="1:6" ht="15.75" customHeight="1" thickBot="1" x14ac:dyDescent="0.3">
      <c r="A2896" s="124"/>
      <c r="B2896" s="125"/>
      <c r="F2896" s="124"/>
    </row>
    <row r="2897" spans="1:6" ht="15.75" customHeight="1" thickBot="1" x14ac:dyDescent="0.3">
      <c r="A2897" s="124"/>
      <c r="B2897" s="125"/>
      <c r="F2897" s="124"/>
    </row>
    <row r="2898" spans="1:6" ht="15.75" customHeight="1" thickBot="1" x14ac:dyDescent="0.3">
      <c r="A2898" s="124"/>
      <c r="B2898" s="125"/>
      <c r="F2898" s="124"/>
    </row>
    <row r="2899" spans="1:6" ht="15.75" customHeight="1" thickBot="1" x14ac:dyDescent="0.3">
      <c r="A2899" s="124"/>
      <c r="B2899" s="125"/>
      <c r="F2899" s="124"/>
    </row>
    <row r="2900" spans="1:6" ht="15.75" customHeight="1" thickBot="1" x14ac:dyDescent="0.3">
      <c r="A2900" s="124"/>
      <c r="B2900" s="125"/>
      <c r="F2900" s="124"/>
    </row>
    <row r="2901" spans="1:6" ht="15.75" customHeight="1" thickBot="1" x14ac:dyDescent="0.3">
      <c r="A2901" s="124"/>
      <c r="B2901" s="125"/>
      <c r="F2901" s="124"/>
    </row>
    <row r="2902" spans="1:6" ht="15.75" customHeight="1" thickBot="1" x14ac:dyDescent="0.3">
      <c r="A2902" s="124"/>
      <c r="B2902" s="125"/>
      <c r="F2902" s="124"/>
    </row>
    <row r="2903" spans="1:6" ht="15.75" customHeight="1" thickBot="1" x14ac:dyDescent="0.3">
      <c r="A2903" s="124"/>
      <c r="B2903" s="125"/>
      <c r="F2903" s="124"/>
    </row>
    <row r="2904" spans="1:6" ht="15.75" customHeight="1" thickBot="1" x14ac:dyDescent="0.3">
      <c r="A2904" s="124"/>
      <c r="B2904" s="125"/>
      <c r="F2904" s="124"/>
    </row>
    <row r="2905" spans="1:6" ht="15.75" customHeight="1" thickBot="1" x14ac:dyDescent="0.3">
      <c r="A2905" s="124"/>
      <c r="B2905" s="125"/>
      <c r="F2905" s="124"/>
    </row>
    <row r="2906" spans="1:6" ht="15.75" customHeight="1" thickBot="1" x14ac:dyDescent="0.3">
      <c r="A2906" s="124"/>
      <c r="B2906" s="125"/>
      <c r="F2906" s="124"/>
    </row>
    <row r="2907" spans="1:6" ht="15.75" customHeight="1" thickBot="1" x14ac:dyDescent="0.3">
      <c r="A2907" s="124"/>
      <c r="B2907" s="125"/>
      <c r="F2907" s="124"/>
    </row>
    <row r="2908" spans="1:6" ht="15.75" customHeight="1" thickBot="1" x14ac:dyDescent="0.3">
      <c r="A2908" s="124"/>
      <c r="B2908" s="125"/>
      <c r="F2908" s="124"/>
    </row>
    <row r="2909" spans="1:6" ht="15.75" customHeight="1" thickBot="1" x14ac:dyDescent="0.3">
      <c r="A2909" s="124"/>
      <c r="B2909" s="125"/>
      <c r="F2909" s="124"/>
    </row>
    <row r="2910" spans="1:6" ht="15.75" customHeight="1" thickBot="1" x14ac:dyDescent="0.3">
      <c r="A2910" s="124"/>
      <c r="B2910" s="125"/>
      <c r="F2910" s="124"/>
    </row>
    <row r="2911" spans="1:6" ht="15.75" customHeight="1" thickBot="1" x14ac:dyDescent="0.3">
      <c r="A2911" s="124"/>
      <c r="B2911" s="125"/>
      <c r="F2911" s="124"/>
    </row>
    <row r="2912" spans="1:6" ht="15.75" customHeight="1" thickBot="1" x14ac:dyDescent="0.3">
      <c r="A2912" s="124"/>
      <c r="B2912" s="125"/>
      <c r="F2912" s="124"/>
    </row>
    <row r="2913" spans="1:6" ht="15.75" customHeight="1" thickBot="1" x14ac:dyDescent="0.3">
      <c r="A2913" s="124"/>
      <c r="B2913" s="125"/>
      <c r="F2913" s="124"/>
    </row>
    <row r="2914" spans="1:6" ht="15.75" customHeight="1" thickBot="1" x14ac:dyDescent="0.3">
      <c r="A2914" s="124"/>
      <c r="B2914" s="125"/>
      <c r="F2914" s="124"/>
    </row>
    <row r="2915" spans="1:6" ht="15.75" customHeight="1" thickBot="1" x14ac:dyDescent="0.3">
      <c r="A2915" s="124"/>
      <c r="B2915" s="125"/>
      <c r="F2915" s="124"/>
    </row>
    <row r="2916" spans="1:6" ht="15.75" customHeight="1" thickBot="1" x14ac:dyDescent="0.3">
      <c r="A2916" s="124"/>
      <c r="B2916" s="125"/>
      <c r="F2916" s="124"/>
    </row>
    <row r="2917" spans="1:6" ht="15.75" customHeight="1" thickBot="1" x14ac:dyDescent="0.3">
      <c r="A2917" s="124"/>
      <c r="B2917" s="125"/>
      <c r="F2917" s="124"/>
    </row>
    <row r="2918" spans="1:6" ht="15.75" customHeight="1" thickBot="1" x14ac:dyDescent="0.3">
      <c r="A2918" s="124"/>
      <c r="B2918" s="125"/>
      <c r="F2918" s="124"/>
    </row>
    <row r="2919" spans="1:6" ht="15.75" customHeight="1" thickBot="1" x14ac:dyDescent="0.3">
      <c r="A2919" s="124"/>
      <c r="B2919" s="125"/>
      <c r="F2919" s="124"/>
    </row>
    <row r="2920" spans="1:6" ht="15.75" customHeight="1" thickBot="1" x14ac:dyDescent="0.3">
      <c r="A2920" s="124"/>
      <c r="B2920" s="125"/>
      <c r="F2920" s="124"/>
    </row>
    <row r="2921" spans="1:6" ht="15.75" customHeight="1" thickBot="1" x14ac:dyDescent="0.3">
      <c r="A2921" s="124"/>
      <c r="B2921" s="125"/>
      <c r="F2921" s="124"/>
    </row>
    <row r="2922" spans="1:6" ht="15.75" customHeight="1" thickBot="1" x14ac:dyDescent="0.3">
      <c r="A2922" s="124"/>
      <c r="B2922" s="125"/>
      <c r="F2922" s="124"/>
    </row>
    <row r="2923" spans="1:6" ht="15.75" customHeight="1" thickBot="1" x14ac:dyDescent="0.3">
      <c r="A2923" s="124"/>
      <c r="B2923" s="125"/>
      <c r="F2923" s="124"/>
    </row>
    <row r="2924" spans="1:6" ht="15.75" customHeight="1" thickBot="1" x14ac:dyDescent="0.3">
      <c r="A2924" s="124"/>
      <c r="B2924" s="125"/>
      <c r="F2924" s="124"/>
    </row>
    <row r="2925" spans="1:6" ht="15.75" customHeight="1" thickBot="1" x14ac:dyDescent="0.3">
      <c r="A2925" s="124"/>
      <c r="B2925" s="125"/>
      <c r="F2925" s="124"/>
    </row>
    <row r="2926" spans="1:6" ht="15.75" customHeight="1" thickBot="1" x14ac:dyDescent="0.3">
      <c r="A2926" s="124"/>
      <c r="B2926" s="125"/>
      <c r="F2926" s="124"/>
    </row>
    <row r="2927" spans="1:6" ht="15.75" customHeight="1" thickBot="1" x14ac:dyDescent="0.3">
      <c r="A2927" s="124"/>
      <c r="B2927" s="125"/>
      <c r="F2927" s="124"/>
    </row>
    <row r="2928" spans="1:6" ht="15.75" customHeight="1" thickBot="1" x14ac:dyDescent="0.3">
      <c r="A2928" s="124"/>
      <c r="B2928" s="125"/>
      <c r="F2928" s="124"/>
    </row>
    <row r="2929" spans="1:6" ht="15.75" customHeight="1" thickBot="1" x14ac:dyDescent="0.3">
      <c r="A2929" s="124"/>
      <c r="B2929" s="125"/>
      <c r="F2929" s="124"/>
    </row>
    <row r="2930" spans="1:6" ht="15.75" customHeight="1" thickBot="1" x14ac:dyDescent="0.3">
      <c r="A2930" s="124"/>
      <c r="B2930" s="125"/>
      <c r="F2930" s="124"/>
    </row>
    <row r="2931" spans="1:6" ht="15.75" customHeight="1" thickBot="1" x14ac:dyDescent="0.3">
      <c r="A2931" s="124"/>
      <c r="B2931" s="125"/>
      <c r="F2931" s="124"/>
    </row>
    <row r="2932" spans="1:6" ht="15.75" customHeight="1" thickBot="1" x14ac:dyDescent="0.3">
      <c r="A2932" s="124"/>
      <c r="B2932" s="125"/>
      <c r="F2932" s="124"/>
    </row>
    <row r="2933" spans="1:6" ht="15.75" customHeight="1" thickBot="1" x14ac:dyDescent="0.3">
      <c r="A2933" s="124"/>
      <c r="B2933" s="125"/>
      <c r="F2933" s="124"/>
    </row>
    <row r="2934" spans="1:6" ht="15.75" customHeight="1" thickBot="1" x14ac:dyDescent="0.3">
      <c r="A2934" s="124"/>
      <c r="B2934" s="125"/>
      <c r="F2934" s="124"/>
    </row>
    <row r="2935" spans="1:6" ht="15.75" customHeight="1" thickBot="1" x14ac:dyDescent="0.3">
      <c r="A2935" s="124"/>
      <c r="B2935" s="125"/>
      <c r="F2935" s="124"/>
    </row>
    <row r="2936" spans="1:6" ht="15.75" customHeight="1" thickBot="1" x14ac:dyDescent="0.3">
      <c r="A2936" s="124"/>
      <c r="B2936" s="125"/>
      <c r="F2936" s="124"/>
    </row>
    <row r="2937" spans="1:6" ht="15.75" customHeight="1" thickBot="1" x14ac:dyDescent="0.3">
      <c r="A2937" s="124"/>
      <c r="B2937" s="125"/>
      <c r="F2937" s="124"/>
    </row>
    <row r="2938" spans="1:6" ht="15.75" customHeight="1" thickBot="1" x14ac:dyDescent="0.3">
      <c r="A2938" s="124"/>
      <c r="B2938" s="125"/>
      <c r="F2938" s="124"/>
    </row>
    <row r="2939" spans="1:6" ht="15.75" customHeight="1" thickBot="1" x14ac:dyDescent="0.3">
      <c r="A2939" s="124"/>
      <c r="B2939" s="125"/>
      <c r="F2939" s="124"/>
    </row>
    <row r="2940" spans="1:6" ht="15.75" customHeight="1" thickBot="1" x14ac:dyDescent="0.3">
      <c r="A2940" s="124"/>
      <c r="B2940" s="125"/>
      <c r="F2940" s="124"/>
    </row>
    <row r="2941" spans="1:6" ht="15.75" customHeight="1" thickBot="1" x14ac:dyDescent="0.3">
      <c r="A2941" s="124"/>
      <c r="B2941" s="125"/>
      <c r="F2941" s="124"/>
    </row>
    <row r="2942" spans="1:6" ht="15.75" customHeight="1" thickBot="1" x14ac:dyDescent="0.3">
      <c r="A2942" s="124"/>
      <c r="B2942" s="125"/>
      <c r="F2942" s="124"/>
    </row>
    <row r="2943" spans="1:6" ht="15.75" customHeight="1" thickBot="1" x14ac:dyDescent="0.3">
      <c r="A2943" s="124"/>
      <c r="B2943" s="125"/>
      <c r="F2943" s="124"/>
    </row>
    <row r="2944" spans="1:6" ht="15.75" customHeight="1" thickBot="1" x14ac:dyDescent="0.3">
      <c r="A2944" s="124"/>
      <c r="B2944" s="125"/>
      <c r="F2944" s="124"/>
    </row>
    <row r="2945" spans="1:6" ht="15.75" customHeight="1" thickBot="1" x14ac:dyDescent="0.3">
      <c r="A2945" s="124"/>
      <c r="B2945" s="125"/>
      <c r="F2945" s="124"/>
    </row>
    <row r="2946" spans="1:6" ht="15.75" customHeight="1" thickBot="1" x14ac:dyDescent="0.3">
      <c r="A2946" s="124"/>
      <c r="B2946" s="125"/>
      <c r="F2946" s="124"/>
    </row>
    <row r="2947" spans="1:6" ht="15.75" customHeight="1" thickBot="1" x14ac:dyDescent="0.3">
      <c r="A2947" s="124"/>
      <c r="B2947" s="125"/>
      <c r="F2947" s="124"/>
    </row>
    <row r="2948" spans="1:6" ht="15.75" customHeight="1" thickBot="1" x14ac:dyDescent="0.3">
      <c r="A2948" s="124"/>
      <c r="B2948" s="125"/>
      <c r="F2948" s="124"/>
    </row>
    <row r="2949" spans="1:6" ht="15.75" customHeight="1" thickBot="1" x14ac:dyDescent="0.3">
      <c r="A2949" s="124"/>
      <c r="B2949" s="125"/>
      <c r="F2949" s="124"/>
    </row>
    <row r="2950" spans="1:6" ht="15.75" customHeight="1" thickBot="1" x14ac:dyDescent="0.3">
      <c r="A2950" s="124"/>
      <c r="B2950" s="125"/>
      <c r="F2950" s="124"/>
    </row>
    <row r="2951" spans="1:6" ht="15.75" customHeight="1" thickBot="1" x14ac:dyDescent="0.3">
      <c r="A2951" s="124"/>
      <c r="B2951" s="125"/>
      <c r="F2951" s="124"/>
    </row>
    <row r="2952" spans="1:6" ht="15.75" customHeight="1" thickBot="1" x14ac:dyDescent="0.3">
      <c r="A2952" s="124"/>
      <c r="B2952" s="125"/>
      <c r="F2952" s="124"/>
    </row>
    <row r="2953" spans="1:6" ht="15.75" customHeight="1" thickBot="1" x14ac:dyDescent="0.3">
      <c r="A2953" s="124"/>
      <c r="B2953" s="125"/>
      <c r="F2953" s="124"/>
    </row>
    <row r="2954" spans="1:6" ht="15.75" customHeight="1" thickBot="1" x14ac:dyDescent="0.3">
      <c r="A2954" s="124"/>
      <c r="B2954" s="125"/>
      <c r="F2954" s="124"/>
    </row>
    <row r="2955" spans="1:6" ht="15.75" customHeight="1" thickBot="1" x14ac:dyDescent="0.3">
      <c r="A2955" s="124"/>
      <c r="B2955" s="125"/>
      <c r="F2955" s="124"/>
    </row>
    <row r="2956" spans="1:6" ht="15.75" customHeight="1" thickBot="1" x14ac:dyDescent="0.3">
      <c r="A2956" s="124"/>
      <c r="B2956" s="125"/>
      <c r="F2956" s="124"/>
    </row>
    <row r="2957" spans="1:6" ht="15.75" customHeight="1" thickBot="1" x14ac:dyDescent="0.3">
      <c r="A2957" s="124"/>
      <c r="B2957" s="125"/>
      <c r="F2957" s="124"/>
    </row>
    <row r="2958" spans="1:6" ht="15.75" customHeight="1" thickBot="1" x14ac:dyDescent="0.3">
      <c r="A2958" s="124"/>
      <c r="B2958" s="125"/>
      <c r="F2958" s="124"/>
    </row>
    <row r="2959" spans="1:6" ht="15.75" customHeight="1" thickBot="1" x14ac:dyDescent="0.3">
      <c r="A2959" s="124"/>
      <c r="B2959" s="125"/>
      <c r="F2959" s="124"/>
    </row>
    <row r="2960" spans="1:6" ht="15.75" customHeight="1" thickBot="1" x14ac:dyDescent="0.3">
      <c r="A2960" s="124"/>
      <c r="B2960" s="125"/>
      <c r="F2960" s="124"/>
    </row>
    <row r="2961" spans="1:6" ht="15.75" customHeight="1" thickBot="1" x14ac:dyDescent="0.3">
      <c r="A2961" s="124"/>
      <c r="B2961" s="125"/>
      <c r="F2961" s="124"/>
    </row>
    <row r="2962" spans="1:6" ht="15.75" customHeight="1" thickBot="1" x14ac:dyDescent="0.3">
      <c r="A2962" s="124"/>
      <c r="B2962" s="125"/>
      <c r="F2962" s="124"/>
    </row>
    <row r="2963" spans="1:6" ht="15.75" customHeight="1" thickBot="1" x14ac:dyDescent="0.3">
      <c r="A2963" s="124"/>
      <c r="B2963" s="125"/>
      <c r="F2963" s="124"/>
    </row>
    <row r="2964" spans="1:6" ht="15.75" customHeight="1" thickBot="1" x14ac:dyDescent="0.3">
      <c r="A2964" s="124"/>
      <c r="B2964" s="125"/>
      <c r="F2964" s="124"/>
    </row>
    <row r="2965" spans="1:6" ht="15.75" customHeight="1" thickBot="1" x14ac:dyDescent="0.3">
      <c r="A2965" s="124"/>
      <c r="B2965" s="125"/>
      <c r="F2965" s="124"/>
    </row>
    <row r="2966" spans="1:6" ht="15.75" customHeight="1" thickBot="1" x14ac:dyDescent="0.3">
      <c r="A2966" s="124"/>
      <c r="B2966" s="125"/>
      <c r="F2966" s="124"/>
    </row>
    <row r="2967" spans="1:6" ht="15.75" customHeight="1" thickBot="1" x14ac:dyDescent="0.3">
      <c r="A2967" s="124"/>
      <c r="B2967" s="125"/>
      <c r="F2967" s="124"/>
    </row>
    <row r="2968" spans="1:6" ht="15.75" customHeight="1" thickBot="1" x14ac:dyDescent="0.3">
      <c r="A2968" s="124"/>
      <c r="B2968" s="125"/>
      <c r="F2968" s="124"/>
    </row>
    <row r="2969" spans="1:6" ht="15.75" customHeight="1" thickBot="1" x14ac:dyDescent="0.3">
      <c r="A2969" s="124"/>
      <c r="B2969" s="125"/>
      <c r="F2969" s="124"/>
    </row>
    <row r="2970" spans="1:6" ht="15.75" customHeight="1" thickBot="1" x14ac:dyDescent="0.3">
      <c r="A2970" s="124"/>
      <c r="B2970" s="125"/>
      <c r="F2970" s="124"/>
    </row>
    <row r="2971" spans="1:6" ht="15.75" customHeight="1" thickBot="1" x14ac:dyDescent="0.3">
      <c r="A2971" s="124"/>
      <c r="B2971" s="125"/>
      <c r="F2971" s="124"/>
    </row>
    <row r="2972" spans="1:6" ht="15.75" customHeight="1" thickBot="1" x14ac:dyDescent="0.3">
      <c r="A2972" s="124"/>
      <c r="B2972" s="125"/>
      <c r="F2972" s="124"/>
    </row>
    <row r="2973" spans="1:6" ht="15.75" customHeight="1" thickBot="1" x14ac:dyDescent="0.3">
      <c r="A2973" s="124"/>
      <c r="B2973" s="125"/>
      <c r="F2973" s="124"/>
    </row>
    <row r="2974" spans="1:6" ht="15.75" customHeight="1" thickBot="1" x14ac:dyDescent="0.3">
      <c r="A2974" s="124"/>
      <c r="B2974" s="125"/>
      <c r="F2974" s="124"/>
    </row>
    <row r="2975" spans="1:6" ht="15.75" customHeight="1" thickBot="1" x14ac:dyDescent="0.3">
      <c r="A2975" s="124"/>
      <c r="B2975" s="125"/>
      <c r="F2975" s="124"/>
    </row>
    <row r="2976" spans="1:6" ht="15.75" customHeight="1" thickBot="1" x14ac:dyDescent="0.3">
      <c r="A2976" s="124"/>
      <c r="B2976" s="125"/>
      <c r="F2976" s="124"/>
    </row>
    <row r="2977" spans="1:6" ht="15.75" customHeight="1" thickBot="1" x14ac:dyDescent="0.3">
      <c r="A2977" s="124"/>
      <c r="B2977" s="125"/>
      <c r="F2977" s="124"/>
    </row>
    <row r="2978" spans="1:6" ht="15.75" customHeight="1" thickBot="1" x14ac:dyDescent="0.3">
      <c r="A2978" s="124"/>
      <c r="B2978" s="125"/>
      <c r="F2978" s="124"/>
    </row>
    <row r="2979" spans="1:6" ht="15.75" customHeight="1" thickBot="1" x14ac:dyDescent="0.3">
      <c r="A2979" s="124"/>
      <c r="B2979" s="125"/>
      <c r="F2979" s="124"/>
    </row>
    <row r="2980" spans="1:6" ht="15.75" customHeight="1" thickBot="1" x14ac:dyDescent="0.3">
      <c r="A2980" s="124"/>
      <c r="B2980" s="125"/>
      <c r="F2980" s="124"/>
    </row>
    <row r="2981" spans="1:6" ht="15.75" customHeight="1" thickBot="1" x14ac:dyDescent="0.3">
      <c r="A2981" s="124"/>
      <c r="B2981" s="125"/>
      <c r="F2981" s="124"/>
    </row>
    <row r="2982" spans="1:6" ht="15.75" customHeight="1" thickBot="1" x14ac:dyDescent="0.3">
      <c r="A2982" s="124"/>
      <c r="B2982" s="125"/>
      <c r="F2982" s="124"/>
    </row>
    <row r="2983" spans="1:6" ht="15.75" customHeight="1" thickBot="1" x14ac:dyDescent="0.3">
      <c r="A2983" s="124"/>
      <c r="B2983" s="125"/>
      <c r="F2983" s="124"/>
    </row>
    <row r="2984" spans="1:6" ht="15.75" customHeight="1" thickBot="1" x14ac:dyDescent="0.3">
      <c r="A2984" s="124"/>
      <c r="B2984" s="125"/>
      <c r="F2984" s="124"/>
    </row>
    <row r="2985" spans="1:6" ht="15.75" customHeight="1" thickBot="1" x14ac:dyDescent="0.3">
      <c r="A2985" s="124"/>
      <c r="B2985" s="125"/>
      <c r="F2985" s="124"/>
    </row>
    <row r="2986" spans="1:6" ht="15.75" customHeight="1" thickBot="1" x14ac:dyDescent="0.3">
      <c r="A2986" s="124"/>
      <c r="B2986" s="125"/>
      <c r="F2986" s="124"/>
    </row>
    <row r="2987" spans="1:6" ht="15.75" customHeight="1" thickBot="1" x14ac:dyDescent="0.3">
      <c r="A2987" s="124"/>
      <c r="B2987" s="125"/>
      <c r="F2987" s="124"/>
    </row>
    <row r="2988" spans="1:6" ht="15.75" customHeight="1" thickBot="1" x14ac:dyDescent="0.3">
      <c r="A2988" s="124"/>
      <c r="B2988" s="125"/>
      <c r="F2988" s="124"/>
    </row>
    <row r="2989" spans="1:6" ht="15.75" customHeight="1" thickBot="1" x14ac:dyDescent="0.3">
      <c r="A2989" s="124"/>
      <c r="B2989" s="125"/>
      <c r="F2989" s="124"/>
    </row>
    <row r="2990" spans="1:6" ht="15.75" customHeight="1" thickBot="1" x14ac:dyDescent="0.3">
      <c r="A2990" s="124"/>
      <c r="B2990" s="125"/>
      <c r="F2990" s="124"/>
    </row>
    <row r="2991" spans="1:6" ht="15.75" customHeight="1" thickBot="1" x14ac:dyDescent="0.3">
      <c r="A2991" s="124"/>
      <c r="B2991" s="125"/>
      <c r="F2991" s="124"/>
    </row>
    <row r="2992" spans="1:6" ht="15.75" customHeight="1" thickBot="1" x14ac:dyDescent="0.3">
      <c r="A2992" s="124"/>
      <c r="B2992" s="125"/>
      <c r="F2992" s="124"/>
    </row>
    <row r="2993" spans="1:6" ht="15.75" customHeight="1" thickBot="1" x14ac:dyDescent="0.3">
      <c r="A2993" s="124"/>
      <c r="B2993" s="125"/>
      <c r="F2993" s="124"/>
    </row>
    <row r="2994" spans="1:6" ht="15.75" customHeight="1" thickBot="1" x14ac:dyDescent="0.3">
      <c r="A2994" s="124"/>
      <c r="B2994" s="125"/>
      <c r="F2994" s="124"/>
    </row>
    <row r="2995" spans="1:6" ht="15.75" customHeight="1" thickBot="1" x14ac:dyDescent="0.3">
      <c r="A2995" s="124"/>
      <c r="B2995" s="125"/>
      <c r="F2995" s="124"/>
    </row>
    <row r="2996" spans="1:6" ht="15.75" customHeight="1" thickBot="1" x14ac:dyDescent="0.3">
      <c r="A2996" s="124"/>
      <c r="B2996" s="125"/>
      <c r="F2996" s="124"/>
    </row>
    <row r="2997" spans="1:6" ht="15.75" customHeight="1" thickBot="1" x14ac:dyDescent="0.3">
      <c r="A2997" s="124"/>
      <c r="B2997" s="125"/>
      <c r="F2997" s="124"/>
    </row>
    <row r="2998" spans="1:6" ht="15.75" customHeight="1" thickBot="1" x14ac:dyDescent="0.3">
      <c r="A2998" s="124"/>
      <c r="B2998" s="125"/>
      <c r="F2998" s="124"/>
    </row>
    <row r="2999" spans="1:6" ht="15.75" customHeight="1" thickBot="1" x14ac:dyDescent="0.3">
      <c r="A2999" s="124"/>
      <c r="B2999" s="125"/>
      <c r="F2999" s="124"/>
    </row>
    <row r="3000" spans="1:6" ht="15.75" customHeight="1" thickBot="1" x14ac:dyDescent="0.3">
      <c r="A3000" s="124"/>
      <c r="B3000" s="125"/>
      <c r="F3000" s="124"/>
    </row>
    <row r="3001" spans="1:6" ht="15.75" customHeight="1" thickBot="1" x14ac:dyDescent="0.3">
      <c r="A3001" s="124"/>
      <c r="B3001" s="125"/>
      <c r="F3001" s="124"/>
    </row>
    <row r="3002" spans="1:6" ht="15.75" customHeight="1" thickBot="1" x14ac:dyDescent="0.3">
      <c r="A3002" s="124"/>
      <c r="B3002" s="125"/>
      <c r="F3002" s="124"/>
    </row>
    <row r="3003" spans="1:6" ht="15.75" customHeight="1" thickBot="1" x14ac:dyDescent="0.3">
      <c r="A3003" s="124"/>
      <c r="B3003" s="125"/>
      <c r="F3003" s="124"/>
    </row>
    <row r="3004" spans="1:6" ht="15.75" customHeight="1" thickBot="1" x14ac:dyDescent="0.3">
      <c r="A3004" s="124"/>
      <c r="B3004" s="125"/>
      <c r="F3004" s="124"/>
    </row>
    <row r="3005" spans="1:6" ht="15.75" customHeight="1" thickBot="1" x14ac:dyDescent="0.3">
      <c r="A3005" s="124"/>
      <c r="B3005" s="125"/>
      <c r="F3005" s="124"/>
    </row>
    <row r="3006" spans="1:6" ht="15.75" customHeight="1" thickBot="1" x14ac:dyDescent="0.3">
      <c r="A3006" s="124"/>
      <c r="B3006" s="125"/>
      <c r="F3006" s="124"/>
    </row>
    <row r="3007" spans="1:6" ht="15.75" customHeight="1" thickBot="1" x14ac:dyDescent="0.3">
      <c r="A3007" s="124"/>
      <c r="B3007" s="125"/>
      <c r="F3007" s="124"/>
    </row>
    <row r="3008" spans="1:6" ht="15.75" customHeight="1" thickBot="1" x14ac:dyDescent="0.3">
      <c r="A3008" s="124"/>
      <c r="B3008" s="125"/>
      <c r="F3008" s="124"/>
    </row>
    <row r="3009" spans="1:6" ht="15.75" customHeight="1" thickBot="1" x14ac:dyDescent="0.3">
      <c r="A3009" s="124"/>
      <c r="B3009" s="125"/>
      <c r="F3009" s="124"/>
    </row>
    <row r="3010" spans="1:6" ht="15.75" customHeight="1" thickBot="1" x14ac:dyDescent="0.3">
      <c r="A3010" s="124"/>
      <c r="B3010" s="125"/>
      <c r="F3010" s="124"/>
    </row>
    <row r="3011" spans="1:6" ht="15.75" customHeight="1" thickBot="1" x14ac:dyDescent="0.3">
      <c r="A3011" s="124"/>
      <c r="B3011" s="125"/>
      <c r="F3011" s="124"/>
    </row>
    <row r="3012" spans="1:6" ht="15.75" customHeight="1" thickBot="1" x14ac:dyDescent="0.3">
      <c r="A3012" s="124"/>
      <c r="B3012" s="125"/>
      <c r="F3012" s="124"/>
    </row>
    <row r="3013" spans="1:6" ht="15.75" customHeight="1" thickBot="1" x14ac:dyDescent="0.3">
      <c r="A3013" s="124"/>
      <c r="B3013" s="125"/>
      <c r="F3013" s="124"/>
    </row>
    <row r="3014" spans="1:6" ht="15.75" customHeight="1" thickBot="1" x14ac:dyDescent="0.3">
      <c r="A3014" s="124"/>
      <c r="B3014" s="125"/>
      <c r="F3014" s="124"/>
    </row>
    <row r="3015" spans="1:6" ht="15.75" customHeight="1" thickBot="1" x14ac:dyDescent="0.3">
      <c r="A3015" s="124"/>
      <c r="B3015" s="125"/>
      <c r="F3015" s="124"/>
    </row>
    <row r="3016" spans="1:6" ht="15.75" customHeight="1" thickBot="1" x14ac:dyDescent="0.3">
      <c r="A3016" s="124"/>
      <c r="B3016" s="125"/>
      <c r="F3016" s="124"/>
    </row>
    <row r="3017" spans="1:6" ht="15.75" customHeight="1" thickBot="1" x14ac:dyDescent="0.3">
      <c r="A3017" s="124"/>
      <c r="B3017" s="125"/>
      <c r="F3017" s="124"/>
    </row>
    <row r="3018" spans="1:6" ht="15.75" customHeight="1" thickBot="1" x14ac:dyDescent="0.3">
      <c r="A3018" s="124"/>
      <c r="B3018" s="125"/>
      <c r="F3018" s="124"/>
    </row>
    <row r="3019" spans="1:6" ht="15.75" customHeight="1" thickBot="1" x14ac:dyDescent="0.3">
      <c r="A3019" s="124"/>
      <c r="B3019" s="125"/>
      <c r="F3019" s="124"/>
    </row>
    <row r="3020" spans="1:6" ht="15.75" customHeight="1" thickBot="1" x14ac:dyDescent="0.3">
      <c r="A3020" s="124"/>
      <c r="B3020" s="125"/>
      <c r="F3020" s="124"/>
    </row>
    <row r="3021" spans="1:6" ht="15.75" customHeight="1" thickBot="1" x14ac:dyDescent="0.3">
      <c r="A3021" s="124"/>
      <c r="B3021" s="125"/>
      <c r="F3021" s="124"/>
    </row>
    <row r="3022" spans="1:6" ht="15.75" customHeight="1" thickBot="1" x14ac:dyDescent="0.3">
      <c r="A3022" s="124"/>
      <c r="B3022" s="125"/>
      <c r="F3022" s="124"/>
    </row>
    <row r="3023" spans="1:6" ht="15.75" customHeight="1" thickBot="1" x14ac:dyDescent="0.3">
      <c r="A3023" s="124"/>
      <c r="B3023" s="125"/>
      <c r="F3023" s="124"/>
    </row>
    <row r="3024" spans="1:6" ht="15.75" customHeight="1" thickBot="1" x14ac:dyDescent="0.3">
      <c r="A3024" s="124"/>
      <c r="B3024" s="125"/>
      <c r="F3024" s="124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CF0A8-CC5A-4124-9A4B-7A9727E3F99F}">
  <dimension ref="A1:L259"/>
  <sheetViews>
    <sheetView topLeftCell="D1" workbookViewId="0">
      <selection activeCell="M19" sqref="M19"/>
    </sheetView>
  </sheetViews>
  <sheetFormatPr defaultColWidth="8.77734375" defaultRowHeight="13.8" outlineLevelRow="1" x14ac:dyDescent="0.25"/>
  <cols>
    <col min="1" max="1" width="10.21875" style="47" bestFit="1" customWidth="1"/>
    <col min="2" max="2" width="11.109375" style="47" customWidth="1"/>
    <col min="3" max="3" width="9" style="47" customWidth="1"/>
    <col min="4" max="4" width="9.77734375" style="47" customWidth="1"/>
    <col min="5" max="6" width="9" style="47" customWidth="1"/>
    <col min="7" max="7" width="10.21875" style="47" customWidth="1"/>
    <col min="8" max="8" width="9" style="47" customWidth="1"/>
    <col min="9" max="9" width="10.44140625" style="47" customWidth="1"/>
    <col min="10" max="10" width="10.6640625" style="47" customWidth="1"/>
    <col min="11" max="11" width="16.5546875" style="47" customWidth="1"/>
    <col min="12" max="16384" width="8.77734375" style="47"/>
  </cols>
  <sheetData>
    <row r="1" spans="1:12" ht="17.399999999999999" x14ac:dyDescent="0.3">
      <c r="A1" s="163" t="s">
        <v>69</v>
      </c>
      <c r="B1" s="163"/>
      <c r="C1" s="163"/>
      <c r="D1" s="163"/>
      <c r="E1" s="163"/>
      <c r="F1" s="163"/>
      <c r="G1" s="163"/>
      <c r="H1" s="163"/>
      <c r="I1" s="163"/>
      <c r="J1" s="163"/>
      <c r="K1" s="163"/>
    </row>
    <row r="2" spans="1:12" x14ac:dyDescent="0.25">
      <c r="A2" s="47" t="s">
        <v>70</v>
      </c>
      <c r="B2" s="47">
        <f>'[1]2019-2021'!B6</f>
        <v>46.18</v>
      </c>
    </row>
    <row r="3" spans="1:12" ht="14.4" thickBot="1" x14ac:dyDescent="0.3">
      <c r="A3" s="47" t="s">
        <v>71</v>
      </c>
      <c r="B3" s="126">
        <f>'[1]2019-2021'!B2</f>
        <v>0.6035697789793496</v>
      </c>
    </row>
    <row r="4" spans="1:12" ht="13.95" customHeight="1" x14ac:dyDescent="0.25">
      <c r="A4" s="47" t="s">
        <v>72</v>
      </c>
      <c r="B4" s="127">
        <f>'[1]2019-2021'!B4</f>
        <v>3.4595056142662145E-2</v>
      </c>
      <c r="E4" s="164" t="str">
        <f ca="1">_xlfn.FORMULATEXT(J10)</f>
        <v>=J9*EXP(Mu*Delta_t+Sigma*SQRT(Delta_t)*NORM.S.INV(RAND()))</v>
      </c>
      <c r="F4" s="165"/>
      <c r="G4" s="165"/>
      <c r="H4" s="165"/>
      <c r="I4" s="165"/>
      <c r="J4" s="165"/>
      <c r="K4" s="166"/>
    </row>
    <row r="5" spans="1:12" ht="14.4" thickBot="1" x14ac:dyDescent="0.3">
      <c r="A5" s="47" t="s">
        <v>67</v>
      </c>
      <c r="B5" s="128">
        <f>'[1]2019-2021'!B5</f>
        <v>3.968253968253968E-3</v>
      </c>
      <c r="E5" s="167"/>
      <c r="F5" s="168"/>
      <c r="G5" s="168"/>
      <c r="H5" s="168"/>
      <c r="I5" s="168"/>
      <c r="J5" s="168"/>
      <c r="K5" s="169"/>
    </row>
    <row r="6" spans="1:12" x14ac:dyDescent="0.25">
      <c r="E6" s="129"/>
      <c r="F6" s="129"/>
      <c r="G6" s="129"/>
      <c r="H6" s="129"/>
      <c r="I6" s="129"/>
      <c r="J6" s="129"/>
      <c r="K6" s="129"/>
      <c r="L6" s="129"/>
    </row>
    <row r="7" spans="1:12" x14ac:dyDescent="0.25">
      <c r="B7" s="47" t="s">
        <v>73</v>
      </c>
    </row>
    <row r="8" spans="1:12" x14ac:dyDescent="0.25">
      <c r="A8" s="130" t="s">
        <v>74</v>
      </c>
      <c r="B8" s="130" t="s">
        <v>75</v>
      </c>
      <c r="C8" s="130" t="s">
        <v>76</v>
      </c>
      <c r="D8" s="130" t="s">
        <v>77</v>
      </c>
      <c r="E8" s="130" t="s">
        <v>78</v>
      </c>
      <c r="F8" s="130" t="s">
        <v>79</v>
      </c>
      <c r="G8" s="130" t="s">
        <v>80</v>
      </c>
      <c r="H8" s="130" t="s">
        <v>81</v>
      </c>
      <c r="I8" s="130" t="s">
        <v>82</v>
      </c>
      <c r="J8" s="130" t="s">
        <v>83</v>
      </c>
      <c r="K8" s="130" t="s">
        <v>84</v>
      </c>
    </row>
    <row r="9" spans="1:12" x14ac:dyDescent="0.25">
      <c r="A9" s="59">
        <v>0</v>
      </c>
      <c r="B9" s="131">
        <f>$B$2</f>
        <v>46.18</v>
      </c>
      <c r="C9" s="131">
        <f t="shared" ref="C9:K9" si="0">$B$2</f>
        <v>46.18</v>
      </c>
      <c r="D9" s="131">
        <f t="shared" si="0"/>
        <v>46.18</v>
      </c>
      <c r="E9" s="131">
        <f t="shared" si="0"/>
        <v>46.18</v>
      </c>
      <c r="F9" s="131">
        <f t="shared" si="0"/>
        <v>46.18</v>
      </c>
      <c r="G9" s="131">
        <f t="shared" si="0"/>
        <v>46.18</v>
      </c>
      <c r="H9" s="131">
        <f t="shared" si="0"/>
        <v>46.18</v>
      </c>
      <c r="I9" s="131">
        <f t="shared" si="0"/>
        <v>46.18</v>
      </c>
      <c r="J9" s="131">
        <f t="shared" si="0"/>
        <v>46.18</v>
      </c>
      <c r="K9" s="131">
        <f t="shared" si="0"/>
        <v>46.18</v>
      </c>
    </row>
    <row r="10" spans="1:12" x14ac:dyDescent="0.25">
      <c r="A10" s="59">
        <v>1</v>
      </c>
      <c r="B10" s="131">
        <f t="shared" ref="B10:B71" ca="1" si="1">B9*EXP(Mu*Delta_t+Sigma*SQRT(Delta_t)*_xlfn.NORM.S.INV(RAND()))</f>
        <v>46.349762121819758</v>
      </c>
      <c r="C10" s="131">
        <f t="shared" ref="C10:C71" ca="1" si="2">C9*EXP(Mu*Delta_t+Sigma*SQRT(Delta_t)*_xlfn.NORM.S.INV(RAND()))</f>
        <v>46.310858133911758</v>
      </c>
      <c r="D10" s="131">
        <f t="shared" ref="D10:D71" ca="1" si="3">D9*EXP(Mu*Delta_t+Sigma*SQRT(Delta_t)*_xlfn.NORM.S.INV(RAND()))</f>
        <v>46.314801002421419</v>
      </c>
      <c r="E10" s="131">
        <f t="shared" ref="E10:E71" ca="1" si="4">E9*EXP(Mu*Delta_t+Sigma*SQRT(Delta_t)*_xlfn.NORM.S.INV(RAND()))</f>
        <v>46.133196500220336</v>
      </c>
      <c r="F10" s="131">
        <f t="shared" ref="F10:F71" ca="1" si="5">F9*EXP(Mu*Delta_t+Sigma*SQRT(Delta_t)*_xlfn.NORM.S.INV(RAND()))</f>
        <v>46.25265187329866</v>
      </c>
      <c r="G10" s="131">
        <f t="shared" ref="G10:G71" ca="1" si="6">G9*EXP(Mu*Delta_t+Sigma*SQRT(Delta_t)*_xlfn.NORM.S.INV(RAND()))</f>
        <v>46.264281703266064</v>
      </c>
      <c r="H10" s="131">
        <f t="shared" ref="H10:H71" ca="1" si="7">H9*EXP(Mu*Delta_t+Sigma*SQRT(Delta_t)*_xlfn.NORM.S.INV(RAND()))</f>
        <v>46.329764060955718</v>
      </c>
      <c r="I10" s="131">
        <f t="shared" ref="I10:I71" ca="1" si="8">I9*EXP(Mu*Delta_t+Sigma*SQRT(Delta_t)*_xlfn.NORM.S.INV(RAND()))</f>
        <v>46.306350944507017</v>
      </c>
      <c r="J10" s="131">
        <f t="shared" ref="J10:J71" ca="1" si="9">J9*EXP(Mu*Delta_t+Sigma*SQRT(Delta_t)*_xlfn.NORM.S.INV(RAND()))</f>
        <v>46.239425241737308</v>
      </c>
      <c r="K10" s="131">
        <f t="shared" ref="K10:K71" ca="1" si="10">K9*EXP(Mu*Delta_t+Sigma*SQRT(Delta_t)*_xlfn.NORM.S.INV(RAND()))</f>
        <v>46.292918082152056</v>
      </c>
    </row>
    <row r="11" spans="1:12" x14ac:dyDescent="0.25">
      <c r="A11" s="59">
        <v>2</v>
      </c>
      <c r="B11" s="131">
        <f t="shared" ca="1" si="1"/>
        <v>46.381484582206767</v>
      </c>
      <c r="C11" s="131">
        <f t="shared" ca="1" si="2"/>
        <v>46.317961832171854</v>
      </c>
      <c r="D11" s="131">
        <f t="shared" ca="1" si="3"/>
        <v>46.460365224128594</v>
      </c>
      <c r="E11" s="131">
        <f t="shared" ca="1" si="4"/>
        <v>46.290346400730655</v>
      </c>
      <c r="F11" s="131">
        <f t="shared" ca="1" si="5"/>
        <v>46.370638007321311</v>
      </c>
      <c r="G11" s="131">
        <f t="shared" ca="1" si="6"/>
        <v>46.352067907761025</v>
      </c>
      <c r="H11" s="131">
        <f t="shared" ca="1" si="7"/>
        <v>46.437383297288427</v>
      </c>
      <c r="I11" s="131">
        <f t="shared" ca="1" si="8"/>
        <v>46.449015788908952</v>
      </c>
      <c r="J11" s="131">
        <f t="shared" ca="1" si="9"/>
        <v>46.286753501166878</v>
      </c>
      <c r="K11" s="131">
        <f t="shared" ca="1" si="10"/>
        <v>46.283828668045949</v>
      </c>
    </row>
    <row r="12" spans="1:12" x14ac:dyDescent="0.25">
      <c r="A12" s="59">
        <v>3</v>
      </c>
      <c r="B12" s="131">
        <f t="shared" ca="1" si="1"/>
        <v>46.384649487222092</v>
      </c>
      <c r="C12" s="131">
        <f t="shared" ca="1" si="2"/>
        <v>46.311152053917112</v>
      </c>
      <c r="D12" s="131">
        <f t="shared" ca="1" si="3"/>
        <v>46.492918027233927</v>
      </c>
      <c r="E12" s="131">
        <f t="shared" ca="1" si="4"/>
        <v>46.6254967387123</v>
      </c>
      <c r="F12" s="131">
        <f t="shared" ca="1" si="5"/>
        <v>46.500155453551933</v>
      </c>
      <c r="G12" s="131">
        <f t="shared" ca="1" si="6"/>
        <v>46.455335274819411</v>
      </c>
      <c r="H12" s="131">
        <f t="shared" ca="1" si="7"/>
        <v>46.654235787346167</v>
      </c>
      <c r="I12" s="131">
        <f t="shared" ca="1" si="8"/>
        <v>46.545000320762853</v>
      </c>
      <c r="J12" s="131">
        <f t="shared" ca="1" si="9"/>
        <v>46.277305640452646</v>
      </c>
      <c r="K12" s="131">
        <f t="shared" ca="1" si="10"/>
        <v>46.470113296061221</v>
      </c>
    </row>
    <row r="13" spans="1:12" x14ac:dyDescent="0.25">
      <c r="A13" s="59">
        <v>4</v>
      </c>
      <c r="B13" s="131">
        <f t="shared" ca="1" si="1"/>
        <v>46.543453049665061</v>
      </c>
      <c r="C13" s="131">
        <f t="shared" ca="1" si="2"/>
        <v>46.367860975959985</v>
      </c>
      <c r="D13" s="131">
        <f t="shared" ca="1" si="3"/>
        <v>46.459379174044692</v>
      </c>
      <c r="E13" s="131">
        <f t="shared" ca="1" si="4"/>
        <v>46.809151449956993</v>
      </c>
      <c r="F13" s="131">
        <f t="shared" ca="1" si="5"/>
        <v>46.639517630560661</v>
      </c>
      <c r="G13" s="131">
        <f t="shared" ca="1" si="6"/>
        <v>46.465737436037585</v>
      </c>
      <c r="H13" s="131">
        <f t="shared" ca="1" si="7"/>
        <v>46.783004237857114</v>
      </c>
      <c r="I13" s="131">
        <f t="shared" ca="1" si="8"/>
        <v>46.766653734090838</v>
      </c>
      <c r="J13" s="131">
        <f t="shared" ca="1" si="9"/>
        <v>46.367554803518196</v>
      </c>
      <c r="K13" s="131">
        <f t="shared" ca="1" si="10"/>
        <v>46.340575406418758</v>
      </c>
    </row>
    <row r="14" spans="1:12" x14ac:dyDescent="0.25">
      <c r="A14" s="59">
        <v>5</v>
      </c>
      <c r="B14" s="131">
        <f t="shared" ca="1" si="1"/>
        <v>46.593649983762262</v>
      </c>
      <c r="C14" s="131">
        <f t="shared" ca="1" si="2"/>
        <v>46.26961042433944</v>
      </c>
      <c r="D14" s="131">
        <f t="shared" ca="1" si="3"/>
        <v>46.640238543167527</v>
      </c>
      <c r="E14" s="131">
        <f t="shared" ca="1" si="4"/>
        <v>47.226412556275172</v>
      </c>
      <c r="F14" s="131">
        <f t="shared" ca="1" si="5"/>
        <v>46.841648951205777</v>
      </c>
      <c r="G14" s="131">
        <f t="shared" ca="1" si="6"/>
        <v>46.594561941488131</v>
      </c>
      <c r="H14" s="131">
        <f t="shared" ca="1" si="7"/>
        <v>46.841089746493999</v>
      </c>
      <c r="I14" s="131">
        <f t="shared" ca="1" si="8"/>
        <v>46.763724046873413</v>
      </c>
      <c r="J14" s="131">
        <f t="shared" ca="1" si="9"/>
        <v>46.452124211095402</v>
      </c>
      <c r="K14" s="131">
        <f t="shared" ca="1" si="10"/>
        <v>46.484694856226689</v>
      </c>
    </row>
    <row r="15" spans="1:12" x14ac:dyDescent="0.25">
      <c r="A15" s="59">
        <v>6</v>
      </c>
      <c r="B15" s="131">
        <f t="shared" ca="1" si="1"/>
        <v>46.910088427175268</v>
      </c>
      <c r="C15" s="131">
        <f t="shared" ca="1" si="2"/>
        <v>46.503479895142711</v>
      </c>
      <c r="D15" s="131">
        <f t="shared" ca="1" si="3"/>
        <v>46.901905452862231</v>
      </c>
      <c r="E15" s="131">
        <f t="shared" ca="1" si="4"/>
        <v>47.282942695426385</v>
      </c>
      <c r="F15" s="131">
        <f t="shared" ca="1" si="5"/>
        <v>46.872073412521665</v>
      </c>
      <c r="G15" s="131">
        <f t="shared" ca="1" si="6"/>
        <v>46.895575799900833</v>
      </c>
      <c r="H15" s="131">
        <f t="shared" ca="1" si="7"/>
        <v>46.79048098391273</v>
      </c>
      <c r="I15" s="131">
        <f t="shared" ca="1" si="8"/>
        <v>46.914740717178098</v>
      </c>
      <c r="J15" s="131">
        <f t="shared" ca="1" si="9"/>
        <v>46.579392734034116</v>
      </c>
      <c r="K15" s="131">
        <f t="shared" ca="1" si="10"/>
        <v>46.534850303415773</v>
      </c>
    </row>
    <row r="16" spans="1:12" x14ac:dyDescent="0.25">
      <c r="A16" s="59">
        <v>7</v>
      </c>
      <c r="B16" s="131">
        <f t="shared" ca="1" si="1"/>
        <v>47.095127017424154</v>
      </c>
      <c r="C16" s="131">
        <f t="shared" ca="1" si="2"/>
        <v>46.478275870056208</v>
      </c>
      <c r="D16" s="131">
        <f t="shared" ca="1" si="3"/>
        <v>46.868917488802502</v>
      </c>
      <c r="E16" s="131">
        <f t="shared" ca="1" si="4"/>
        <v>47.432972533492233</v>
      </c>
      <c r="F16" s="131">
        <f t="shared" ca="1" si="5"/>
        <v>46.930804865068907</v>
      </c>
      <c r="G16" s="131">
        <f t="shared" ca="1" si="6"/>
        <v>46.992106777591879</v>
      </c>
      <c r="H16" s="131">
        <f t="shared" ca="1" si="7"/>
        <v>46.910638752901761</v>
      </c>
      <c r="I16" s="131">
        <f t="shared" ca="1" si="8"/>
        <v>47.038036031886413</v>
      </c>
      <c r="J16" s="131">
        <f t="shared" ca="1" si="9"/>
        <v>46.89242095654901</v>
      </c>
      <c r="K16" s="131">
        <f t="shared" ca="1" si="10"/>
        <v>46.600932971356983</v>
      </c>
    </row>
    <row r="17" spans="1:11" x14ac:dyDescent="0.25">
      <c r="A17" s="59">
        <v>8</v>
      </c>
      <c r="B17" s="131">
        <f t="shared" ca="1" si="1"/>
        <v>47.129726622204714</v>
      </c>
      <c r="C17" s="131">
        <f t="shared" ca="1" si="2"/>
        <v>46.547960443923998</v>
      </c>
      <c r="D17" s="131">
        <f t="shared" ca="1" si="3"/>
        <v>47.026392624886242</v>
      </c>
      <c r="E17" s="131">
        <f t="shared" ca="1" si="4"/>
        <v>47.481367754163834</v>
      </c>
      <c r="F17" s="131">
        <f t="shared" ca="1" si="5"/>
        <v>46.978085459843939</v>
      </c>
      <c r="G17" s="131">
        <f t="shared" ca="1" si="6"/>
        <v>47.193877985739867</v>
      </c>
      <c r="H17" s="131">
        <f t="shared" ca="1" si="7"/>
        <v>47.217767550451576</v>
      </c>
      <c r="I17" s="131">
        <f t="shared" ca="1" si="8"/>
        <v>47.228314603985361</v>
      </c>
      <c r="J17" s="131">
        <f t="shared" ca="1" si="9"/>
        <v>46.938928597577124</v>
      </c>
      <c r="K17" s="131">
        <f t="shared" ca="1" si="10"/>
        <v>46.8131192963153</v>
      </c>
    </row>
    <row r="18" spans="1:11" x14ac:dyDescent="0.25">
      <c r="A18" s="59">
        <v>9</v>
      </c>
      <c r="B18" s="131">
        <f t="shared" ca="1" si="1"/>
        <v>47.331709739321767</v>
      </c>
      <c r="C18" s="131">
        <f t="shared" ca="1" si="2"/>
        <v>46.499822092725154</v>
      </c>
      <c r="D18" s="131">
        <f t="shared" ca="1" si="3"/>
        <v>47.101469836094168</v>
      </c>
      <c r="E18" s="131">
        <f t="shared" ca="1" si="4"/>
        <v>47.618286987957795</v>
      </c>
      <c r="F18" s="131">
        <f t="shared" ca="1" si="5"/>
        <v>47.161172564234676</v>
      </c>
      <c r="G18" s="131">
        <f t="shared" ca="1" si="6"/>
        <v>47.169544488225782</v>
      </c>
      <c r="H18" s="131">
        <f t="shared" ca="1" si="7"/>
        <v>47.302746669735505</v>
      </c>
      <c r="I18" s="131">
        <f t="shared" ca="1" si="8"/>
        <v>47.487056251484844</v>
      </c>
      <c r="J18" s="131">
        <f t="shared" ca="1" si="9"/>
        <v>47.183168252781499</v>
      </c>
      <c r="K18" s="131">
        <f t="shared" ca="1" si="10"/>
        <v>46.964926008877327</v>
      </c>
    </row>
    <row r="19" spans="1:11" x14ac:dyDescent="0.25">
      <c r="A19" s="59">
        <v>10</v>
      </c>
      <c r="B19" s="131">
        <f t="shared" ca="1" si="1"/>
        <v>47.665437224899627</v>
      </c>
      <c r="C19" s="131">
        <f t="shared" ca="1" si="2"/>
        <v>46.641408720582071</v>
      </c>
      <c r="D19" s="131">
        <f t="shared" ca="1" si="3"/>
        <v>47.216825576073624</v>
      </c>
      <c r="E19" s="131">
        <f t="shared" ca="1" si="4"/>
        <v>47.697375611974842</v>
      </c>
      <c r="F19" s="131">
        <f t="shared" ca="1" si="5"/>
        <v>47.169448858659749</v>
      </c>
      <c r="G19" s="131">
        <f t="shared" ca="1" si="6"/>
        <v>47.219099357352249</v>
      </c>
      <c r="H19" s="131">
        <f t="shared" ca="1" si="7"/>
        <v>47.491811839826646</v>
      </c>
      <c r="I19" s="131">
        <f t="shared" ca="1" si="8"/>
        <v>47.747942474389326</v>
      </c>
      <c r="J19" s="131">
        <f t="shared" ca="1" si="9"/>
        <v>47.311495114473232</v>
      </c>
      <c r="K19" s="131">
        <f t="shared" ca="1" si="10"/>
        <v>47.265650648238527</v>
      </c>
    </row>
    <row r="20" spans="1:11" x14ac:dyDescent="0.25">
      <c r="A20" s="59">
        <v>11</v>
      </c>
      <c r="B20" s="131">
        <f t="shared" ca="1" si="1"/>
        <v>47.773820624397246</v>
      </c>
      <c r="C20" s="131">
        <f t="shared" ca="1" si="2"/>
        <v>46.664738968006837</v>
      </c>
      <c r="D20" s="131">
        <f t="shared" ca="1" si="3"/>
        <v>47.210497279957849</v>
      </c>
      <c r="E20" s="131">
        <f t="shared" ca="1" si="4"/>
        <v>47.922426110167471</v>
      </c>
      <c r="F20" s="131">
        <f t="shared" ca="1" si="5"/>
        <v>47.279682844728214</v>
      </c>
      <c r="G20" s="131">
        <f t="shared" ca="1" si="6"/>
        <v>47.263541581112555</v>
      </c>
      <c r="H20" s="131">
        <f t="shared" ca="1" si="7"/>
        <v>47.623837203063857</v>
      </c>
      <c r="I20" s="131">
        <f t="shared" ca="1" si="8"/>
        <v>47.905621244159761</v>
      </c>
      <c r="J20" s="131">
        <f t="shared" ca="1" si="9"/>
        <v>47.497453188428949</v>
      </c>
      <c r="K20" s="131">
        <f t="shared" ca="1" si="10"/>
        <v>47.301694953402055</v>
      </c>
    </row>
    <row r="21" spans="1:11" x14ac:dyDescent="0.25">
      <c r="A21" s="59">
        <v>12</v>
      </c>
      <c r="B21" s="131">
        <f t="shared" ca="1" si="1"/>
        <v>47.799554222600371</v>
      </c>
      <c r="C21" s="131">
        <f t="shared" ca="1" si="2"/>
        <v>46.706769687940039</v>
      </c>
      <c r="D21" s="131">
        <f t="shared" ca="1" si="3"/>
        <v>47.423449032766982</v>
      </c>
      <c r="E21" s="131">
        <f t="shared" ca="1" si="4"/>
        <v>47.980144579448165</v>
      </c>
      <c r="F21" s="131">
        <f t="shared" ca="1" si="5"/>
        <v>47.152749367487708</v>
      </c>
      <c r="G21" s="131">
        <f ca="1">G20*EXP(Mu*Delta_t+Sigma*SQRT(Delta_t)*_xlfn.NORM.S.INV(RAND()))</f>
        <v>47.372699290496541</v>
      </c>
      <c r="H21" s="131">
        <f t="shared" ca="1" si="7"/>
        <v>47.895197478095582</v>
      </c>
      <c r="I21" s="131">
        <f t="shared" ca="1" si="8"/>
        <v>48.319574975791916</v>
      </c>
      <c r="J21" s="131">
        <f t="shared" ca="1" si="9"/>
        <v>47.660506260229027</v>
      </c>
      <c r="K21" s="131">
        <f t="shared" ca="1" si="10"/>
        <v>47.405249332289969</v>
      </c>
    </row>
    <row r="22" spans="1:11" x14ac:dyDescent="0.25">
      <c r="A22" s="59">
        <v>13</v>
      </c>
      <c r="B22" s="131">
        <f t="shared" ca="1" si="1"/>
        <v>47.881136335875304</v>
      </c>
      <c r="C22" s="131">
        <f t="shared" ca="1" si="2"/>
        <v>46.881751436270285</v>
      </c>
      <c r="D22" s="131">
        <f t="shared" ca="1" si="3"/>
        <v>47.593489491102865</v>
      </c>
      <c r="E22" s="131">
        <f t="shared" ca="1" si="4"/>
        <v>48.205344156529982</v>
      </c>
      <c r="F22" s="131">
        <f t="shared" ca="1" si="5"/>
        <v>47.306263189984911</v>
      </c>
      <c r="G22" s="131">
        <f t="shared" ca="1" si="6"/>
        <v>47.311763559467323</v>
      </c>
      <c r="H22" s="131">
        <f t="shared" ca="1" si="7"/>
        <v>47.808121306063349</v>
      </c>
      <c r="I22" s="131">
        <f t="shared" ca="1" si="8"/>
        <v>48.343581557911619</v>
      </c>
      <c r="J22" s="131">
        <f t="shared" ca="1" si="9"/>
        <v>47.700093106418109</v>
      </c>
      <c r="K22" s="131">
        <f t="shared" ca="1" si="10"/>
        <v>47.581282584311531</v>
      </c>
    </row>
    <row r="23" spans="1:11" x14ac:dyDescent="0.25">
      <c r="A23" s="59">
        <v>14</v>
      </c>
      <c r="B23" s="131">
        <f t="shared" ca="1" si="1"/>
        <v>48.030105739315793</v>
      </c>
      <c r="C23" s="131">
        <f t="shared" ca="1" si="2"/>
        <v>46.853733906331243</v>
      </c>
      <c r="D23" s="131">
        <f t="shared" ca="1" si="3"/>
        <v>47.533609638177253</v>
      </c>
      <c r="E23" s="131">
        <f t="shared" ca="1" si="4"/>
        <v>48.193908016584842</v>
      </c>
      <c r="F23" s="131">
        <f t="shared" ca="1" si="5"/>
        <v>47.476235300935102</v>
      </c>
      <c r="G23" s="131">
        <f t="shared" ca="1" si="6"/>
        <v>47.425183490795803</v>
      </c>
      <c r="H23" s="131">
        <f t="shared" ca="1" si="7"/>
        <v>47.975101066078032</v>
      </c>
      <c r="I23" s="131">
        <f t="shared" ca="1" si="8"/>
        <v>48.247075611261671</v>
      </c>
      <c r="J23" s="131">
        <f t="shared" ca="1" si="9"/>
        <v>48.027786699533742</v>
      </c>
      <c r="K23" s="131">
        <f t="shared" ca="1" si="10"/>
        <v>47.726431654872904</v>
      </c>
    </row>
    <row r="24" spans="1:11" x14ac:dyDescent="0.25">
      <c r="A24" s="59">
        <v>15</v>
      </c>
      <c r="B24" s="131">
        <f t="shared" ca="1" si="1"/>
        <v>47.918418738773937</v>
      </c>
      <c r="C24" s="131">
        <f t="shared" ca="1" si="2"/>
        <v>46.948645744580077</v>
      </c>
      <c r="D24" s="131">
        <f t="shared" ca="1" si="3"/>
        <v>47.698747380246417</v>
      </c>
      <c r="E24" s="131">
        <f t="shared" ca="1" si="4"/>
        <v>48.427013269819092</v>
      </c>
      <c r="F24" s="131">
        <f t="shared" ca="1" si="5"/>
        <v>47.558813686367628</v>
      </c>
      <c r="G24" s="131">
        <f t="shared" ca="1" si="6"/>
        <v>47.494737278347287</v>
      </c>
      <c r="H24" s="131">
        <f t="shared" ca="1" si="7"/>
        <v>47.99621324364167</v>
      </c>
      <c r="I24" s="131">
        <f t="shared" ca="1" si="8"/>
        <v>48.543668445420366</v>
      </c>
      <c r="J24" s="131">
        <f t="shared" ca="1" si="9"/>
        <v>48.319789667236527</v>
      </c>
      <c r="K24" s="131">
        <f t="shared" ca="1" si="10"/>
        <v>47.877999274969724</v>
      </c>
    </row>
    <row r="25" spans="1:11" x14ac:dyDescent="0.25">
      <c r="A25" s="59">
        <v>16</v>
      </c>
      <c r="B25" s="131">
        <f t="shared" ca="1" si="1"/>
        <v>47.893618336559882</v>
      </c>
      <c r="C25" s="131">
        <f t="shared" ca="1" si="2"/>
        <v>47.178946455336657</v>
      </c>
      <c r="D25" s="131">
        <f t="shared" ca="1" si="3"/>
        <v>47.951112777330948</v>
      </c>
      <c r="E25" s="131">
        <f t="shared" ca="1" si="4"/>
        <v>48.578905071601518</v>
      </c>
      <c r="F25" s="131">
        <f t="shared" ca="1" si="5"/>
        <v>47.626026820772751</v>
      </c>
      <c r="G25" s="131">
        <f t="shared" ca="1" si="6"/>
        <v>47.808713049069517</v>
      </c>
      <c r="H25" s="131">
        <f t="shared" ca="1" si="7"/>
        <v>48.164876962011881</v>
      </c>
      <c r="I25" s="131">
        <f t="shared" ca="1" si="8"/>
        <v>48.469435192182218</v>
      </c>
      <c r="J25" s="131">
        <f t="shared" ca="1" si="9"/>
        <v>48.429121839741093</v>
      </c>
      <c r="K25" s="131">
        <f t="shared" ca="1" si="10"/>
        <v>48.282485948950026</v>
      </c>
    </row>
    <row r="26" spans="1:11" outlineLevel="1" x14ac:dyDescent="0.25">
      <c r="A26" s="59">
        <v>17</v>
      </c>
      <c r="B26" s="131">
        <f t="shared" ca="1" si="1"/>
        <v>48.03670885067762</v>
      </c>
      <c r="C26" s="131">
        <f t="shared" ca="1" si="2"/>
        <v>47.19604248328573</v>
      </c>
      <c r="D26" s="131">
        <f t="shared" ca="1" si="3"/>
        <v>47.979788178364778</v>
      </c>
      <c r="E26" s="131">
        <f t="shared" ca="1" si="4"/>
        <v>48.517478364812582</v>
      </c>
      <c r="F26" s="131">
        <f t="shared" ca="1" si="5"/>
        <v>47.671246618959664</v>
      </c>
      <c r="G26" s="131">
        <f t="shared" ca="1" si="6"/>
        <v>47.87637021107215</v>
      </c>
      <c r="H26" s="131">
        <f t="shared" ca="1" si="7"/>
        <v>48.388337004351506</v>
      </c>
      <c r="I26" s="131">
        <f t="shared" ca="1" si="8"/>
        <v>48.870200772628657</v>
      </c>
      <c r="J26" s="131">
        <f t="shared" ca="1" si="9"/>
        <v>48.393323832583761</v>
      </c>
      <c r="K26" s="131">
        <f t="shared" ca="1" si="10"/>
        <v>48.452343323783317</v>
      </c>
    </row>
    <row r="27" spans="1:11" outlineLevel="1" x14ac:dyDescent="0.25">
      <c r="A27" s="59">
        <v>18</v>
      </c>
      <c r="B27" s="131">
        <f t="shared" ca="1" si="1"/>
        <v>48.101415697439954</v>
      </c>
      <c r="C27" s="131">
        <f t="shared" ca="1" si="2"/>
        <v>47.30826705474162</v>
      </c>
      <c r="D27" s="131">
        <f t="shared" ca="1" si="3"/>
        <v>47.990757500165508</v>
      </c>
      <c r="E27" s="131">
        <f t="shared" ca="1" si="4"/>
        <v>48.489593435238092</v>
      </c>
      <c r="F27" s="131">
        <f t="shared" ca="1" si="5"/>
        <v>47.622011159816715</v>
      </c>
      <c r="G27" s="131">
        <f t="shared" ca="1" si="6"/>
        <v>48.037807126361997</v>
      </c>
      <c r="H27" s="131">
        <f t="shared" ca="1" si="7"/>
        <v>48.402787823048754</v>
      </c>
      <c r="I27" s="131">
        <f t="shared" ca="1" si="8"/>
        <v>48.957802485064441</v>
      </c>
      <c r="J27" s="131">
        <f t="shared" ca="1" si="9"/>
        <v>48.346005310713878</v>
      </c>
      <c r="K27" s="131">
        <f t="shared" ca="1" si="10"/>
        <v>48.517668731466713</v>
      </c>
    </row>
    <row r="28" spans="1:11" outlineLevel="1" x14ac:dyDescent="0.25">
      <c r="A28" s="59">
        <v>19</v>
      </c>
      <c r="B28" s="131">
        <f t="shared" ca="1" si="1"/>
        <v>48.195875624983813</v>
      </c>
      <c r="C28" s="131">
        <f t="shared" ca="1" si="2"/>
        <v>47.403805475079018</v>
      </c>
      <c r="D28" s="131">
        <f t="shared" ca="1" si="3"/>
        <v>48.158618633085197</v>
      </c>
      <c r="E28" s="131">
        <f t="shared" ca="1" si="4"/>
        <v>48.531598688844085</v>
      </c>
      <c r="F28" s="131">
        <f t="shared" ca="1" si="5"/>
        <v>47.771939147036342</v>
      </c>
      <c r="G28" s="131">
        <f t="shared" ca="1" si="6"/>
        <v>48.144712672996718</v>
      </c>
      <c r="H28" s="131">
        <f t="shared" ca="1" si="7"/>
        <v>48.519879206210931</v>
      </c>
      <c r="I28" s="131">
        <f t="shared" ca="1" si="8"/>
        <v>49.130747909699878</v>
      </c>
      <c r="J28" s="131">
        <f t="shared" ca="1" si="9"/>
        <v>48.358233027308721</v>
      </c>
      <c r="K28" s="131">
        <f t="shared" ca="1" si="10"/>
        <v>48.358216799772038</v>
      </c>
    </row>
    <row r="29" spans="1:11" outlineLevel="1" x14ac:dyDescent="0.25">
      <c r="A29" s="59">
        <v>20</v>
      </c>
      <c r="B29" s="131">
        <f t="shared" ca="1" si="1"/>
        <v>48.370340172127761</v>
      </c>
      <c r="C29" s="131">
        <f t="shared" ca="1" si="2"/>
        <v>47.579665944073881</v>
      </c>
      <c r="D29" s="131">
        <f t="shared" ca="1" si="3"/>
        <v>48.240855987042941</v>
      </c>
      <c r="E29" s="131">
        <f t="shared" ca="1" si="4"/>
        <v>48.566137821820384</v>
      </c>
      <c r="F29" s="131">
        <f t="shared" ca="1" si="5"/>
        <v>47.961282698765409</v>
      </c>
      <c r="G29" s="131">
        <f t="shared" ca="1" si="6"/>
        <v>48.164566568251274</v>
      </c>
      <c r="H29" s="131">
        <f t="shared" ca="1" si="7"/>
        <v>48.582997567184869</v>
      </c>
      <c r="I29" s="131">
        <f t="shared" ca="1" si="8"/>
        <v>49.274177875833814</v>
      </c>
      <c r="J29" s="131">
        <f t="shared" ca="1" si="9"/>
        <v>48.491168547507947</v>
      </c>
      <c r="K29" s="131">
        <f t="shared" ca="1" si="10"/>
        <v>48.534982816719484</v>
      </c>
    </row>
    <row r="30" spans="1:11" outlineLevel="1" x14ac:dyDescent="0.25">
      <c r="A30" s="59">
        <v>21</v>
      </c>
      <c r="B30" s="131">
        <f t="shared" ca="1" si="1"/>
        <v>48.361803286348902</v>
      </c>
      <c r="C30" s="131">
        <f t="shared" ca="1" si="2"/>
        <v>47.778181094446722</v>
      </c>
      <c r="D30" s="131">
        <f t="shared" ca="1" si="3"/>
        <v>48.348485796415567</v>
      </c>
      <c r="E30" s="131">
        <f t="shared" ca="1" si="4"/>
        <v>48.632373928252633</v>
      </c>
      <c r="F30" s="131">
        <f t="shared" ca="1" si="5"/>
        <v>48.172413965511602</v>
      </c>
      <c r="G30" s="131">
        <f t="shared" ca="1" si="6"/>
        <v>48.301337290936146</v>
      </c>
      <c r="H30" s="131">
        <f t="shared" ca="1" si="7"/>
        <v>48.636063646357741</v>
      </c>
      <c r="I30" s="131">
        <f t="shared" ca="1" si="8"/>
        <v>49.245868203842214</v>
      </c>
      <c r="J30" s="131">
        <f t="shared" ca="1" si="9"/>
        <v>48.85806885641982</v>
      </c>
      <c r="K30" s="131">
        <f t="shared" ca="1" si="10"/>
        <v>48.700696771523297</v>
      </c>
    </row>
    <row r="31" spans="1:11" outlineLevel="1" x14ac:dyDescent="0.25">
      <c r="A31" s="59">
        <v>22</v>
      </c>
      <c r="B31" s="131">
        <f t="shared" ca="1" si="1"/>
        <v>48.569042910598384</v>
      </c>
      <c r="C31" s="131">
        <f t="shared" ca="1" si="2"/>
        <v>47.859353403417678</v>
      </c>
      <c r="D31" s="131">
        <f t="shared" ca="1" si="3"/>
        <v>48.387403344003751</v>
      </c>
      <c r="E31" s="131">
        <f t="shared" ca="1" si="4"/>
        <v>48.742235962263699</v>
      </c>
      <c r="F31" s="131">
        <f t="shared" ca="1" si="5"/>
        <v>48.214405642965112</v>
      </c>
      <c r="G31" s="131">
        <f t="shared" ca="1" si="6"/>
        <v>48.490066256771271</v>
      </c>
      <c r="H31" s="131">
        <f t="shared" ca="1" si="7"/>
        <v>48.83836804889377</v>
      </c>
      <c r="I31" s="131">
        <f t="shared" ca="1" si="8"/>
        <v>49.329189915763443</v>
      </c>
      <c r="J31" s="131">
        <f t="shared" ca="1" si="9"/>
        <v>49.006298404890245</v>
      </c>
      <c r="K31" s="131">
        <f t="shared" ca="1" si="10"/>
        <v>48.831466158643508</v>
      </c>
    </row>
    <row r="32" spans="1:11" outlineLevel="1" x14ac:dyDescent="0.25">
      <c r="A32" s="59">
        <v>23</v>
      </c>
      <c r="B32" s="131">
        <f t="shared" ca="1" si="1"/>
        <v>48.818946222562623</v>
      </c>
      <c r="C32" s="131">
        <f t="shared" ca="1" si="2"/>
        <v>47.867277142453773</v>
      </c>
      <c r="D32" s="131">
        <f t="shared" ca="1" si="3"/>
        <v>48.39103907051453</v>
      </c>
      <c r="E32" s="131">
        <f t="shared" ca="1" si="4"/>
        <v>48.903652488932678</v>
      </c>
      <c r="F32" s="131">
        <f t="shared" ca="1" si="5"/>
        <v>48.381937716821213</v>
      </c>
      <c r="G32" s="131">
        <f t="shared" ca="1" si="6"/>
        <v>48.505710748285289</v>
      </c>
      <c r="H32" s="131">
        <f t="shared" ca="1" si="7"/>
        <v>49.020629161777322</v>
      </c>
      <c r="I32" s="131">
        <f t="shared" ca="1" si="8"/>
        <v>49.396626893799969</v>
      </c>
      <c r="J32" s="131">
        <f t="shared" ca="1" si="9"/>
        <v>49.268401012568937</v>
      </c>
      <c r="K32" s="131">
        <f t="shared" ca="1" si="10"/>
        <v>48.933339872929402</v>
      </c>
    </row>
    <row r="33" spans="1:11" outlineLevel="1" x14ac:dyDescent="0.25">
      <c r="A33" s="59">
        <v>24</v>
      </c>
      <c r="B33" s="131">
        <f t="shared" ca="1" si="1"/>
        <v>48.902973602851993</v>
      </c>
      <c r="C33" s="131">
        <f t="shared" ca="1" si="2"/>
        <v>48.084202412824126</v>
      </c>
      <c r="D33" s="131">
        <f t="shared" ca="1" si="3"/>
        <v>48.426591150492541</v>
      </c>
      <c r="E33" s="131">
        <f t="shared" ca="1" si="4"/>
        <v>48.955337444196232</v>
      </c>
      <c r="F33" s="131">
        <f t="shared" ca="1" si="5"/>
        <v>48.402452928523651</v>
      </c>
      <c r="G33" s="131">
        <f t="shared" ca="1" si="6"/>
        <v>48.650090108008207</v>
      </c>
      <c r="H33" s="131">
        <f t="shared" ca="1" si="7"/>
        <v>49.262005037246624</v>
      </c>
      <c r="I33" s="131">
        <f t="shared" ca="1" si="8"/>
        <v>49.534415142872668</v>
      </c>
      <c r="J33" s="131">
        <f t="shared" ca="1" si="9"/>
        <v>49.40496079029932</v>
      </c>
      <c r="K33" s="131">
        <f t="shared" ca="1" si="10"/>
        <v>49.073920319300058</v>
      </c>
    </row>
    <row r="34" spans="1:11" outlineLevel="1" x14ac:dyDescent="0.25">
      <c r="A34" s="59">
        <v>25</v>
      </c>
      <c r="B34" s="131">
        <f t="shared" ca="1" si="1"/>
        <v>49.138487602348206</v>
      </c>
      <c r="C34" s="131">
        <f t="shared" ca="1" si="2"/>
        <v>48.197093976412155</v>
      </c>
      <c r="D34" s="131">
        <f t="shared" ca="1" si="3"/>
        <v>48.497389849449242</v>
      </c>
      <c r="E34" s="131">
        <f t="shared" ca="1" si="4"/>
        <v>49.147552738136653</v>
      </c>
      <c r="F34" s="131">
        <f t="shared" ca="1" si="5"/>
        <v>48.441261409933141</v>
      </c>
      <c r="G34" s="131">
        <f t="shared" ca="1" si="6"/>
        <v>48.653538441078837</v>
      </c>
      <c r="H34" s="131">
        <f t="shared" ca="1" si="7"/>
        <v>49.461656706402444</v>
      </c>
      <c r="I34" s="131">
        <f t="shared" ca="1" si="8"/>
        <v>49.630090397400195</v>
      </c>
      <c r="J34" s="131">
        <f t="shared" ca="1" si="9"/>
        <v>49.605467212175128</v>
      </c>
      <c r="K34" s="131">
        <f t="shared" ca="1" si="10"/>
        <v>49.163628421193678</v>
      </c>
    </row>
    <row r="35" spans="1:11" outlineLevel="1" x14ac:dyDescent="0.25">
      <c r="A35" s="59">
        <v>26</v>
      </c>
      <c r="B35" s="131">
        <f t="shared" ca="1" si="1"/>
        <v>49.344974851177334</v>
      </c>
      <c r="C35" s="131">
        <f t="shared" ca="1" si="2"/>
        <v>48.27952896604446</v>
      </c>
      <c r="D35" s="131">
        <f t="shared" ca="1" si="3"/>
        <v>49.018898085218247</v>
      </c>
      <c r="E35" s="131">
        <f t="shared" ca="1" si="4"/>
        <v>49.455285557897511</v>
      </c>
      <c r="F35" s="131">
        <f t="shared" ca="1" si="5"/>
        <v>48.422596512157376</v>
      </c>
      <c r="G35" s="131">
        <f t="shared" ca="1" si="6"/>
        <v>48.687071169639324</v>
      </c>
      <c r="H35" s="131">
        <f t="shared" ca="1" si="7"/>
        <v>49.52159646166119</v>
      </c>
      <c r="I35" s="131">
        <f t="shared" ca="1" si="8"/>
        <v>49.813240660333499</v>
      </c>
      <c r="J35" s="131">
        <f t="shared" ca="1" si="9"/>
        <v>49.870871658961406</v>
      </c>
      <c r="K35" s="131">
        <f t="shared" ca="1" si="10"/>
        <v>49.297045974400923</v>
      </c>
    </row>
    <row r="36" spans="1:11" outlineLevel="1" x14ac:dyDescent="0.25">
      <c r="A36" s="59">
        <v>27</v>
      </c>
      <c r="B36" s="131">
        <f t="shared" ca="1" si="1"/>
        <v>49.585155249716607</v>
      </c>
      <c r="C36" s="131">
        <f t="shared" ca="1" si="2"/>
        <v>48.36126539289512</v>
      </c>
      <c r="D36" s="131">
        <f t="shared" ca="1" si="3"/>
        <v>49.133518674480655</v>
      </c>
      <c r="E36" s="131">
        <f t="shared" ca="1" si="4"/>
        <v>49.623597280682063</v>
      </c>
      <c r="F36" s="131">
        <f t="shared" ca="1" si="5"/>
        <v>48.518547382044183</v>
      </c>
      <c r="G36" s="131">
        <f t="shared" ca="1" si="6"/>
        <v>48.627816628073063</v>
      </c>
      <c r="H36" s="131">
        <f t="shared" ca="1" si="7"/>
        <v>49.612878211758115</v>
      </c>
      <c r="I36" s="131">
        <f t="shared" ca="1" si="8"/>
        <v>49.755838123857743</v>
      </c>
      <c r="J36" s="131">
        <f t="shared" ca="1" si="9"/>
        <v>50.19695045506316</v>
      </c>
      <c r="K36" s="131">
        <f t="shared" ca="1" si="10"/>
        <v>49.272903809301646</v>
      </c>
    </row>
    <row r="37" spans="1:11" outlineLevel="1" x14ac:dyDescent="0.25">
      <c r="A37" s="59">
        <v>28</v>
      </c>
      <c r="B37" s="131">
        <f t="shared" ca="1" si="1"/>
        <v>49.721133608016238</v>
      </c>
      <c r="C37" s="131">
        <f t="shared" ca="1" si="2"/>
        <v>48.456003536799102</v>
      </c>
      <c r="D37" s="131">
        <f t="shared" ca="1" si="3"/>
        <v>49.200306367453791</v>
      </c>
      <c r="E37" s="131">
        <f t="shared" ca="1" si="4"/>
        <v>49.704090585012288</v>
      </c>
      <c r="F37" s="131">
        <f t="shared" ca="1" si="5"/>
        <v>48.514133654641817</v>
      </c>
      <c r="G37" s="131">
        <f t="shared" ca="1" si="6"/>
        <v>48.557232789224116</v>
      </c>
      <c r="H37" s="131">
        <f t="shared" ca="1" si="7"/>
        <v>49.506017206487414</v>
      </c>
      <c r="I37" s="131">
        <f t="shared" ca="1" si="8"/>
        <v>49.770506328426407</v>
      </c>
      <c r="J37" s="131">
        <f t="shared" ca="1" si="9"/>
        <v>50.403137737798772</v>
      </c>
      <c r="K37" s="131">
        <f t="shared" ca="1" si="10"/>
        <v>49.303861397988356</v>
      </c>
    </row>
    <row r="38" spans="1:11" outlineLevel="1" x14ac:dyDescent="0.25">
      <c r="A38" s="59">
        <v>29</v>
      </c>
      <c r="B38" s="131">
        <f t="shared" ca="1" si="1"/>
        <v>49.755028042761332</v>
      </c>
      <c r="C38" s="131">
        <f t="shared" ca="1" si="2"/>
        <v>48.549136103527147</v>
      </c>
      <c r="D38" s="131">
        <f t="shared" ca="1" si="3"/>
        <v>49.289090629375089</v>
      </c>
      <c r="E38" s="131">
        <f t="shared" ca="1" si="4"/>
        <v>49.949851751167223</v>
      </c>
      <c r="F38" s="131">
        <f t="shared" ca="1" si="5"/>
        <v>48.567125399983858</v>
      </c>
      <c r="G38" s="131">
        <f t="shared" ca="1" si="6"/>
        <v>48.573224095680487</v>
      </c>
      <c r="H38" s="131">
        <f t="shared" ca="1" si="7"/>
        <v>49.600229375182181</v>
      </c>
      <c r="I38" s="131">
        <f t="shared" ca="1" si="8"/>
        <v>50.099681397270317</v>
      </c>
      <c r="J38" s="131">
        <f t="shared" ca="1" si="9"/>
        <v>50.632860742729662</v>
      </c>
      <c r="K38" s="131">
        <f t="shared" ca="1" si="10"/>
        <v>49.293393342103485</v>
      </c>
    </row>
    <row r="39" spans="1:11" outlineLevel="1" x14ac:dyDescent="0.25">
      <c r="A39" s="59">
        <v>30</v>
      </c>
      <c r="B39" s="131">
        <f t="shared" ca="1" si="1"/>
        <v>50.003570782332091</v>
      </c>
      <c r="C39" s="131">
        <f t="shared" ca="1" si="2"/>
        <v>48.860299164219654</v>
      </c>
      <c r="D39" s="131">
        <f t="shared" ca="1" si="3"/>
        <v>49.434446564618455</v>
      </c>
      <c r="E39" s="131">
        <f t="shared" ca="1" si="4"/>
        <v>49.83574324072066</v>
      </c>
      <c r="F39" s="131">
        <f t="shared" ca="1" si="5"/>
        <v>48.797126852643032</v>
      </c>
      <c r="G39" s="131">
        <f t="shared" ca="1" si="6"/>
        <v>48.615133440829915</v>
      </c>
      <c r="H39" s="131">
        <f t="shared" ca="1" si="7"/>
        <v>49.642843945443211</v>
      </c>
      <c r="I39" s="131">
        <f t="shared" ca="1" si="8"/>
        <v>50.15662165782944</v>
      </c>
      <c r="J39" s="131">
        <f t="shared" ca="1" si="9"/>
        <v>50.615359838649539</v>
      </c>
      <c r="K39" s="131">
        <f t="shared" ca="1" si="10"/>
        <v>49.411305899730927</v>
      </c>
    </row>
    <row r="40" spans="1:11" outlineLevel="1" x14ac:dyDescent="0.25">
      <c r="A40" s="59">
        <v>31</v>
      </c>
      <c r="B40" s="131">
        <f t="shared" ca="1" si="1"/>
        <v>50.164767996615844</v>
      </c>
      <c r="C40" s="131">
        <f t="shared" ca="1" si="2"/>
        <v>48.922603704876309</v>
      </c>
      <c r="D40" s="131">
        <f t="shared" ca="1" si="3"/>
        <v>49.596407419881182</v>
      </c>
      <c r="E40" s="131">
        <f t="shared" ca="1" si="4"/>
        <v>49.776311640621131</v>
      </c>
      <c r="F40" s="131">
        <f t="shared" ca="1" si="5"/>
        <v>48.890019324176301</v>
      </c>
      <c r="G40" s="131">
        <f t="shared" ca="1" si="6"/>
        <v>48.62652205627812</v>
      </c>
      <c r="H40" s="131">
        <f t="shared" ca="1" si="7"/>
        <v>49.76652396829838</v>
      </c>
      <c r="I40" s="131">
        <f t="shared" ca="1" si="8"/>
        <v>50.363134624649426</v>
      </c>
      <c r="J40" s="131">
        <f t="shared" ca="1" si="9"/>
        <v>50.831524831146247</v>
      </c>
      <c r="K40" s="131">
        <f t="shared" ca="1" si="10"/>
        <v>49.269123287996862</v>
      </c>
    </row>
    <row r="41" spans="1:11" outlineLevel="1" x14ac:dyDescent="0.25">
      <c r="A41" s="59">
        <v>32</v>
      </c>
      <c r="B41" s="131">
        <f t="shared" ca="1" si="1"/>
        <v>50.143121819028508</v>
      </c>
      <c r="C41" s="131">
        <f t="shared" ca="1" si="2"/>
        <v>49.093186852281924</v>
      </c>
      <c r="D41" s="131">
        <f t="shared" ca="1" si="3"/>
        <v>49.784506254431349</v>
      </c>
      <c r="E41" s="131">
        <f t="shared" ca="1" si="4"/>
        <v>49.906871584000179</v>
      </c>
      <c r="F41" s="131">
        <f t="shared" ca="1" si="5"/>
        <v>48.884049440384224</v>
      </c>
      <c r="G41" s="131">
        <f t="shared" ca="1" si="6"/>
        <v>48.854167601626315</v>
      </c>
      <c r="H41" s="131">
        <f t="shared" ca="1" si="7"/>
        <v>49.869760571292232</v>
      </c>
      <c r="I41" s="131">
        <f t="shared" ca="1" si="8"/>
        <v>50.496745429044928</v>
      </c>
      <c r="J41" s="131">
        <f t="shared" ca="1" si="9"/>
        <v>51.022789409245192</v>
      </c>
      <c r="K41" s="131">
        <f t="shared" ca="1" si="10"/>
        <v>49.400479722916216</v>
      </c>
    </row>
    <row r="42" spans="1:11" outlineLevel="1" x14ac:dyDescent="0.25">
      <c r="A42" s="59">
        <v>33</v>
      </c>
      <c r="B42" s="131">
        <f t="shared" ca="1" si="1"/>
        <v>50.175926077399922</v>
      </c>
      <c r="C42" s="131">
        <f t="shared" ca="1" si="2"/>
        <v>49.323105674602367</v>
      </c>
      <c r="D42" s="131">
        <f t="shared" ca="1" si="3"/>
        <v>49.897446283998569</v>
      </c>
      <c r="E42" s="131">
        <f t="shared" ca="1" si="4"/>
        <v>49.90044659350518</v>
      </c>
      <c r="F42" s="131">
        <f t="shared" ca="1" si="5"/>
        <v>49.143657577804547</v>
      </c>
      <c r="G42" s="131">
        <f t="shared" ca="1" si="6"/>
        <v>48.922676394623721</v>
      </c>
      <c r="H42" s="131">
        <f t="shared" ca="1" si="7"/>
        <v>49.902166538324778</v>
      </c>
      <c r="I42" s="131">
        <f t="shared" ca="1" si="8"/>
        <v>50.52356588467817</v>
      </c>
      <c r="J42" s="131">
        <f t="shared" ca="1" si="9"/>
        <v>51.266717740829087</v>
      </c>
      <c r="K42" s="131">
        <f t="shared" ca="1" si="10"/>
        <v>49.359304071487166</v>
      </c>
    </row>
    <row r="43" spans="1:11" outlineLevel="1" x14ac:dyDescent="0.25">
      <c r="A43" s="59">
        <v>34</v>
      </c>
      <c r="B43" s="131">
        <f ca="1">B42*EXP(Mu*Delta_t+Sigma*SQRT(Delta_t)*_xlfn.NORM.S.INV(RAND()))</f>
        <v>50.385717669898014</v>
      </c>
      <c r="C43" s="131">
        <f t="shared" ca="1" si="2"/>
        <v>49.400087550740061</v>
      </c>
      <c r="D43" s="131">
        <f t="shared" ca="1" si="3"/>
        <v>50.06637880382852</v>
      </c>
      <c r="E43" s="131">
        <f t="shared" ca="1" si="4"/>
        <v>50.185956067680557</v>
      </c>
      <c r="F43" s="131">
        <f t="shared" ca="1" si="5"/>
        <v>49.18221417992546</v>
      </c>
      <c r="G43" s="131">
        <f t="shared" ca="1" si="6"/>
        <v>48.929265361717206</v>
      </c>
      <c r="H43" s="131">
        <f t="shared" ca="1" si="7"/>
        <v>50.079879370361972</v>
      </c>
      <c r="I43" s="131">
        <f t="shared" ca="1" si="8"/>
        <v>50.732469001080254</v>
      </c>
      <c r="J43" s="131">
        <f t="shared" ca="1" si="9"/>
        <v>51.43627707243747</v>
      </c>
      <c r="K43" s="131">
        <f t="shared" ca="1" si="10"/>
        <v>49.789548450635891</v>
      </c>
    </row>
    <row r="44" spans="1:11" outlineLevel="1" x14ac:dyDescent="0.25">
      <c r="A44" s="59">
        <v>35</v>
      </c>
      <c r="B44" s="131">
        <f t="shared" ca="1" si="1"/>
        <v>50.56095713717486</v>
      </c>
      <c r="C44" s="131">
        <f t="shared" ca="1" si="2"/>
        <v>49.547396045088171</v>
      </c>
      <c r="D44" s="131">
        <f t="shared" ca="1" si="3"/>
        <v>50.099407059284559</v>
      </c>
      <c r="E44" s="131">
        <f t="shared" ca="1" si="4"/>
        <v>50.453086935535211</v>
      </c>
      <c r="F44" s="131">
        <f t="shared" ca="1" si="5"/>
        <v>49.319703988227836</v>
      </c>
      <c r="G44" s="131">
        <f t="shared" ca="1" si="6"/>
        <v>48.96416522388553</v>
      </c>
      <c r="H44" s="131">
        <f t="shared" ca="1" si="7"/>
        <v>50.432822017425281</v>
      </c>
      <c r="I44" s="131">
        <f t="shared" ca="1" si="8"/>
        <v>50.843736248437231</v>
      </c>
      <c r="J44" s="131">
        <f t="shared" ca="1" si="9"/>
        <v>51.35912041097594</v>
      </c>
      <c r="K44" s="131">
        <f t="shared" ca="1" si="10"/>
        <v>49.980522921532646</v>
      </c>
    </row>
    <row r="45" spans="1:11" outlineLevel="1" x14ac:dyDescent="0.25">
      <c r="A45" s="59">
        <v>36</v>
      </c>
      <c r="B45" s="131">
        <f t="shared" ca="1" si="1"/>
        <v>50.938290639752559</v>
      </c>
      <c r="C45" s="131">
        <f t="shared" ca="1" si="2"/>
        <v>49.554740159748007</v>
      </c>
      <c r="D45" s="131">
        <f t="shared" ca="1" si="3"/>
        <v>50.497222646004786</v>
      </c>
      <c r="E45" s="131">
        <f t="shared" ca="1" si="4"/>
        <v>50.55976769047659</v>
      </c>
      <c r="F45" s="131">
        <f t="shared" ca="1" si="5"/>
        <v>49.446363583672316</v>
      </c>
      <c r="G45" s="131">
        <f t="shared" ca="1" si="6"/>
        <v>49.176598004495133</v>
      </c>
      <c r="H45" s="131">
        <f t="shared" ca="1" si="7"/>
        <v>50.544694034658448</v>
      </c>
      <c r="I45" s="131">
        <f t="shared" ca="1" si="8"/>
        <v>51.055787742275818</v>
      </c>
      <c r="J45" s="131">
        <f t="shared" ca="1" si="9"/>
        <v>51.557252093859084</v>
      </c>
      <c r="K45" s="131">
        <f t="shared" ca="1" si="10"/>
        <v>50.025257687042355</v>
      </c>
    </row>
    <row r="46" spans="1:11" outlineLevel="1" x14ac:dyDescent="0.25">
      <c r="A46" s="59">
        <v>37</v>
      </c>
      <c r="B46" s="131">
        <f t="shared" ca="1" si="1"/>
        <v>51.111655299300963</v>
      </c>
      <c r="C46" s="131">
        <f t="shared" ca="1" si="2"/>
        <v>49.568285453380668</v>
      </c>
      <c r="D46" s="131">
        <f t="shared" ca="1" si="3"/>
        <v>50.704608263204811</v>
      </c>
      <c r="E46" s="131">
        <f t="shared" ca="1" si="4"/>
        <v>50.81499079544664</v>
      </c>
      <c r="F46" s="131">
        <f t="shared" ca="1" si="5"/>
        <v>49.731566375240398</v>
      </c>
      <c r="G46" s="131">
        <f t="shared" ca="1" si="6"/>
        <v>49.076375119084219</v>
      </c>
      <c r="H46" s="131">
        <f t="shared" ca="1" si="7"/>
        <v>50.82449718771398</v>
      </c>
      <c r="I46" s="131">
        <f t="shared" ca="1" si="8"/>
        <v>51.053375392838369</v>
      </c>
      <c r="J46" s="131">
        <f t="shared" ca="1" si="9"/>
        <v>51.636577907749526</v>
      </c>
      <c r="K46" s="131">
        <f t="shared" ca="1" si="10"/>
        <v>50.249516604803468</v>
      </c>
    </row>
    <row r="47" spans="1:11" outlineLevel="1" x14ac:dyDescent="0.25">
      <c r="A47" s="59">
        <v>38</v>
      </c>
      <c r="B47" s="131">
        <f t="shared" ca="1" si="1"/>
        <v>51.506605476755801</v>
      </c>
      <c r="C47" s="131">
        <f t="shared" ca="1" si="2"/>
        <v>49.684310908245877</v>
      </c>
      <c r="D47" s="131">
        <f t="shared" ca="1" si="3"/>
        <v>50.673609412407728</v>
      </c>
      <c r="E47" s="131">
        <f t="shared" ca="1" si="4"/>
        <v>50.898598018483419</v>
      </c>
      <c r="F47" s="131">
        <f t="shared" ca="1" si="5"/>
        <v>49.876107413482856</v>
      </c>
      <c r="G47" s="131">
        <f t="shared" ca="1" si="6"/>
        <v>49.155167066258201</v>
      </c>
      <c r="H47" s="131">
        <f t="shared" ca="1" si="7"/>
        <v>50.862941404598168</v>
      </c>
      <c r="I47" s="131">
        <f t="shared" ca="1" si="8"/>
        <v>51.293854218944013</v>
      </c>
      <c r="J47" s="131">
        <f t="shared" ca="1" si="9"/>
        <v>51.634054373923156</v>
      </c>
      <c r="K47" s="131">
        <f t="shared" ca="1" si="10"/>
        <v>50.484900483232273</v>
      </c>
    </row>
    <row r="48" spans="1:11" outlineLevel="1" x14ac:dyDescent="0.25">
      <c r="A48" s="59">
        <v>39</v>
      </c>
      <c r="B48" s="131">
        <f t="shared" ca="1" si="1"/>
        <v>51.721496543563681</v>
      </c>
      <c r="C48" s="131">
        <f t="shared" ca="1" si="2"/>
        <v>49.504371170926412</v>
      </c>
      <c r="D48" s="131">
        <f t="shared" ca="1" si="3"/>
        <v>50.6562876455368</v>
      </c>
      <c r="E48" s="131">
        <f t="shared" ca="1" si="4"/>
        <v>50.858712145409577</v>
      </c>
      <c r="F48" s="131">
        <f t="shared" ca="1" si="5"/>
        <v>49.996736170941347</v>
      </c>
      <c r="G48" s="131">
        <f t="shared" ca="1" si="6"/>
        <v>49.281483871160056</v>
      </c>
      <c r="H48" s="131">
        <f t="shared" ca="1" si="7"/>
        <v>50.996906805201668</v>
      </c>
      <c r="I48" s="131">
        <f t="shared" ca="1" si="8"/>
        <v>51.481780493065067</v>
      </c>
      <c r="J48" s="131">
        <f t="shared" ca="1" si="9"/>
        <v>51.593065116681778</v>
      </c>
      <c r="K48" s="131">
        <f t="shared" ca="1" si="10"/>
        <v>50.602776462483298</v>
      </c>
    </row>
    <row r="49" spans="1:11" outlineLevel="1" x14ac:dyDescent="0.25">
      <c r="A49" s="59">
        <v>40</v>
      </c>
      <c r="B49" s="131">
        <f t="shared" ca="1" si="1"/>
        <v>51.722566452298672</v>
      </c>
      <c r="C49" s="131">
        <f t="shared" ca="1" si="2"/>
        <v>49.652624685396468</v>
      </c>
      <c r="D49" s="131">
        <f t="shared" ca="1" si="3"/>
        <v>50.737746218179225</v>
      </c>
      <c r="E49" s="131">
        <f t="shared" ca="1" si="4"/>
        <v>50.915853770699876</v>
      </c>
      <c r="F49" s="131">
        <f t="shared" ca="1" si="5"/>
        <v>50.181040272916178</v>
      </c>
      <c r="G49" s="131">
        <f t="shared" ca="1" si="6"/>
        <v>49.327589245545099</v>
      </c>
      <c r="H49" s="131">
        <f t="shared" ca="1" si="7"/>
        <v>51.273225281062189</v>
      </c>
      <c r="I49" s="131">
        <f t="shared" ca="1" si="8"/>
        <v>51.622286423694185</v>
      </c>
      <c r="J49" s="131">
        <f t="shared" ca="1" si="9"/>
        <v>51.67016849771889</v>
      </c>
      <c r="K49" s="131">
        <f t="shared" ca="1" si="10"/>
        <v>50.63180358719287</v>
      </c>
    </row>
    <row r="50" spans="1:11" outlineLevel="1" x14ac:dyDescent="0.25">
      <c r="A50" s="59">
        <v>41</v>
      </c>
      <c r="B50" s="131">
        <f t="shared" ca="1" si="1"/>
        <v>51.936005930654161</v>
      </c>
      <c r="C50" s="131">
        <f t="shared" ca="1" si="2"/>
        <v>49.808229389846424</v>
      </c>
      <c r="D50" s="131">
        <f t="shared" ca="1" si="3"/>
        <v>50.936767745266707</v>
      </c>
      <c r="E50" s="131">
        <f t="shared" ca="1" si="4"/>
        <v>51.316913348400107</v>
      </c>
      <c r="F50" s="131">
        <f t="shared" ca="1" si="5"/>
        <v>50.382048009648202</v>
      </c>
      <c r="G50" s="131">
        <f t="shared" ca="1" si="6"/>
        <v>49.459199180044109</v>
      </c>
      <c r="H50" s="131">
        <f t="shared" ca="1" si="7"/>
        <v>51.233432881691762</v>
      </c>
      <c r="I50" s="131">
        <f t="shared" ca="1" si="8"/>
        <v>51.732207882252311</v>
      </c>
      <c r="J50" s="131">
        <f t="shared" ca="1" si="9"/>
        <v>51.927358750350415</v>
      </c>
      <c r="K50" s="131">
        <f t="shared" ca="1" si="10"/>
        <v>50.81188140317677</v>
      </c>
    </row>
    <row r="51" spans="1:11" outlineLevel="1" x14ac:dyDescent="0.25">
      <c r="A51" s="59">
        <v>42</v>
      </c>
      <c r="B51" s="131">
        <f t="shared" ca="1" si="1"/>
        <v>52.222441932910165</v>
      </c>
      <c r="C51" s="131">
        <f t="shared" ca="1" si="2"/>
        <v>50.083529952267746</v>
      </c>
      <c r="D51" s="131">
        <f t="shared" ca="1" si="3"/>
        <v>51.137179369895819</v>
      </c>
      <c r="E51" s="131">
        <f t="shared" ca="1" si="4"/>
        <v>51.512115085450937</v>
      </c>
      <c r="F51" s="131">
        <f t="shared" ca="1" si="5"/>
        <v>50.451648171546843</v>
      </c>
      <c r="G51" s="131">
        <f t="shared" ca="1" si="6"/>
        <v>49.326373518261839</v>
      </c>
      <c r="H51" s="131">
        <f t="shared" ca="1" si="7"/>
        <v>51.509792741603704</v>
      </c>
      <c r="I51" s="131">
        <f t="shared" ca="1" si="8"/>
        <v>52.036220915335321</v>
      </c>
      <c r="J51" s="131">
        <f t="shared" ca="1" si="9"/>
        <v>51.833001627531914</v>
      </c>
      <c r="K51" s="131">
        <f t="shared" ca="1" si="10"/>
        <v>51.095018719803491</v>
      </c>
    </row>
    <row r="52" spans="1:11" outlineLevel="1" x14ac:dyDescent="0.25">
      <c r="A52" s="59">
        <v>43</v>
      </c>
      <c r="B52" s="131">
        <f t="shared" ca="1" si="1"/>
        <v>52.75417545710404</v>
      </c>
      <c r="C52" s="131">
        <f t="shared" ca="1" si="2"/>
        <v>50.340410287639109</v>
      </c>
      <c r="D52" s="131">
        <f t="shared" ca="1" si="3"/>
        <v>50.96443063358101</v>
      </c>
      <c r="E52" s="131">
        <f t="shared" ca="1" si="4"/>
        <v>51.522289810914621</v>
      </c>
      <c r="F52" s="131">
        <f t="shared" ca="1" si="5"/>
        <v>50.556592221263266</v>
      </c>
      <c r="G52" s="131">
        <f t="shared" ca="1" si="6"/>
        <v>49.637466145281515</v>
      </c>
      <c r="H52" s="131">
        <f t="shared" ca="1" si="7"/>
        <v>51.627937336088024</v>
      </c>
      <c r="I52" s="131">
        <f t="shared" ca="1" si="8"/>
        <v>52.24563960754184</v>
      </c>
      <c r="J52" s="131">
        <f t="shared" ca="1" si="9"/>
        <v>52.109374147695185</v>
      </c>
      <c r="K52" s="131">
        <f t="shared" ca="1" si="10"/>
        <v>51.387103969876286</v>
      </c>
    </row>
    <row r="53" spans="1:11" outlineLevel="1" x14ac:dyDescent="0.25">
      <c r="A53" s="59">
        <v>44</v>
      </c>
      <c r="B53" s="131">
        <f t="shared" ca="1" si="1"/>
        <v>53.000862891795002</v>
      </c>
      <c r="C53" s="131">
        <f t="shared" ca="1" si="2"/>
        <v>50.308972288068006</v>
      </c>
      <c r="D53" s="131">
        <f t="shared" ca="1" si="3"/>
        <v>50.947743841216493</v>
      </c>
      <c r="E53" s="131">
        <f t="shared" ca="1" si="4"/>
        <v>51.828700482658213</v>
      </c>
      <c r="F53" s="131">
        <f t="shared" ca="1" si="5"/>
        <v>50.876804916991482</v>
      </c>
      <c r="G53" s="131">
        <f t="shared" ca="1" si="6"/>
        <v>49.643361906579393</v>
      </c>
      <c r="H53" s="131">
        <f t="shared" ca="1" si="7"/>
        <v>51.815910108171614</v>
      </c>
      <c r="I53" s="131">
        <f t="shared" ca="1" si="8"/>
        <v>52.38829021735463</v>
      </c>
      <c r="J53" s="131">
        <f t="shared" ca="1" si="9"/>
        <v>52.338167686516321</v>
      </c>
      <c r="K53" s="131">
        <f t="shared" ca="1" si="10"/>
        <v>51.482265950131598</v>
      </c>
    </row>
    <row r="54" spans="1:11" outlineLevel="1" x14ac:dyDescent="0.25">
      <c r="A54" s="59">
        <v>45</v>
      </c>
      <c r="B54" s="131">
        <f t="shared" ca="1" si="1"/>
        <v>53.262277580953651</v>
      </c>
      <c r="C54" s="131">
        <f t="shared" ca="1" si="2"/>
        <v>50.478679514792361</v>
      </c>
      <c r="D54" s="131">
        <f t="shared" ca="1" si="3"/>
        <v>51.246354129730555</v>
      </c>
      <c r="E54" s="131">
        <f t="shared" ca="1" si="4"/>
        <v>51.879612495049095</v>
      </c>
      <c r="F54" s="131">
        <f t="shared" ca="1" si="5"/>
        <v>50.874747604988372</v>
      </c>
      <c r="G54" s="131">
        <f t="shared" ca="1" si="6"/>
        <v>49.903196803072461</v>
      </c>
      <c r="H54" s="131">
        <f t="shared" ca="1" si="7"/>
        <v>51.952325538942098</v>
      </c>
      <c r="I54" s="131">
        <f t="shared" ca="1" si="8"/>
        <v>52.586115411969274</v>
      </c>
      <c r="J54" s="131">
        <f t="shared" ca="1" si="9"/>
        <v>52.414138839988638</v>
      </c>
      <c r="K54" s="131">
        <f t="shared" ca="1" si="10"/>
        <v>51.567774416431085</v>
      </c>
    </row>
    <row r="55" spans="1:11" outlineLevel="1" x14ac:dyDescent="0.25">
      <c r="A55" s="59">
        <v>46</v>
      </c>
      <c r="B55" s="131">
        <f t="shared" ca="1" si="1"/>
        <v>53.561143500398096</v>
      </c>
      <c r="C55" s="131">
        <f t="shared" ca="1" si="2"/>
        <v>50.384239357283562</v>
      </c>
      <c r="D55" s="131">
        <f t="shared" ca="1" si="3"/>
        <v>51.43749585509584</v>
      </c>
      <c r="E55" s="131">
        <f t="shared" ca="1" si="4"/>
        <v>51.977062499349529</v>
      </c>
      <c r="F55" s="131">
        <f t="shared" ca="1" si="5"/>
        <v>51.095364910038995</v>
      </c>
      <c r="G55" s="131">
        <f t="shared" ca="1" si="6"/>
        <v>49.916839044093642</v>
      </c>
      <c r="H55" s="131">
        <f t="shared" ca="1" si="7"/>
        <v>52.080668152812272</v>
      </c>
      <c r="I55" s="131">
        <f t="shared" ca="1" si="8"/>
        <v>52.616341085606159</v>
      </c>
      <c r="J55" s="131">
        <f t="shared" ca="1" si="9"/>
        <v>52.698624785108912</v>
      </c>
      <c r="K55" s="131">
        <f t="shared" ca="1" si="10"/>
        <v>51.519319369470374</v>
      </c>
    </row>
    <row r="56" spans="1:11" outlineLevel="1" x14ac:dyDescent="0.25">
      <c r="A56" s="59">
        <v>47</v>
      </c>
      <c r="B56" s="131">
        <f t="shared" ca="1" si="1"/>
        <v>53.665878837656386</v>
      </c>
      <c r="C56" s="131">
        <f t="shared" ca="1" si="2"/>
        <v>50.266769045643571</v>
      </c>
      <c r="D56" s="131">
        <f t="shared" ca="1" si="3"/>
        <v>51.452542730895061</v>
      </c>
      <c r="E56" s="131">
        <f t="shared" ca="1" si="4"/>
        <v>52.154755869164518</v>
      </c>
      <c r="F56" s="131">
        <f t="shared" ca="1" si="5"/>
        <v>51.090529396324641</v>
      </c>
      <c r="G56" s="131">
        <f t="shared" ca="1" si="6"/>
        <v>50.020375921514926</v>
      </c>
      <c r="H56" s="131">
        <f t="shared" ca="1" si="7"/>
        <v>52.263861831258332</v>
      </c>
      <c r="I56" s="131">
        <f t="shared" ca="1" si="8"/>
        <v>52.793886442954779</v>
      </c>
      <c r="J56" s="131">
        <f t="shared" ca="1" si="9"/>
        <v>52.807583738734799</v>
      </c>
      <c r="K56" s="131">
        <f t="shared" ca="1" si="10"/>
        <v>51.499933062643763</v>
      </c>
    </row>
    <row r="57" spans="1:11" outlineLevel="1" x14ac:dyDescent="0.25">
      <c r="A57" s="59">
        <v>48</v>
      </c>
      <c r="B57" s="131">
        <f ca="1">B56*EXP(Mu*Delta_t+Sigma*SQRT(Delta_t)*_xlfn.NORM.S.INV(RAND()))</f>
        <v>53.707928729916766</v>
      </c>
      <c r="C57" s="131">
        <f t="shared" ca="1" si="2"/>
        <v>50.285302590917311</v>
      </c>
      <c r="D57" s="131">
        <f t="shared" ca="1" si="3"/>
        <v>51.360699130124964</v>
      </c>
      <c r="E57" s="131">
        <f t="shared" ca="1" si="4"/>
        <v>52.344968160816649</v>
      </c>
      <c r="F57" s="131">
        <f t="shared" ca="1" si="5"/>
        <v>51.134949005478056</v>
      </c>
      <c r="G57" s="131">
        <f t="shared" ca="1" si="6"/>
        <v>50.19361781325685</v>
      </c>
      <c r="H57" s="131">
        <f t="shared" ca="1" si="7"/>
        <v>52.363326977805613</v>
      </c>
      <c r="I57" s="131">
        <f t="shared" ca="1" si="8"/>
        <v>53.088133198519401</v>
      </c>
      <c r="J57" s="131">
        <f t="shared" ca="1" si="9"/>
        <v>53.140974647599634</v>
      </c>
      <c r="K57" s="131">
        <f t="shared" ca="1" si="10"/>
        <v>51.707599216226257</v>
      </c>
    </row>
    <row r="58" spans="1:11" outlineLevel="1" x14ac:dyDescent="0.25">
      <c r="A58" s="59">
        <v>49</v>
      </c>
      <c r="B58" s="131">
        <f t="shared" ca="1" si="1"/>
        <v>53.80508927243892</v>
      </c>
      <c r="C58" s="131">
        <f t="shared" ca="1" si="2"/>
        <v>50.443892449775888</v>
      </c>
      <c r="D58" s="131">
        <f t="shared" ca="1" si="3"/>
        <v>51.428532925731041</v>
      </c>
      <c r="E58" s="131">
        <f t="shared" ca="1" si="4"/>
        <v>52.388038569683481</v>
      </c>
      <c r="F58" s="131">
        <f t="shared" ca="1" si="5"/>
        <v>51.189760226300976</v>
      </c>
      <c r="G58" s="131">
        <f t="shared" ca="1" si="6"/>
        <v>50.171128772472407</v>
      </c>
      <c r="H58" s="131">
        <f t="shared" ca="1" si="7"/>
        <v>52.434356320989238</v>
      </c>
      <c r="I58" s="131">
        <f t="shared" ca="1" si="8"/>
        <v>53.120690000236841</v>
      </c>
      <c r="J58" s="131">
        <f t="shared" ca="1" si="9"/>
        <v>53.313851826965994</v>
      </c>
      <c r="K58" s="131">
        <f t="shared" ca="1" si="10"/>
        <v>51.864329200052083</v>
      </c>
    </row>
    <row r="59" spans="1:11" outlineLevel="1" x14ac:dyDescent="0.25">
      <c r="A59" s="59">
        <v>50</v>
      </c>
      <c r="B59" s="131">
        <f t="shared" ca="1" si="1"/>
        <v>53.889964295417712</v>
      </c>
      <c r="C59" s="131">
        <f t="shared" ca="1" si="2"/>
        <v>50.683572616380026</v>
      </c>
      <c r="D59" s="131">
        <f t="shared" ca="1" si="3"/>
        <v>51.445522377584197</v>
      </c>
      <c r="E59" s="131">
        <f t="shared" ca="1" si="4"/>
        <v>52.481222253940828</v>
      </c>
      <c r="F59" s="131">
        <f t="shared" ca="1" si="5"/>
        <v>50.976492868242886</v>
      </c>
      <c r="G59" s="131">
        <f t="shared" ca="1" si="6"/>
        <v>50.373712828778764</v>
      </c>
      <c r="H59" s="131">
        <f t="shared" ca="1" si="7"/>
        <v>52.734696790984472</v>
      </c>
      <c r="I59" s="131">
        <f t="shared" ca="1" si="8"/>
        <v>53.115375282065514</v>
      </c>
      <c r="J59" s="131">
        <f t="shared" ca="1" si="9"/>
        <v>53.213939607864539</v>
      </c>
      <c r="K59" s="131">
        <f t="shared" ca="1" si="10"/>
        <v>52.089292560186024</v>
      </c>
    </row>
    <row r="60" spans="1:11" outlineLevel="1" x14ac:dyDescent="0.25">
      <c r="A60" s="59">
        <v>51</v>
      </c>
      <c r="B60" s="131">
        <f t="shared" ca="1" si="1"/>
        <v>54.094001074799415</v>
      </c>
      <c r="C60" s="131">
        <f t="shared" ca="1" si="2"/>
        <v>50.746479895014375</v>
      </c>
      <c r="D60" s="131">
        <f t="shared" ca="1" si="3"/>
        <v>51.51531998490438</v>
      </c>
      <c r="E60" s="131">
        <f t="shared" ca="1" si="4"/>
        <v>52.798867471029595</v>
      </c>
      <c r="F60" s="131">
        <f t="shared" ca="1" si="5"/>
        <v>51.124051901467197</v>
      </c>
      <c r="G60" s="131">
        <f t="shared" ca="1" si="6"/>
        <v>50.372562797711637</v>
      </c>
      <c r="H60" s="131">
        <f t="shared" ca="1" si="7"/>
        <v>52.821791604429492</v>
      </c>
      <c r="I60" s="131">
        <f t="shared" ca="1" si="8"/>
        <v>53.312736993942863</v>
      </c>
      <c r="J60" s="131">
        <f t="shared" ca="1" si="9"/>
        <v>53.558922445326978</v>
      </c>
      <c r="K60" s="131">
        <f t="shared" ca="1" si="10"/>
        <v>52.431113235443476</v>
      </c>
    </row>
    <row r="61" spans="1:11" outlineLevel="1" x14ac:dyDescent="0.25">
      <c r="A61" s="59">
        <v>52</v>
      </c>
      <c r="B61" s="131">
        <f t="shared" ca="1" si="1"/>
        <v>54.029208342595986</v>
      </c>
      <c r="C61" s="131">
        <f t="shared" ca="1" si="2"/>
        <v>50.843743177102098</v>
      </c>
      <c r="D61" s="131">
        <f t="shared" ca="1" si="3"/>
        <v>51.633690887822134</v>
      </c>
      <c r="E61" s="131">
        <f t="shared" ca="1" si="4"/>
        <v>52.838069073069867</v>
      </c>
      <c r="F61" s="131">
        <f t="shared" ca="1" si="5"/>
        <v>51.382632220090727</v>
      </c>
      <c r="G61" s="131">
        <f t="shared" ca="1" si="6"/>
        <v>50.624976272048983</v>
      </c>
      <c r="H61" s="131">
        <f t="shared" ca="1" si="7"/>
        <v>52.701527507749617</v>
      </c>
      <c r="I61" s="131">
        <f t="shared" ca="1" si="8"/>
        <v>53.623630689796762</v>
      </c>
      <c r="J61" s="131">
        <f t="shared" ca="1" si="9"/>
        <v>53.7801371327539</v>
      </c>
      <c r="K61" s="131">
        <f t="shared" ca="1" si="10"/>
        <v>52.632908571499243</v>
      </c>
    </row>
    <row r="62" spans="1:11" outlineLevel="1" x14ac:dyDescent="0.25">
      <c r="A62" s="59">
        <v>53</v>
      </c>
      <c r="B62" s="131">
        <f t="shared" ca="1" si="1"/>
        <v>54.028420876600151</v>
      </c>
      <c r="C62" s="131">
        <f t="shared" ca="1" si="2"/>
        <v>51.24413182145021</v>
      </c>
      <c r="D62" s="131">
        <f t="shared" ca="1" si="3"/>
        <v>51.828551220508182</v>
      </c>
      <c r="E62" s="131">
        <f t="shared" ca="1" si="4"/>
        <v>52.927766125435198</v>
      </c>
      <c r="F62" s="131">
        <f t="shared" ca="1" si="5"/>
        <v>51.569774728126568</v>
      </c>
      <c r="G62" s="131">
        <f t="shared" ca="1" si="6"/>
        <v>50.790499587115477</v>
      </c>
      <c r="H62" s="131">
        <f t="shared" ca="1" si="7"/>
        <v>52.7392922807676</v>
      </c>
      <c r="I62" s="131">
        <f t="shared" ca="1" si="8"/>
        <v>53.746164576023688</v>
      </c>
      <c r="J62" s="131">
        <f t="shared" ca="1" si="9"/>
        <v>53.904944365170934</v>
      </c>
      <c r="K62" s="131">
        <f t="shared" ca="1" si="10"/>
        <v>52.802187152098163</v>
      </c>
    </row>
    <row r="63" spans="1:11" outlineLevel="1" x14ac:dyDescent="0.25">
      <c r="A63" s="59">
        <v>54</v>
      </c>
      <c r="B63" s="131">
        <f t="shared" ca="1" si="1"/>
        <v>54.08610197549622</v>
      </c>
      <c r="C63" s="131">
        <f t="shared" ca="1" si="2"/>
        <v>51.460754176600673</v>
      </c>
      <c r="D63" s="131">
        <f t="shared" ca="1" si="3"/>
        <v>52.017993967045683</v>
      </c>
      <c r="E63" s="131">
        <f t="shared" ca="1" si="4"/>
        <v>53.142386755411621</v>
      </c>
      <c r="F63" s="131">
        <f t="shared" ca="1" si="5"/>
        <v>51.813476015917857</v>
      </c>
      <c r="G63" s="131">
        <f t="shared" ca="1" si="6"/>
        <v>50.92805948056774</v>
      </c>
      <c r="H63" s="131">
        <f t="shared" ca="1" si="7"/>
        <v>52.840890477747486</v>
      </c>
      <c r="I63" s="131">
        <f t="shared" ca="1" si="8"/>
        <v>53.851399055442016</v>
      </c>
      <c r="J63" s="131">
        <f t="shared" ca="1" si="9"/>
        <v>54.026830011338205</v>
      </c>
      <c r="K63" s="131">
        <f t="shared" ca="1" si="10"/>
        <v>53.019762767241275</v>
      </c>
    </row>
    <row r="64" spans="1:11" outlineLevel="1" x14ac:dyDescent="0.25">
      <c r="A64" s="59">
        <v>55</v>
      </c>
      <c r="B64" s="131">
        <f t="shared" ca="1" si="1"/>
        <v>54.019026650201361</v>
      </c>
      <c r="C64" s="131">
        <f t="shared" ca="1" si="2"/>
        <v>51.503484256527877</v>
      </c>
      <c r="D64" s="131">
        <f t="shared" ca="1" si="3"/>
        <v>52.124750617541544</v>
      </c>
      <c r="E64" s="131">
        <f t="shared" ca="1" si="4"/>
        <v>53.366520913010739</v>
      </c>
      <c r="F64" s="131">
        <f t="shared" ca="1" si="5"/>
        <v>52.032246469159567</v>
      </c>
      <c r="G64" s="131">
        <f t="shared" ca="1" si="6"/>
        <v>51.01873123342493</v>
      </c>
      <c r="H64" s="131">
        <f t="shared" ca="1" si="7"/>
        <v>52.824110647556445</v>
      </c>
      <c r="I64" s="131">
        <f t="shared" ca="1" si="8"/>
        <v>54.116844265121777</v>
      </c>
      <c r="J64" s="131">
        <f t="shared" ca="1" si="9"/>
        <v>54.260986611177955</v>
      </c>
      <c r="K64" s="131">
        <f t="shared" ca="1" si="10"/>
        <v>53.114067556538494</v>
      </c>
    </row>
    <row r="65" spans="1:11" outlineLevel="1" x14ac:dyDescent="0.25">
      <c r="A65" s="59">
        <v>56</v>
      </c>
      <c r="B65" s="131">
        <f t="shared" ca="1" si="1"/>
        <v>54.036012840676577</v>
      </c>
      <c r="C65" s="131">
        <f t="shared" ca="1" si="2"/>
        <v>51.518556525164129</v>
      </c>
      <c r="D65" s="131">
        <f t="shared" ca="1" si="3"/>
        <v>52.123066420508714</v>
      </c>
      <c r="E65" s="131">
        <f t="shared" ca="1" si="4"/>
        <v>53.39025439359667</v>
      </c>
      <c r="F65" s="131">
        <f t="shared" ca="1" si="5"/>
        <v>52.130709548608259</v>
      </c>
      <c r="G65" s="131">
        <f t="shared" ca="1" si="6"/>
        <v>51.052702650823591</v>
      </c>
      <c r="H65" s="131">
        <f t="shared" ca="1" si="7"/>
        <v>53.086002021563701</v>
      </c>
      <c r="I65" s="131">
        <f t="shared" ca="1" si="8"/>
        <v>54.05481945320313</v>
      </c>
      <c r="J65" s="131">
        <f t="shared" ca="1" si="9"/>
        <v>54.335529862250226</v>
      </c>
      <c r="K65" s="131">
        <f t="shared" ca="1" si="10"/>
        <v>53.156805174136501</v>
      </c>
    </row>
    <row r="66" spans="1:11" outlineLevel="1" x14ac:dyDescent="0.25">
      <c r="A66" s="59">
        <v>57</v>
      </c>
      <c r="B66" s="131">
        <f t="shared" ca="1" si="1"/>
        <v>54.402656453261422</v>
      </c>
      <c r="C66" s="131">
        <f t="shared" ca="1" si="2"/>
        <v>51.502870342940774</v>
      </c>
      <c r="D66" s="131">
        <f t="shared" ca="1" si="3"/>
        <v>52.110049532203128</v>
      </c>
      <c r="E66" s="131">
        <f t="shared" ca="1" si="4"/>
        <v>53.60508778426118</v>
      </c>
      <c r="F66" s="131">
        <f t="shared" ca="1" si="5"/>
        <v>52.148134502841081</v>
      </c>
      <c r="G66" s="131">
        <f t="shared" ca="1" si="6"/>
        <v>51.199777394776774</v>
      </c>
      <c r="H66" s="131">
        <f t="shared" ca="1" si="7"/>
        <v>53.354119065595619</v>
      </c>
      <c r="I66" s="131">
        <f t="shared" ca="1" si="8"/>
        <v>54.024510611922437</v>
      </c>
      <c r="J66" s="131">
        <f t="shared" ca="1" si="9"/>
        <v>54.36972726103631</v>
      </c>
      <c r="K66" s="131">
        <f t="shared" ca="1" si="10"/>
        <v>53.12571905081797</v>
      </c>
    </row>
    <row r="67" spans="1:11" outlineLevel="1" x14ac:dyDescent="0.25">
      <c r="A67" s="59">
        <v>58</v>
      </c>
      <c r="B67" s="131">
        <f t="shared" ca="1" si="1"/>
        <v>54.560298173813244</v>
      </c>
      <c r="C67" s="131">
        <f t="shared" ca="1" si="2"/>
        <v>51.458082463814492</v>
      </c>
      <c r="D67" s="131">
        <f t="shared" ca="1" si="3"/>
        <v>52.141017922274848</v>
      </c>
      <c r="E67" s="131">
        <f t="shared" ca="1" si="4"/>
        <v>53.642278832268111</v>
      </c>
      <c r="F67" s="131">
        <f t="shared" ca="1" si="5"/>
        <v>52.354284408534426</v>
      </c>
      <c r="G67" s="131">
        <f t="shared" ca="1" si="6"/>
        <v>51.183327606858533</v>
      </c>
      <c r="H67" s="131">
        <f t="shared" ca="1" si="7"/>
        <v>53.346034023380092</v>
      </c>
      <c r="I67" s="131">
        <f t="shared" ca="1" si="8"/>
        <v>54.299174407041114</v>
      </c>
      <c r="J67" s="131">
        <f t="shared" ca="1" si="9"/>
        <v>54.472509236044587</v>
      </c>
      <c r="K67" s="131">
        <f t="shared" ca="1" si="10"/>
        <v>53.300689660667963</v>
      </c>
    </row>
    <row r="68" spans="1:11" outlineLevel="1" x14ac:dyDescent="0.25">
      <c r="A68" s="59">
        <v>59</v>
      </c>
      <c r="B68" s="131">
        <f t="shared" ca="1" si="1"/>
        <v>54.736393052484814</v>
      </c>
      <c r="C68" s="131">
        <f t="shared" ca="1" si="2"/>
        <v>51.460212396844206</v>
      </c>
      <c r="D68" s="131">
        <f t="shared" ca="1" si="3"/>
        <v>52.283928187424529</v>
      </c>
      <c r="E68" s="131">
        <f t="shared" ca="1" si="4"/>
        <v>53.752895447423995</v>
      </c>
      <c r="F68" s="131">
        <f t="shared" ca="1" si="5"/>
        <v>52.478847563906463</v>
      </c>
      <c r="G68" s="131">
        <f t="shared" ca="1" si="6"/>
        <v>51.117530311230126</v>
      </c>
      <c r="H68" s="131">
        <f t="shared" ca="1" si="7"/>
        <v>53.445114662739726</v>
      </c>
      <c r="I68" s="131">
        <f t="shared" ca="1" si="8"/>
        <v>54.437150186127255</v>
      </c>
      <c r="J68" s="131">
        <f t="shared" ca="1" si="9"/>
        <v>54.721030499344643</v>
      </c>
      <c r="K68" s="131">
        <f t="shared" ca="1" si="10"/>
        <v>53.388228962831924</v>
      </c>
    </row>
    <row r="69" spans="1:11" outlineLevel="1" x14ac:dyDescent="0.25">
      <c r="A69" s="59">
        <v>60</v>
      </c>
      <c r="B69" s="131">
        <f t="shared" ca="1" si="1"/>
        <v>54.9350934470461</v>
      </c>
      <c r="C69" s="131">
        <f t="shared" ca="1" si="2"/>
        <v>51.567275728992605</v>
      </c>
      <c r="D69" s="131">
        <f t="shared" ca="1" si="3"/>
        <v>52.601792584897225</v>
      </c>
      <c r="E69" s="131">
        <f t="shared" ca="1" si="4"/>
        <v>54.037833671780476</v>
      </c>
      <c r="F69" s="131">
        <f t="shared" ca="1" si="5"/>
        <v>52.664717146522548</v>
      </c>
      <c r="G69" s="131">
        <f t="shared" ca="1" si="6"/>
        <v>51.19697508293045</v>
      </c>
      <c r="H69" s="131">
        <f t="shared" ca="1" si="7"/>
        <v>53.587276884071095</v>
      </c>
      <c r="I69" s="131">
        <f t="shared" ca="1" si="8"/>
        <v>54.61620272051308</v>
      </c>
      <c r="J69" s="131">
        <f t="shared" ca="1" si="9"/>
        <v>54.698466964944494</v>
      </c>
      <c r="K69" s="131">
        <f t="shared" ca="1" si="10"/>
        <v>53.35792913289572</v>
      </c>
    </row>
    <row r="70" spans="1:11" outlineLevel="1" x14ac:dyDescent="0.25">
      <c r="A70" s="59">
        <v>61</v>
      </c>
      <c r="B70" s="131">
        <f t="shared" ca="1" si="1"/>
        <v>54.957027342239904</v>
      </c>
      <c r="C70" s="131">
        <f t="shared" ca="1" si="2"/>
        <v>51.633788869144766</v>
      </c>
      <c r="D70" s="131">
        <f t="shared" ca="1" si="3"/>
        <v>52.618559016906246</v>
      </c>
      <c r="E70" s="131">
        <f t="shared" ca="1" si="4"/>
        <v>54.395647954073915</v>
      </c>
      <c r="F70" s="131">
        <f t="shared" ca="1" si="5"/>
        <v>52.656630885762659</v>
      </c>
      <c r="G70" s="131">
        <f t="shared" ca="1" si="6"/>
        <v>51.230375388441317</v>
      </c>
      <c r="H70" s="131">
        <f t="shared" ca="1" si="7"/>
        <v>53.783373444915405</v>
      </c>
      <c r="I70" s="131">
        <f t="shared" ca="1" si="8"/>
        <v>54.832988209799197</v>
      </c>
      <c r="J70" s="131">
        <f t="shared" ca="1" si="9"/>
        <v>54.816414026324381</v>
      </c>
      <c r="K70" s="131">
        <f t="shared" ca="1" si="10"/>
        <v>53.644245878809727</v>
      </c>
    </row>
    <row r="71" spans="1:11" outlineLevel="1" x14ac:dyDescent="0.25">
      <c r="A71" s="59">
        <v>62</v>
      </c>
      <c r="B71" s="131">
        <f t="shared" ca="1" si="1"/>
        <v>54.897828161299181</v>
      </c>
      <c r="C71" s="131">
        <f t="shared" ca="1" si="2"/>
        <v>51.62316477217685</v>
      </c>
      <c r="D71" s="131">
        <f t="shared" ca="1" si="3"/>
        <v>52.84083145365112</v>
      </c>
      <c r="E71" s="131">
        <f t="shared" ca="1" si="4"/>
        <v>54.613599793440422</v>
      </c>
      <c r="F71" s="131">
        <f t="shared" ca="1" si="5"/>
        <v>52.566285116847169</v>
      </c>
      <c r="G71" s="131">
        <f t="shared" ca="1" si="6"/>
        <v>51.279397567151875</v>
      </c>
      <c r="H71" s="131">
        <f t="shared" ca="1" si="7"/>
        <v>53.864333980035063</v>
      </c>
      <c r="I71" s="131">
        <f t="shared" ca="1" si="8"/>
        <v>55.000559693544197</v>
      </c>
      <c r="J71" s="131">
        <f t="shared" ca="1" si="9"/>
        <v>55.085143985904566</v>
      </c>
      <c r="K71" s="131">
        <f t="shared" ca="1" si="10"/>
        <v>53.930527024705256</v>
      </c>
    </row>
    <row r="72" spans="1:11" outlineLevel="1" x14ac:dyDescent="0.25">
      <c r="A72" s="59"/>
      <c r="B72" s="131"/>
      <c r="C72" s="131"/>
      <c r="D72" s="131"/>
      <c r="E72" s="131"/>
      <c r="F72" s="131"/>
      <c r="G72" s="131"/>
      <c r="H72" s="131"/>
      <c r="I72" s="131"/>
      <c r="J72" s="131"/>
      <c r="K72" s="131"/>
    </row>
    <row r="73" spans="1:11" outlineLevel="1" x14ac:dyDescent="0.25">
      <c r="A73" s="59"/>
      <c r="B73" s="131"/>
      <c r="C73" s="131"/>
      <c r="D73" s="131"/>
      <c r="E73" s="131"/>
      <c r="F73" s="131"/>
      <c r="G73" s="131"/>
      <c r="H73" s="131"/>
      <c r="I73" s="131"/>
      <c r="J73" s="131"/>
      <c r="K73" s="131"/>
    </row>
    <row r="74" spans="1:11" outlineLevel="1" x14ac:dyDescent="0.25">
      <c r="A74" s="59"/>
      <c r="B74" s="131"/>
      <c r="C74" s="131"/>
      <c r="D74" s="131"/>
      <c r="E74" s="131"/>
      <c r="F74" s="131"/>
      <c r="G74" s="131"/>
      <c r="H74" s="131"/>
      <c r="I74" s="131"/>
      <c r="J74" s="131"/>
      <c r="K74" s="131"/>
    </row>
    <row r="75" spans="1:11" outlineLevel="1" x14ac:dyDescent="0.25">
      <c r="A75" s="59"/>
      <c r="B75" s="131"/>
      <c r="C75" s="131"/>
      <c r="D75" s="131"/>
      <c r="E75" s="131"/>
      <c r="F75" s="131"/>
      <c r="G75" s="131"/>
      <c r="H75" s="131"/>
      <c r="I75" s="131"/>
      <c r="J75" s="131"/>
      <c r="K75" s="131"/>
    </row>
    <row r="76" spans="1:11" outlineLevel="1" x14ac:dyDescent="0.25">
      <c r="A76" s="59"/>
      <c r="B76" s="131"/>
      <c r="C76" s="131"/>
      <c r="D76" s="131"/>
      <c r="E76" s="131"/>
      <c r="F76" s="131"/>
      <c r="G76" s="131"/>
      <c r="H76" s="131"/>
      <c r="I76" s="131"/>
      <c r="J76" s="131"/>
      <c r="K76" s="131"/>
    </row>
    <row r="77" spans="1:11" outlineLevel="1" x14ac:dyDescent="0.25">
      <c r="A77" s="59"/>
      <c r="B77" s="131"/>
      <c r="C77" s="131"/>
      <c r="D77" s="131"/>
      <c r="E77" s="131"/>
      <c r="F77" s="131"/>
      <c r="G77" s="131"/>
      <c r="H77" s="131"/>
      <c r="I77" s="131"/>
      <c r="J77" s="131"/>
      <c r="K77" s="131"/>
    </row>
    <row r="78" spans="1:11" outlineLevel="1" x14ac:dyDescent="0.25">
      <c r="A78" s="59"/>
      <c r="B78" s="131"/>
      <c r="C78" s="131"/>
      <c r="D78" s="131"/>
      <c r="E78" s="131"/>
      <c r="F78" s="131"/>
      <c r="G78" s="131"/>
      <c r="H78" s="131"/>
      <c r="I78" s="131"/>
      <c r="J78" s="131"/>
      <c r="K78" s="131"/>
    </row>
    <row r="79" spans="1:11" outlineLevel="1" x14ac:dyDescent="0.25">
      <c r="A79" s="59"/>
      <c r="B79" s="131"/>
      <c r="C79" s="131"/>
      <c r="D79" s="131"/>
      <c r="E79" s="131"/>
      <c r="F79" s="131"/>
      <c r="G79" s="131"/>
      <c r="H79" s="131"/>
      <c r="I79" s="131"/>
      <c r="J79" s="131"/>
      <c r="K79" s="131"/>
    </row>
    <row r="80" spans="1:11" outlineLevel="1" x14ac:dyDescent="0.25">
      <c r="A80" s="59"/>
      <c r="B80" s="131"/>
      <c r="C80" s="131"/>
      <c r="D80" s="131"/>
      <c r="E80" s="131"/>
      <c r="F80" s="131"/>
      <c r="G80" s="131"/>
      <c r="H80" s="131"/>
      <c r="I80" s="131"/>
      <c r="J80" s="131"/>
      <c r="K80" s="131"/>
    </row>
    <row r="81" spans="1:11" outlineLevel="1" x14ac:dyDescent="0.25">
      <c r="A81" s="59"/>
      <c r="B81" s="131"/>
      <c r="C81" s="131"/>
      <c r="D81" s="131"/>
      <c r="E81" s="131"/>
      <c r="F81" s="131"/>
      <c r="G81" s="131"/>
      <c r="H81" s="131"/>
      <c r="I81" s="131"/>
      <c r="J81" s="131"/>
      <c r="K81" s="131"/>
    </row>
    <row r="82" spans="1:11" outlineLevel="1" x14ac:dyDescent="0.25">
      <c r="A82" s="59"/>
      <c r="B82" s="131"/>
      <c r="C82" s="131"/>
      <c r="D82" s="131"/>
      <c r="E82" s="131"/>
      <c r="F82" s="131"/>
      <c r="G82" s="131"/>
      <c r="H82" s="131"/>
      <c r="I82" s="131"/>
      <c r="J82" s="131"/>
      <c r="K82" s="131"/>
    </row>
    <row r="83" spans="1:11" outlineLevel="1" x14ac:dyDescent="0.25">
      <c r="A83" s="59"/>
      <c r="B83" s="131"/>
      <c r="C83" s="131"/>
      <c r="D83" s="131"/>
      <c r="E83" s="131"/>
      <c r="F83" s="131"/>
      <c r="G83" s="131"/>
      <c r="H83" s="131"/>
      <c r="I83" s="131"/>
      <c r="J83" s="131"/>
      <c r="K83" s="131"/>
    </row>
    <row r="84" spans="1:11" outlineLevel="1" x14ac:dyDescent="0.25">
      <c r="A84" s="59"/>
      <c r="B84" s="131"/>
      <c r="C84" s="131"/>
      <c r="D84" s="131"/>
      <c r="E84" s="131"/>
      <c r="F84" s="131"/>
      <c r="G84" s="131"/>
      <c r="H84" s="131"/>
      <c r="I84" s="131"/>
      <c r="J84" s="131"/>
      <c r="K84" s="131"/>
    </row>
    <row r="85" spans="1:11" outlineLevel="1" x14ac:dyDescent="0.25">
      <c r="A85" s="59"/>
      <c r="B85" s="131"/>
      <c r="C85" s="131"/>
      <c r="D85" s="131"/>
      <c r="E85" s="131"/>
      <c r="F85" s="131"/>
      <c r="G85" s="131"/>
      <c r="H85" s="131"/>
      <c r="I85" s="131"/>
      <c r="J85" s="131"/>
      <c r="K85" s="131"/>
    </row>
    <row r="86" spans="1:11" outlineLevel="1" x14ac:dyDescent="0.25">
      <c r="A86" s="59"/>
      <c r="B86" s="131"/>
      <c r="C86" s="131"/>
      <c r="D86" s="131"/>
      <c r="E86" s="131"/>
      <c r="F86" s="131"/>
      <c r="G86" s="131"/>
      <c r="H86" s="131"/>
      <c r="I86" s="131"/>
      <c r="J86" s="131"/>
      <c r="K86" s="131"/>
    </row>
    <row r="87" spans="1:11" outlineLevel="1" x14ac:dyDescent="0.25">
      <c r="A87" s="59"/>
      <c r="B87" s="131"/>
      <c r="C87" s="131"/>
      <c r="D87" s="131"/>
      <c r="E87" s="131"/>
      <c r="F87" s="131"/>
      <c r="G87" s="131"/>
      <c r="H87" s="131"/>
      <c r="I87" s="131"/>
      <c r="J87" s="131"/>
      <c r="K87" s="131"/>
    </row>
    <row r="88" spans="1:11" outlineLevel="1" x14ac:dyDescent="0.25">
      <c r="A88" s="59"/>
      <c r="B88" s="131"/>
      <c r="C88" s="131"/>
      <c r="D88" s="131"/>
      <c r="E88" s="131"/>
      <c r="F88" s="131"/>
      <c r="G88" s="131"/>
      <c r="H88" s="131"/>
      <c r="I88" s="131"/>
      <c r="J88" s="131"/>
      <c r="K88" s="131"/>
    </row>
    <row r="89" spans="1:11" outlineLevel="1" x14ac:dyDescent="0.25">
      <c r="A89" s="59"/>
      <c r="B89" s="131"/>
      <c r="C89" s="131"/>
      <c r="D89" s="131"/>
      <c r="E89" s="131"/>
      <c r="F89" s="131"/>
      <c r="G89" s="131"/>
      <c r="H89" s="131"/>
      <c r="I89" s="131"/>
      <c r="J89" s="131"/>
      <c r="K89" s="131"/>
    </row>
    <row r="90" spans="1:11" outlineLevel="1" x14ac:dyDescent="0.25">
      <c r="A90" s="59"/>
      <c r="B90" s="131"/>
      <c r="C90" s="131"/>
      <c r="D90" s="131"/>
      <c r="E90" s="131"/>
      <c r="F90" s="131"/>
      <c r="G90" s="131"/>
      <c r="H90" s="131"/>
      <c r="I90" s="131"/>
      <c r="J90" s="131"/>
      <c r="K90" s="131"/>
    </row>
    <row r="91" spans="1:11" outlineLevel="1" x14ac:dyDescent="0.25">
      <c r="A91" s="59"/>
      <c r="B91" s="131"/>
      <c r="C91" s="131"/>
      <c r="D91" s="131"/>
      <c r="E91" s="131"/>
      <c r="F91" s="131"/>
      <c r="G91" s="131"/>
      <c r="H91" s="131"/>
      <c r="I91" s="131"/>
      <c r="J91" s="131"/>
      <c r="K91" s="131"/>
    </row>
    <row r="92" spans="1:11" outlineLevel="1" x14ac:dyDescent="0.25">
      <c r="A92" s="59"/>
      <c r="B92" s="131"/>
      <c r="C92" s="131"/>
      <c r="D92" s="131"/>
      <c r="E92" s="131"/>
      <c r="F92" s="131"/>
      <c r="G92" s="131"/>
      <c r="H92" s="131"/>
      <c r="I92" s="131"/>
      <c r="J92" s="131"/>
      <c r="K92" s="131"/>
    </row>
    <row r="93" spans="1:11" outlineLevel="1" x14ac:dyDescent="0.25">
      <c r="A93" s="59"/>
      <c r="B93" s="131"/>
      <c r="C93" s="131"/>
      <c r="D93" s="131"/>
      <c r="E93" s="131"/>
      <c r="F93" s="131"/>
      <c r="G93" s="131"/>
      <c r="H93" s="131"/>
      <c r="I93" s="131"/>
      <c r="J93" s="131"/>
      <c r="K93" s="131"/>
    </row>
    <row r="94" spans="1:11" outlineLevel="1" x14ac:dyDescent="0.25">
      <c r="A94" s="59"/>
      <c r="B94" s="131"/>
      <c r="C94" s="131"/>
      <c r="D94" s="131"/>
      <c r="E94" s="131"/>
      <c r="F94" s="131"/>
      <c r="G94" s="131"/>
      <c r="H94" s="131"/>
      <c r="I94" s="131"/>
      <c r="J94" s="131"/>
      <c r="K94" s="131"/>
    </row>
    <row r="95" spans="1:11" outlineLevel="1" x14ac:dyDescent="0.25">
      <c r="A95" s="59"/>
      <c r="B95" s="131"/>
      <c r="C95" s="131"/>
      <c r="D95" s="131"/>
      <c r="E95" s="131"/>
      <c r="F95" s="131"/>
      <c r="G95" s="131"/>
      <c r="H95" s="131"/>
      <c r="I95" s="131"/>
      <c r="J95" s="131"/>
      <c r="K95" s="131"/>
    </row>
    <row r="96" spans="1:11" outlineLevel="1" x14ac:dyDescent="0.25">
      <c r="A96" s="59"/>
      <c r="B96" s="131"/>
      <c r="C96" s="131"/>
      <c r="D96" s="131"/>
      <c r="E96" s="131"/>
      <c r="F96" s="131"/>
      <c r="G96" s="131"/>
      <c r="H96" s="131"/>
      <c r="I96" s="131"/>
      <c r="J96" s="131"/>
      <c r="K96" s="131"/>
    </row>
    <row r="97" spans="1:11" outlineLevel="1" x14ac:dyDescent="0.25">
      <c r="A97" s="59"/>
      <c r="B97" s="131"/>
      <c r="C97" s="131"/>
      <c r="D97" s="131"/>
      <c r="E97" s="131"/>
      <c r="F97" s="131"/>
      <c r="G97" s="131"/>
      <c r="H97" s="131"/>
      <c r="I97" s="131"/>
      <c r="J97" s="131"/>
      <c r="K97" s="131"/>
    </row>
    <row r="98" spans="1:11" outlineLevel="1" x14ac:dyDescent="0.25">
      <c r="A98" s="59"/>
      <c r="B98" s="131"/>
      <c r="C98" s="131"/>
      <c r="D98" s="131"/>
      <c r="E98" s="131"/>
      <c r="F98" s="131"/>
      <c r="G98" s="131"/>
      <c r="H98" s="131"/>
      <c r="I98" s="131"/>
      <c r="J98" s="131"/>
      <c r="K98" s="131"/>
    </row>
    <row r="99" spans="1:11" outlineLevel="1" x14ac:dyDescent="0.25">
      <c r="A99" s="59"/>
      <c r="B99" s="131"/>
      <c r="C99" s="131"/>
      <c r="D99" s="131"/>
      <c r="E99" s="131"/>
      <c r="F99" s="131"/>
      <c r="G99" s="131"/>
      <c r="H99" s="131"/>
      <c r="I99" s="131"/>
      <c r="J99" s="131"/>
      <c r="K99" s="131"/>
    </row>
    <row r="100" spans="1:11" outlineLevel="1" x14ac:dyDescent="0.25">
      <c r="A100" s="59"/>
      <c r="B100" s="131"/>
      <c r="C100" s="131"/>
      <c r="D100" s="131"/>
      <c r="E100" s="131"/>
      <c r="F100" s="131"/>
      <c r="G100" s="131"/>
      <c r="H100" s="131"/>
      <c r="I100" s="131"/>
      <c r="J100" s="131"/>
      <c r="K100" s="131"/>
    </row>
    <row r="101" spans="1:11" outlineLevel="1" x14ac:dyDescent="0.25">
      <c r="A101" s="59"/>
      <c r="B101" s="131"/>
      <c r="C101" s="131"/>
      <c r="D101" s="131"/>
      <c r="E101" s="131"/>
      <c r="F101" s="131"/>
      <c r="G101" s="131"/>
      <c r="H101" s="131"/>
      <c r="I101" s="131"/>
      <c r="J101" s="131"/>
      <c r="K101" s="131"/>
    </row>
    <row r="102" spans="1:11" outlineLevel="1" x14ac:dyDescent="0.25">
      <c r="A102" s="59"/>
      <c r="B102" s="131"/>
      <c r="C102" s="131"/>
      <c r="D102" s="131"/>
      <c r="E102" s="131"/>
      <c r="F102" s="131"/>
      <c r="G102" s="131"/>
      <c r="H102" s="131"/>
      <c r="I102" s="131"/>
      <c r="J102" s="131"/>
      <c r="K102" s="131"/>
    </row>
    <row r="103" spans="1:11" outlineLevel="1" x14ac:dyDescent="0.25">
      <c r="A103" s="59"/>
      <c r="B103" s="131"/>
      <c r="C103" s="131"/>
      <c r="D103" s="131"/>
      <c r="E103" s="131"/>
      <c r="F103" s="131"/>
      <c r="G103" s="131"/>
      <c r="H103" s="131"/>
      <c r="I103" s="131"/>
      <c r="J103" s="131"/>
      <c r="K103" s="131"/>
    </row>
    <row r="104" spans="1:11" outlineLevel="1" x14ac:dyDescent="0.25">
      <c r="A104" s="59"/>
      <c r="B104" s="131"/>
      <c r="C104" s="131"/>
      <c r="D104" s="131"/>
      <c r="E104" s="131"/>
      <c r="F104" s="131"/>
      <c r="G104" s="131"/>
      <c r="H104" s="131"/>
      <c r="I104" s="131"/>
      <c r="J104" s="131"/>
      <c r="K104" s="131"/>
    </row>
    <row r="105" spans="1:11" outlineLevel="1" x14ac:dyDescent="0.25">
      <c r="A105" s="59"/>
      <c r="B105" s="131"/>
      <c r="C105" s="131"/>
      <c r="D105" s="131"/>
      <c r="E105" s="131"/>
      <c r="F105" s="131"/>
      <c r="G105" s="131"/>
      <c r="H105" s="131"/>
      <c r="I105" s="131"/>
      <c r="J105" s="131"/>
      <c r="K105" s="131"/>
    </row>
    <row r="106" spans="1:11" outlineLevel="1" x14ac:dyDescent="0.25">
      <c r="A106" s="59"/>
      <c r="B106" s="131"/>
      <c r="C106" s="131"/>
      <c r="D106" s="131"/>
      <c r="E106" s="131"/>
      <c r="F106" s="131"/>
      <c r="G106" s="131"/>
      <c r="H106" s="131"/>
      <c r="I106" s="131"/>
      <c r="J106" s="131"/>
      <c r="K106" s="131"/>
    </row>
    <row r="107" spans="1:11" outlineLevel="1" x14ac:dyDescent="0.25">
      <c r="A107" s="59"/>
      <c r="B107" s="131"/>
      <c r="C107" s="131"/>
      <c r="D107" s="131"/>
      <c r="E107" s="131"/>
      <c r="F107" s="131"/>
      <c r="G107" s="131"/>
      <c r="H107" s="131"/>
      <c r="I107" s="131"/>
      <c r="J107" s="131"/>
      <c r="K107" s="131"/>
    </row>
    <row r="108" spans="1:11" outlineLevel="1" x14ac:dyDescent="0.25">
      <c r="A108" s="59"/>
      <c r="B108" s="131"/>
      <c r="C108" s="131"/>
      <c r="D108" s="131"/>
      <c r="E108" s="131"/>
      <c r="F108" s="131"/>
      <c r="G108" s="131"/>
      <c r="H108" s="131"/>
      <c r="I108" s="131"/>
      <c r="J108" s="131"/>
      <c r="K108" s="131"/>
    </row>
    <row r="109" spans="1:11" outlineLevel="1" x14ac:dyDescent="0.25">
      <c r="A109" s="59"/>
      <c r="B109" s="131"/>
      <c r="C109" s="131"/>
      <c r="D109" s="131"/>
      <c r="E109" s="131"/>
      <c r="F109" s="131"/>
      <c r="G109" s="131"/>
      <c r="H109" s="131"/>
      <c r="I109" s="131"/>
      <c r="J109" s="131"/>
      <c r="K109" s="131"/>
    </row>
    <row r="110" spans="1:11" outlineLevel="1" x14ac:dyDescent="0.25">
      <c r="A110" s="59"/>
      <c r="B110" s="131"/>
      <c r="C110" s="131"/>
      <c r="D110" s="131"/>
      <c r="E110" s="131"/>
      <c r="F110" s="131"/>
      <c r="G110" s="131"/>
      <c r="H110" s="131"/>
      <c r="I110" s="131"/>
      <c r="J110" s="131"/>
      <c r="K110" s="131"/>
    </row>
    <row r="111" spans="1:11" outlineLevel="1" x14ac:dyDescent="0.25">
      <c r="A111" s="59"/>
      <c r="B111" s="131"/>
      <c r="C111" s="131"/>
      <c r="D111" s="131"/>
      <c r="E111" s="131"/>
      <c r="F111" s="131"/>
      <c r="G111" s="131"/>
      <c r="H111" s="131"/>
      <c r="I111" s="131"/>
      <c r="J111" s="131"/>
      <c r="K111" s="131"/>
    </row>
    <row r="112" spans="1:11" outlineLevel="1" x14ac:dyDescent="0.25">
      <c r="A112" s="59"/>
      <c r="B112" s="131"/>
      <c r="C112" s="131"/>
      <c r="D112" s="131"/>
      <c r="E112" s="131"/>
      <c r="F112" s="131"/>
      <c r="G112" s="131"/>
      <c r="H112" s="131"/>
      <c r="I112" s="131"/>
      <c r="J112" s="131"/>
      <c r="K112" s="131"/>
    </row>
    <row r="113" spans="1:11" outlineLevel="1" x14ac:dyDescent="0.25">
      <c r="A113" s="59"/>
      <c r="B113" s="131"/>
      <c r="C113" s="131"/>
      <c r="D113" s="131"/>
      <c r="E113" s="131"/>
      <c r="F113" s="131"/>
      <c r="G113" s="131"/>
      <c r="H113" s="131"/>
      <c r="I113" s="131"/>
      <c r="J113" s="131"/>
      <c r="K113" s="131"/>
    </row>
    <row r="114" spans="1:11" outlineLevel="1" x14ac:dyDescent="0.25">
      <c r="A114" s="59"/>
      <c r="B114" s="131"/>
      <c r="C114" s="131"/>
      <c r="D114" s="131"/>
      <c r="E114" s="131"/>
      <c r="F114" s="131"/>
      <c r="G114" s="131"/>
      <c r="H114" s="131"/>
      <c r="I114" s="131"/>
      <c r="J114" s="131"/>
      <c r="K114" s="131"/>
    </row>
    <row r="115" spans="1:11" outlineLevel="1" x14ac:dyDescent="0.25">
      <c r="A115" s="59"/>
      <c r="B115" s="131"/>
      <c r="C115" s="131"/>
      <c r="D115" s="131"/>
      <c r="E115" s="131"/>
      <c r="F115" s="131"/>
      <c r="G115" s="131"/>
      <c r="H115" s="131"/>
      <c r="I115" s="131"/>
      <c r="J115" s="131"/>
      <c r="K115" s="131"/>
    </row>
    <row r="116" spans="1:11" outlineLevel="1" x14ac:dyDescent="0.25">
      <c r="A116" s="59"/>
      <c r="B116" s="131"/>
      <c r="C116" s="131"/>
      <c r="D116" s="131"/>
      <c r="E116" s="131"/>
      <c r="F116" s="131"/>
      <c r="G116" s="131"/>
      <c r="H116" s="131"/>
      <c r="I116" s="131"/>
      <c r="J116" s="131"/>
      <c r="K116" s="131"/>
    </row>
    <row r="117" spans="1:11" outlineLevel="1" x14ac:dyDescent="0.25">
      <c r="A117" s="59"/>
      <c r="B117" s="131"/>
      <c r="C117" s="131"/>
      <c r="D117" s="131"/>
      <c r="E117" s="131"/>
      <c r="F117" s="131"/>
      <c r="G117" s="131"/>
      <c r="H117" s="131"/>
      <c r="I117" s="131"/>
      <c r="J117" s="131"/>
      <c r="K117" s="131"/>
    </row>
    <row r="118" spans="1:11" outlineLevel="1" x14ac:dyDescent="0.25">
      <c r="A118" s="59"/>
      <c r="B118" s="131"/>
      <c r="C118" s="131"/>
      <c r="D118" s="131"/>
      <c r="E118" s="131"/>
      <c r="F118" s="131"/>
      <c r="G118" s="131"/>
      <c r="H118" s="131"/>
      <c r="I118" s="131"/>
      <c r="J118" s="131"/>
      <c r="K118" s="131"/>
    </row>
    <row r="119" spans="1:11" outlineLevel="1" x14ac:dyDescent="0.25">
      <c r="A119" s="59"/>
      <c r="B119" s="131"/>
      <c r="C119" s="131"/>
      <c r="D119" s="131"/>
      <c r="E119" s="131"/>
      <c r="F119" s="131"/>
      <c r="G119" s="131"/>
      <c r="H119" s="131"/>
      <c r="I119" s="131"/>
      <c r="J119" s="131"/>
      <c r="K119" s="131"/>
    </row>
    <row r="120" spans="1:11" outlineLevel="1" x14ac:dyDescent="0.25">
      <c r="A120" s="59"/>
      <c r="B120" s="131"/>
      <c r="C120" s="131"/>
      <c r="D120" s="131"/>
      <c r="E120" s="131"/>
      <c r="F120" s="131"/>
      <c r="G120" s="131"/>
      <c r="H120" s="131"/>
      <c r="I120" s="131"/>
      <c r="J120" s="131"/>
      <c r="K120" s="131"/>
    </row>
    <row r="121" spans="1:11" outlineLevel="1" x14ac:dyDescent="0.25">
      <c r="A121" s="59"/>
      <c r="B121" s="131"/>
      <c r="C121" s="131"/>
      <c r="D121" s="131"/>
      <c r="E121" s="131"/>
      <c r="F121" s="131"/>
      <c r="G121" s="131"/>
      <c r="H121" s="131"/>
      <c r="I121" s="131"/>
      <c r="J121" s="131"/>
      <c r="K121" s="131"/>
    </row>
    <row r="122" spans="1:11" outlineLevel="1" x14ac:dyDescent="0.25">
      <c r="A122" s="59"/>
      <c r="B122" s="131"/>
      <c r="C122" s="131"/>
      <c r="D122" s="131"/>
      <c r="E122" s="131"/>
      <c r="F122" s="131"/>
      <c r="G122" s="131"/>
      <c r="H122" s="131"/>
      <c r="I122" s="131"/>
      <c r="J122" s="131"/>
      <c r="K122" s="131"/>
    </row>
    <row r="123" spans="1:11" outlineLevel="1" x14ac:dyDescent="0.25">
      <c r="A123" s="59"/>
      <c r="B123" s="131"/>
      <c r="C123" s="131"/>
      <c r="D123" s="131"/>
      <c r="E123" s="131"/>
      <c r="F123" s="131"/>
      <c r="G123" s="131"/>
      <c r="H123" s="131"/>
      <c r="I123" s="131"/>
      <c r="J123" s="131"/>
      <c r="K123" s="131"/>
    </row>
    <row r="124" spans="1:11" outlineLevel="1" x14ac:dyDescent="0.25">
      <c r="A124" s="59"/>
      <c r="B124" s="131"/>
      <c r="C124" s="131"/>
      <c r="D124" s="131"/>
      <c r="E124" s="131"/>
      <c r="F124" s="131"/>
      <c r="G124" s="131"/>
      <c r="H124" s="131"/>
      <c r="I124" s="131"/>
      <c r="J124" s="131"/>
      <c r="K124" s="131"/>
    </row>
    <row r="125" spans="1:11" outlineLevel="1" x14ac:dyDescent="0.25">
      <c r="A125" s="59"/>
      <c r="B125" s="131"/>
      <c r="C125" s="131"/>
      <c r="D125" s="131"/>
      <c r="E125" s="131"/>
      <c r="F125" s="131"/>
      <c r="G125" s="131"/>
      <c r="H125" s="131"/>
      <c r="I125" s="131"/>
      <c r="J125" s="131"/>
      <c r="K125" s="131"/>
    </row>
    <row r="126" spans="1:11" outlineLevel="1" x14ac:dyDescent="0.25">
      <c r="A126" s="59"/>
      <c r="B126" s="131"/>
      <c r="C126" s="131"/>
      <c r="D126" s="131"/>
      <c r="E126" s="131"/>
      <c r="F126" s="131"/>
      <c r="G126" s="131"/>
      <c r="H126" s="131"/>
      <c r="I126" s="131"/>
      <c r="J126" s="131"/>
      <c r="K126" s="131"/>
    </row>
    <row r="127" spans="1:11" outlineLevel="1" x14ac:dyDescent="0.25">
      <c r="A127" s="59"/>
      <c r="B127" s="131"/>
      <c r="C127" s="131"/>
      <c r="D127" s="131"/>
      <c r="E127" s="131"/>
      <c r="F127" s="131"/>
      <c r="G127" s="131"/>
      <c r="H127" s="131"/>
      <c r="I127" s="131"/>
      <c r="J127" s="131"/>
      <c r="K127" s="131"/>
    </row>
    <row r="128" spans="1:11" outlineLevel="1" x14ac:dyDescent="0.25">
      <c r="A128" s="59"/>
      <c r="B128" s="131"/>
      <c r="C128" s="131"/>
      <c r="D128" s="131"/>
      <c r="E128" s="131"/>
      <c r="F128" s="131"/>
      <c r="G128" s="131"/>
      <c r="H128" s="131"/>
      <c r="I128" s="131"/>
      <c r="J128" s="131"/>
      <c r="K128" s="131"/>
    </row>
    <row r="129" spans="1:11" outlineLevel="1" x14ac:dyDescent="0.25">
      <c r="A129" s="59"/>
      <c r="B129" s="131"/>
      <c r="C129" s="131"/>
      <c r="D129" s="131"/>
      <c r="E129" s="131"/>
      <c r="F129" s="131"/>
      <c r="G129" s="131"/>
      <c r="H129" s="131"/>
      <c r="I129" s="131"/>
      <c r="J129" s="131"/>
      <c r="K129" s="131"/>
    </row>
    <row r="130" spans="1:11" outlineLevel="1" x14ac:dyDescent="0.25">
      <c r="A130" s="59"/>
      <c r="B130" s="131"/>
      <c r="C130" s="131"/>
      <c r="D130" s="131"/>
      <c r="E130" s="131"/>
      <c r="F130" s="131"/>
      <c r="G130" s="131"/>
      <c r="H130" s="131"/>
      <c r="I130" s="131"/>
      <c r="J130" s="131"/>
      <c r="K130" s="131"/>
    </row>
    <row r="131" spans="1:11" outlineLevel="1" x14ac:dyDescent="0.25">
      <c r="A131" s="59"/>
      <c r="B131" s="131"/>
      <c r="C131" s="131"/>
      <c r="D131" s="131"/>
      <c r="E131" s="131"/>
      <c r="F131" s="131"/>
      <c r="G131" s="131"/>
      <c r="H131" s="131"/>
      <c r="I131" s="131"/>
      <c r="J131" s="131"/>
      <c r="K131" s="131"/>
    </row>
    <row r="132" spans="1:11" outlineLevel="1" x14ac:dyDescent="0.25">
      <c r="A132" s="59"/>
      <c r="B132" s="131"/>
      <c r="C132" s="131"/>
      <c r="D132" s="131"/>
      <c r="E132" s="131"/>
      <c r="F132" s="131"/>
      <c r="G132" s="131"/>
      <c r="H132" s="131"/>
      <c r="I132" s="131"/>
      <c r="J132" s="131"/>
      <c r="K132" s="131"/>
    </row>
    <row r="133" spans="1:11" outlineLevel="1" x14ac:dyDescent="0.25">
      <c r="A133" s="59"/>
      <c r="B133" s="131"/>
      <c r="C133" s="131"/>
      <c r="D133" s="131"/>
      <c r="E133" s="131"/>
      <c r="F133" s="131"/>
      <c r="G133" s="131"/>
      <c r="H133" s="131"/>
      <c r="I133" s="131"/>
      <c r="J133" s="131"/>
      <c r="K133" s="131"/>
    </row>
    <row r="134" spans="1:11" outlineLevel="1" x14ac:dyDescent="0.25">
      <c r="A134" s="59"/>
      <c r="B134" s="131"/>
      <c r="C134" s="131"/>
      <c r="D134" s="131"/>
      <c r="E134" s="131"/>
      <c r="F134" s="131"/>
      <c r="G134" s="131"/>
      <c r="H134" s="131"/>
      <c r="I134" s="131"/>
      <c r="J134" s="131"/>
      <c r="K134" s="131"/>
    </row>
    <row r="135" spans="1:11" outlineLevel="1" x14ac:dyDescent="0.25">
      <c r="A135" s="59"/>
      <c r="B135" s="131"/>
      <c r="C135" s="131"/>
      <c r="D135" s="131"/>
      <c r="E135" s="131"/>
      <c r="F135" s="131"/>
      <c r="G135" s="131"/>
      <c r="H135" s="131"/>
      <c r="I135" s="131"/>
      <c r="J135" s="131"/>
      <c r="K135" s="131"/>
    </row>
    <row r="136" spans="1:11" outlineLevel="1" x14ac:dyDescent="0.25">
      <c r="A136" s="59"/>
      <c r="B136" s="131"/>
      <c r="C136" s="131"/>
      <c r="D136" s="131"/>
      <c r="E136" s="131"/>
      <c r="F136" s="131"/>
      <c r="G136" s="131"/>
      <c r="H136" s="131"/>
      <c r="I136" s="131"/>
      <c r="J136" s="131"/>
      <c r="K136" s="131"/>
    </row>
    <row r="137" spans="1:11" outlineLevel="1" x14ac:dyDescent="0.25">
      <c r="A137" s="59"/>
      <c r="B137" s="131"/>
      <c r="C137" s="131"/>
      <c r="D137" s="131"/>
      <c r="E137" s="131"/>
      <c r="F137" s="131"/>
      <c r="G137" s="131"/>
      <c r="H137" s="131"/>
      <c r="I137" s="131"/>
      <c r="J137" s="131"/>
      <c r="K137" s="131"/>
    </row>
    <row r="138" spans="1:11" outlineLevel="1" x14ac:dyDescent="0.25">
      <c r="A138" s="59"/>
      <c r="B138" s="131"/>
      <c r="C138" s="131"/>
      <c r="D138" s="131"/>
      <c r="E138" s="131"/>
      <c r="F138" s="131"/>
      <c r="G138" s="131"/>
      <c r="H138" s="131"/>
      <c r="I138" s="131"/>
      <c r="J138" s="131"/>
      <c r="K138" s="131"/>
    </row>
    <row r="139" spans="1:11" outlineLevel="1" x14ac:dyDescent="0.25">
      <c r="A139" s="59"/>
      <c r="B139" s="131"/>
      <c r="C139" s="131"/>
      <c r="D139" s="131"/>
      <c r="E139" s="131"/>
      <c r="F139" s="131"/>
      <c r="G139" s="131"/>
      <c r="H139" s="131"/>
      <c r="I139" s="131"/>
      <c r="J139" s="131"/>
      <c r="K139" s="131"/>
    </row>
    <row r="140" spans="1:11" outlineLevel="1" x14ac:dyDescent="0.25">
      <c r="A140" s="59"/>
      <c r="B140" s="131"/>
      <c r="C140" s="131"/>
      <c r="D140" s="131"/>
      <c r="E140" s="131"/>
      <c r="F140" s="131"/>
      <c r="G140" s="131"/>
      <c r="H140" s="131"/>
      <c r="I140" s="131"/>
      <c r="J140" s="131"/>
      <c r="K140" s="131"/>
    </row>
    <row r="141" spans="1:11" outlineLevel="1" x14ac:dyDescent="0.25">
      <c r="A141" s="59"/>
      <c r="B141" s="131"/>
      <c r="C141" s="131"/>
      <c r="D141" s="131"/>
      <c r="E141" s="131"/>
      <c r="F141" s="131"/>
      <c r="G141" s="131"/>
      <c r="H141" s="131"/>
      <c r="I141" s="131"/>
      <c r="J141" s="131"/>
      <c r="K141" s="131"/>
    </row>
    <row r="142" spans="1:11" outlineLevel="1" x14ac:dyDescent="0.25">
      <c r="A142" s="59"/>
      <c r="B142" s="131"/>
      <c r="C142" s="131"/>
      <c r="D142" s="131"/>
      <c r="E142" s="131"/>
      <c r="F142" s="131"/>
      <c r="G142" s="131"/>
      <c r="H142" s="131"/>
      <c r="I142" s="131"/>
      <c r="J142" s="131"/>
      <c r="K142" s="131"/>
    </row>
    <row r="143" spans="1:11" outlineLevel="1" x14ac:dyDescent="0.25">
      <c r="A143" s="59"/>
      <c r="B143" s="131"/>
      <c r="C143" s="131"/>
      <c r="D143" s="131"/>
      <c r="E143" s="131"/>
      <c r="F143" s="131"/>
      <c r="G143" s="131"/>
      <c r="H143" s="131"/>
      <c r="I143" s="131"/>
      <c r="J143" s="131"/>
      <c r="K143" s="131"/>
    </row>
    <row r="144" spans="1:11" outlineLevel="1" x14ac:dyDescent="0.25">
      <c r="A144" s="59"/>
      <c r="B144" s="131"/>
      <c r="C144" s="131"/>
      <c r="D144" s="131"/>
      <c r="E144" s="131"/>
      <c r="F144" s="131"/>
      <c r="G144" s="131"/>
      <c r="H144" s="131"/>
      <c r="I144" s="131"/>
      <c r="J144" s="131"/>
      <c r="K144" s="131"/>
    </row>
    <row r="145" spans="1:11" outlineLevel="1" x14ac:dyDescent="0.25">
      <c r="A145" s="59"/>
      <c r="B145" s="131"/>
      <c r="C145" s="131"/>
      <c r="D145" s="131"/>
      <c r="E145" s="131"/>
      <c r="F145" s="131"/>
      <c r="G145" s="131"/>
      <c r="H145" s="131"/>
      <c r="I145" s="131"/>
      <c r="J145" s="131"/>
      <c r="K145" s="131"/>
    </row>
    <row r="146" spans="1:11" outlineLevel="1" x14ac:dyDescent="0.25">
      <c r="A146" s="59"/>
      <c r="B146" s="131"/>
      <c r="C146" s="131"/>
      <c r="D146" s="131"/>
      <c r="E146" s="131"/>
      <c r="F146" s="131"/>
      <c r="G146" s="131"/>
      <c r="H146" s="131"/>
      <c r="I146" s="131"/>
      <c r="J146" s="131"/>
      <c r="K146" s="131"/>
    </row>
    <row r="147" spans="1:11" outlineLevel="1" x14ac:dyDescent="0.25">
      <c r="A147" s="59"/>
      <c r="B147" s="131"/>
      <c r="C147" s="131"/>
      <c r="D147" s="131"/>
      <c r="E147" s="131"/>
      <c r="F147" s="131"/>
      <c r="G147" s="131"/>
      <c r="H147" s="131"/>
      <c r="I147" s="131"/>
      <c r="J147" s="131"/>
      <c r="K147" s="131"/>
    </row>
    <row r="148" spans="1:11" outlineLevel="1" x14ac:dyDescent="0.25">
      <c r="A148" s="59"/>
      <c r="B148" s="131"/>
      <c r="C148" s="131"/>
      <c r="D148" s="131"/>
      <c r="E148" s="131"/>
      <c r="F148" s="131"/>
      <c r="G148" s="131"/>
      <c r="H148" s="131"/>
      <c r="I148" s="131"/>
      <c r="J148" s="131"/>
      <c r="K148" s="131"/>
    </row>
    <row r="149" spans="1:11" outlineLevel="1" x14ac:dyDescent="0.25">
      <c r="A149" s="59"/>
      <c r="B149" s="131"/>
      <c r="C149" s="131"/>
      <c r="D149" s="131"/>
      <c r="E149" s="131"/>
      <c r="F149" s="131"/>
      <c r="G149" s="131"/>
      <c r="H149" s="131"/>
      <c r="I149" s="131"/>
      <c r="J149" s="131"/>
      <c r="K149" s="131"/>
    </row>
    <row r="150" spans="1:11" outlineLevel="1" x14ac:dyDescent="0.25">
      <c r="A150" s="59"/>
      <c r="B150" s="131"/>
      <c r="C150" s="131"/>
      <c r="D150" s="131"/>
      <c r="E150" s="131"/>
      <c r="F150" s="131"/>
      <c r="G150" s="131"/>
      <c r="H150" s="131"/>
      <c r="I150" s="131"/>
      <c r="J150" s="131"/>
      <c r="K150" s="131"/>
    </row>
    <row r="151" spans="1:11" outlineLevel="1" x14ac:dyDescent="0.25">
      <c r="A151" s="59"/>
      <c r="B151" s="131"/>
      <c r="C151" s="131"/>
      <c r="D151" s="131"/>
      <c r="E151" s="131"/>
      <c r="F151" s="131"/>
      <c r="G151" s="131"/>
      <c r="H151" s="131"/>
      <c r="I151" s="131"/>
      <c r="J151" s="131"/>
      <c r="K151" s="131"/>
    </row>
    <row r="152" spans="1:11" outlineLevel="1" x14ac:dyDescent="0.25">
      <c r="A152" s="59"/>
      <c r="B152" s="131"/>
      <c r="C152" s="131"/>
      <c r="D152" s="131"/>
      <c r="E152" s="131"/>
      <c r="F152" s="131"/>
      <c r="G152" s="131"/>
      <c r="H152" s="131"/>
      <c r="I152" s="131"/>
      <c r="J152" s="131"/>
      <c r="K152" s="131"/>
    </row>
    <row r="153" spans="1:11" outlineLevel="1" x14ac:dyDescent="0.25">
      <c r="A153" s="59"/>
      <c r="B153" s="131"/>
      <c r="C153" s="131"/>
      <c r="D153" s="131"/>
      <c r="E153" s="131"/>
      <c r="F153" s="131"/>
      <c r="G153" s="131"/>
      <c r="H153" s="131"/>
      <c r="I153" s="131"/>
      <c r="J153" s="131"/>
      <c r="K153" s="131"/>
    </row>
    <row r="154" spans="1:11" outlineLevel="1" x14ac:dyDescent="0.25">
      <c r="A154" s="59"/>
      <c r="B154" s="131"/>
      <c r="C154" s="131"/>
      <c r="D154" s="131"/>
      <c r="E154" s="131"/>
      <c r="F154" s="131"/>
      <c r="G154" s="131"/>
      <c r="H154" s="131"/>
      <c r="I154" s="131"/>
      <c r="J154" s="131"/>
      <c r="K154" s="131"/>
    </row>
    <row r="155" spans="1:11" outlineLevel="1" x14ac:dyDescent="0.25">
      <c r="A155" s="59"/>
      <c r="B155" s="131"/>
      <c r="C155" s="131"/>
      <c r="D155" s="131"/>
      <c r="E155" s="131"/>
      <c r="F155" s="131"/>
      <c r="G155" s="131"/>
      <c r="H155" s="131"/>
      <c r="I155" s="131"/>
      <c r="J155" s="131"/>
      <c r="K155" s="131"/>
    </row>
    <row r="156" spans="1:11" outlineLevel="1" x14ac:dyDescent="0.25">
      <c r="A156" s="59"/>
      <c r="B156" s="131"/>
      <c r="C156" s="131"/>
      <c r="D156" s="131"/>
      <c r="E156" s="131"/>
      <c r="F156" s="131"/>
      <c r="G156" s="131"/>
      <c r="H156" s="131"/>
      <c r="I156" s="131"/>
      <c r="J156" s="131"/>
      <c r="K156" s="131"/>
    </row>
    <row r="157" spans="1:11" outlineLevel="1" x14ac:dyDescent="0.25">
      <c r="A157" s="59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</row>
    <row r="158" spans="1:11" outlineLevel="1" x14ac:dyDescent="0.25">
      <c r="A158" s="59"/>
      <c r="B158" s="131"/>
      <c r="C158" s="131"/>
      <c r="D158" s="131"/>
      <c r="E158" s="131"/>
      <c r="F158" s="131"/>
      <c r="G158" s="131"/>
      <c r="H158" s="131"/>
      <c r="I158" s="131"/>
      <c r="J158" s="131"/>
      <c r="K158" s="131"/>
    </row>
    <row r="159" spans="1:11" outlineLevel="1" x14ac:dyDescent="0.25">
      <c r="A159" s="59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</row>
    <row r="160" spans="1:11" outlineLevel="1" x14ac:dyDescent="0.25">
      <c r="A160" s="59"/>
      <c r="B160" s="131"/>
      <c r="C160" s="131"/>
      <c r="D160" s="131"/>
      <c r="E160" s="131"/>
      <c r="F160" s="131"/>
      <c r="G160" s="131"/>
      <c r="H160" s="131"/>
      <c r="I160" s="131"/>
      <c r="J160" s="131"/>
      <c r="K160" s="131"/>
    </row>
    <row r="161" spans="1:11" outlineLevel="1" x14ac:dyDescent="0.25">
      <c r="A161" s="59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</row>
    <row r="162" spans="1:11" outlineLevel="1" x14ac:dyDescent="0.25">
      <c r="A162" s="59"/>
      <c r="B162" s="131"/>
      <c r="C162" s="131"/>
      <c r="D162" s="131"/>
      <c r="E162" s="131"/>
      <c r="F162" s="131"/>
      <c r="G162" s="131"/>
      <c r="H162" s="131"/>
      <c r="I162" s="131"/>
      <c r="J162" s="131"/>
      <c r="K162" s="131"/>
    </row>
    <row r="163" spans="1:11" outlineLevel="1" x14ac:dyDescent="0.25">
      <c r="A163" s="59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</row>
    <row r="164" spans="1:11" outlineLevel="1" x14ac:dyDescent="0.25">
      <c r="A164" s="59"/>
      <c r="B164" s="131"/>
      <c r="C164" s="131"/>
      <c r="D164" s="131"/>
      <c r="E164" s="131"/>
      <c r="F164" s="131"/>
      <c r="G164" s="131"/>
      <c r="H164" s="131"/>
      <c r="I164" s="131"/>
      <c r="J164" s="131"/>
      <c r="K164" s="131"/>
    </row>
    <row r="165" spans="1:11" outlineLevel="1" x14ac:dyDescent="0.25">
      <c r="A165" s="59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</row>
    <row r="166" spans="1:11" outlineLevel="1" x14ac:dyDescent="0.25">
      <c r="A166" s="59"/>
      <c r="B166" s="131"/>
      <c r="C166" s="131"/>
      <c r="D166" s="131"/>
      <c r="E166" s="131"/>
      <c r="F166" s="131"/>
      <c r="G166" s="131"/>
      <c r="H166" s="131"/>
      <c r="I166" s="131"/>
      <c r="J166" s="131"/>
      <c r="K166" s="131"/>
    </row>
    <row r="167" spans="1:11" outlineLevel="1" x14ac:dyDescent="0.25">
      <c r="A167" s="59"/>
      <c r="B167" s="131"/>
      <c r="C167" s="131"/>
      <c r="D167" s="131"/>
      <c r="E167" s="131"/>
      <c r="F167" s="131"/>
      <c r="G167" s="131"/>
      <c r="H167" s="131"/>
      <c r="I167" s="131"/>
      <c r="J167" s="131"/>
      <c r="K167" s="131"/>
    </row>
    <row r="168" spans="1:11" outlineLevel="1" x14ac:dyDescent="0.25">
      <c r="A168" s="59"/>
      <c r="B168" s="131"/>
      <c r="C168" s="131"/>
      <c r="D168" s="131"/>
      <c r="E168" s="131"/>
      <c r="F168" s="131"/>
      <c r="G168" s="131"/>
      <c r="H168" s="131"/>
      <c r="I168" s="131"/>
      <c r="J168" s="131"/>
      <c r="K168" s="131"/>
    </row>
    <row r="169" spans="1:11" outlineLevel="1" x14ac:dyDescent="0.25">
      <c r="A169" s="59"/>
      <c r="B169" s="131"/>
      <c r="C169" s="131"/>
      <c r="D169" s="131"/>
      <c r="E169" s="131"/>
      <c r="F169" s="131"/>
      <c r="G169" s="131"/>
      <c r="H169" s="131"/>
      <c r="I169" s="131"/>
      <c r="J169" s="131"/>
      <c r="K169" s="131"/>
    </row>
    <row r="170" spans="1:11" outlineLevel="1" x14ac:dyDescent="0.25">
      <c r="A170" s="59"/>
      <c r="B170" s="131"/>
      <c r="C170" s="131"/>
      <c r="D170" s="131"/>
      <c r="E170" s="131"/>
      <c r="F170" s="131"/>
      <c r="G170" s="131"/>
      <c r="H170" s="131"/>
      <c r="I170" s="131"/>
      <c r="J170" s="131"/>
      <c r="K170" s="131"/>
    </row>
    <row r="171" spans="1:11" outlineLevel="1" x14ac:dyDescent="0.25">
      <c r="A171" s="59"/>
      <c r="B171" s="131"/>
      <c r="C171" s="131"/>
      <c r="D171" s="131"/>
      <c r="E171" s="131"/>
      <c r="F171" s="131"/>
      <c r="G171" s="131"/>
      <c r="H171" s="131"/>
      <c r="I171" s="131"/>
      <c r="J171" s="131"/>
      <c r="K171" s="131"/>
    </row>
    <row r="172" spans="1:11" outlineLevel="1" x14ac:dyDescent="0.25">
      <c r="A172" s="59"/>
      <c r="B172" s="131"/>
      <c r="C172" s="131"/>
      <c r="D172" s="131"/>
      <c r="E172" s="131"/>
      <c r="F172" s="131"/>
      <c r="G172" s="131"/>
      <c r="H172" s="131"/>
      <c r="I172" s="131"/>
      <c r="J172" s="131"/>
      <c r="K172" s="131"/>
    </row>
    <row r="173" spans="1:11" outlineLevel="1" x14ac:dyDescent="0.25">
      <c r="A173" s="59"/>
      <c r="B173" s="131"/>
      <c r="C173" s="131"/>
      <c r="D173" s="131"/>
      <c r="E173" s="131"/>
      <c r="F173" s="131"/>
      <c r="G173" s="131"/>
      <c r="H173" s="131"/>
      <c r="I173" s="131"/>
      <c r="J173" s="131"/>
      <c r="K173" s="131"/>
    </row>
    <row r="174" spans="1:11" outlineLevel="1" x14ac:dyDescent="0.25">
      <c r="A174" s="59"/>
      <c r="B174" s="131"/>
      <c r="C174" s="131"/>
      <c r="D174" s="131"/>
      <c r="E174" s="131"/>
      <c r="F174" s="131"/>
      <c r="G174" s="131"/>
      <c r="H174" s="131"/>
      <c r="I174" s="131"/>
      <c r="J174" s="131"/>
      <c r="K174" s="131"/>
    </row>
    <row r="175" spans="1:11" outlineLevel="1" x14ac:dyDescent="0.25">
      <c r="A175" s="59"/>
      <c r="B175" s="131"/>
      <c r="C175" s="131"/>
      <c r="D175" s="131"/>
      <c r="E175" s="131"/>
      <c r="F175" s="131"/>
      <c r="G175" s="131"/>
      <c r="H175" s="131"/>
      <c r="I175" s="131"/>
      <c r="J175" s="131"/>
      <c r="K175" s="131"/>
    </row>
    <row r="176" spans="1:11" outlineLevel="1" x14ac:dyDescent="0.25">
      <c r="A176" s="59"/>
      <c r="B176" s="131"/>
      <c r="C176" s="131"/>
      <c r="D176" s="131"/>
      <c r="E176" s="131"/>
      <c r="F176" s="131"/>
      <c r="G176" s="131"/>
      <c r="H176" s="131"/>
      <c r="I176" s="131"/>
      <c r="J176" s="131"/>
      <c r="K176" s="131"/>
    </row>
    <row r="177" spans="1:11" outlineLevel="1" x14ac:dyDescent="0.25">
      <c r="A177" s="59"/>
      <c r="B177" s="131"/>
      <c r="C177" s="131"/>
      <c r="D177" s="131"/>
      <c r="E177" s="131"/>
      <c r="F177" s="131"/>
      <c r="G177" s="131"/>
      <c r="H177" s="131"/>
      <c r="I177" s="131"/>
      <c r="J177" s="131"/>
      <c r="K177" s="131"/>
    </row>
    <row r="178" spans="1:11" outlineLevel="1" x14ac:dyDescent="0.25">
      <c r="A178" s="59"/>
      <c r="B178" s="131"/>
      <c r="C178" s="131"/>
      <c r="D178" s="131"/>
      <c r="E178" s="131"/>
      <c r="F178" s="131"/>
      <c r="G178" s="131"/>
      <c r="H178" s="131"/>
      <c r="I178" s="131"/>
      <c r="J178" s="131"/>
      <c r="K178" s="131"/>
    </row>
    <row r="179" spans="1:11" outlineLevel="1" x14ac:dyDescent="0.25">
      <c r="A179" s="59"/>
      <c r="B179" s="131"/>
      <c r="C179" s="131"/>
      <c r="D179" s="131"/>
      <c r="E179" s="131"/>
      <c r="F179" s="131"/>
      <c r="G179" s="131"/>
      <c r="H179" s="131"/>
      <c r="I179" s="131"/>
      <c r="J179" s="131"/>
      <c r="K179" s="131"/>
    </row>
    <row r="180" spans="1:11" outlineLevel="1" x14ac:dyDescent="0.25">
      <c r="A180" s="59"/>
      <c r="B180" s="131"/>
      <c r="C180" s="131"/>
      <c r="D180" s="131"/>
      <c r="E180" s="131"/>
      <c r="F180" s="131"/>
      <c r="G180" s="131"/>
      <c r="H180" s="131"/>
      <c r="I180" s="131"/>
      <c r="J180" s="131"/>
      <c r="K180" s="131"/>
    </row>
    <row r="181" spans="1:11" outlineLevel="1" x14ac:dyDescent="0.25">
      <c r="A181" s="59"/>
      <c r="B181" s="131"/>
      <c r="C181" s="131"/>
      <c r="D181" s="131"/>
      <c r="E181" s="131"/>
      <c r="F181" s="131"/>
      <c r="G181" s="131"/>
      <c r="H181" s="131"/>
      <c r="I181" s="131"/>
      <c r="J181" s="131"/>
      <c r="K181" s="131"/>
    </row>
    <row r="182" spans="1:11" outlineLevel="1" x14ac:dyDescent="0.25">
      <c r="A182" s="59"/>
      <c r="B182" s="131"/>
      <c r="C182" s="131"/>
      <c r="D182" s="131"/>
      <c r="E182" s="131"/>
      <c r="F182" s="131"/>
      <c r="G182" s="131"/>
      <c r="H182" s="131"/>
      <c r="I182" s="131"/>
      <c r="J182" s="131"/>
      <c r="K182" s="131"/>
    </row>
    <row r="183" spans="1:11" outlineLevel="1" x14ac:dyDescent="0.25">
      <c r="A183" s="59"/>
      <c r="B183" s="131"/>
      <c r="C183" s="131"/>
      <c r="D183" s="131"/>
      <c r="E183" s="131"/>
      <c r="F183" s="131"/>
      <c r="G183" s="131"/>
      <c r="H183" s="131"/>
      <c r="I183" s="131"/>
      <c r="J183" s="131"/>
      <c r="K183" s="131"/>
    </row>
    <row r="184" spans="1:11" outlineLevel="1" x14ac:dyDescent="0.25">
      <c r="A184" s="59"/>
      <c r="B184" s="131"/>
      <c r="C184" s="131"/>
      <c r="D184" s="131"/>
      <c r="E184" s="131"/>
      <c r="F184" s="131"/>
      <c r="G184" s="131"/>
      <c r="H184" s="131"/>
      <c r="I184" s="131"/>
      <c r="J184" s="131"/>
      <c r="K184" s="131"/>
    </row>
    <row r="185" spans="1:11" outlineLevel="1" x14ac:dyDescent="0.25">
      <c r="A185" s="59"/>
      <c r="B185" s="131"/>
      <c r="C185" s="131"/>
      <c r="D185" s="131"/>
      <c r="E185" s="131"/>
      <c r="F185" s="131"/>
      <c r="G185" s="131"/>
      <c r="H185" s="131"/>
      <c r="I185" s="131"/>
      <c r="J185" s="131"/>
      <c r="K185" s="131"/>
    </row>
    <row r="186" spans="1:11" outlineLevel="1" x14ac:dyDescent="0.25">
      <c r="A186" s="59"/>
      <c r="B186" s="131"/>
      <c r="C186" s="131"/>
      <c r="D186" s="131"/>
      <c r="E186" s="131"/>
      <c r="F186" s="131"/>
      <c r="G186" s="131"/>
      <c r="H186" s="131"/>
      <c r="I186" s="131"/>
      <c r="J186" s="131"/>
      <c r="K186" s="131"/>
    </row>
    <row r="187" spans="1:11" outlineLevel="1" x14ac:dyDescent="0.25">
      <c r="A187" s="59"/>
      <c r="B187" s="131"/>
      <c r="C187" s="131"/>
      <c r="D187" s="131"/>
      <c r="E187" s="131"/>
      <c r="F187" s="131"/>
      <c r="G187" s="131"/>
      <c r="H187" s="131"/>
      <c r="I187" s="131"/>
      <c r="J187" s="131"/>
      <c r="K187" s="131"/>
    </row>
    <row r="188" spans="1:11" outlineLevel="1" x14ac:dyDescent="0.25">
      <c r="A188" s="59"/>
      <c r="B188" s="131"/>
      <c r="C188" s="131"/>
      <c r="D188" s="131"/>
      <c r="E188" s="131"/>
      <c r="F188" s="131"/>
      <c r="G188" s="131"/>
      <c r="H188" s="131"/>
      <c r="I188" s="131"/>
      <c r="J188" s="131"/>
      <c r="K188" s="131"/>
    </row>
    <row r="189" spans="1:11" outlineLevel="1" x14ac:dyDescent="0.25">
      <c r="A189" s="59"/>
      <c r="B189" s="131"/>
      <c r="C189" s="131"/>
      <c r="D189" s="131"/>
      <c r="E189" s="131"/>
      <c r="F189" s="131"/>
      <c r="G189" s="131"/>
      <c r="H189" s="131"/>
      <c r="I189" s="131"/>
      <c r="J189" s="131"/>
      <c r="K189" s="131"/>
    </row>
    <row r="190" spans="1:11" outlineLevel="1" x14ac:dyDescent="0.25">
      <c r="A190" s="59"/>
      <c r="B190" s="131"/>
      <c r="C190" s="131"/>
      <c r="D190" s="131"/>
      <c r="E190" s="131"/>
      <c r="F190" s="131"/>
      <c r="G190" s="131"/>
      <c r="H190" s="131"/>
      <c r="I190" s="131"/>
      <c r="J190" s="131"/>
      <c r="K190" s="131"/>
    </row>
    <row r="191" spans="1:11" outlineLevel="1" x14ac:dyDescent="0.25">
      <c r="A191" s="59"/>
      <c r="B191" s="131"/>
      <c r="C191" s="131"/>
      <c r="D191" s="131"/>
      <c r="E191" s="131"/>
      <c r="F191" s="131"/>
      <c r="G191" s="131"/>
      <c r="H191" s="131"/>
      <c r="I191" s="131"/>
      <c r="J191" s="131"/>
      <c r="K191" s="131"/>
    </row>
    <row r="192" spans="1:11" outlineLevel="1" x14ac:dyDescent="0.25">
      <c r="A192" s="59"/>
      <c r="B192" s="131"/>
      <c r="C192" s="131"/>
      <c r="D192" s="131"/>
      <c r="E192" s="131"/>
      <c r="F192" s="131"/>
      <c r="G192" s="131"/>
      <c r="H192" s="131"/>
      <c r="I192" s="131"/>
      <c r="J192" s="131"/>
      <c r="K192" s="131"/>
    </row>
    <row r="193" spans="1:11" outlineLevel="1" x14ac:dyDescent="0.25">
      <c r="A193" s="59"/>
      <c r="B193" s="131"/>
      <c r="C193" s="131"/>
      <c r="D193" s="131"/>
      <c r="E193" s="131"/>
      <c r="F193" s="131"/>
      <c r="G193" s="131"/>
      <c r="H193" s="131"/>
      <c r="I193" s="131"/>
      <c r="J193" s="131"/>
      <c r="K193" s="131"/>
    </row>
    <row r="194" spans="1:11" outlineLevel="1" x14ac:dyDescent="0.25">
      <c r="A194" s="59"/>
      <c r="B194" s="131"/>
      <c r="C194" s="131"/>
      <c r="D194" s="131"/>
      <c r="E194" s="131"/>
      <c r="F194" s="131"/>
      <c r="G194" s="131"/>
      <c r="H194" s="131"/>
      <c r="I194" s="131"/>
      <c r="J194" s="131"/>
      <c r="K194" s="131"/>
    </row>
    <row r="195" spans="1:11" outlineLevel="1" x14ac:dyDescent="0.25">
      <c r="A195" s="59"/>
      <c r="B195" s="131"/>
      <c r="C195" s="131"/>
      <c r="D195" s="131"/>
      <c r="E195" s="131"/>
      <c r="F195" s="131"/>
      <c r="G195" s="131"/>
      <c r="H195" s="131"/>
      <c r="I195" s="131"/>
      <c r="J195" s="131"/>
      <c r="K195" s="131"/>
    </row>
    <row r="196" spans="1:11" outlineLevel="1" x14ac:dyDescent="0.25">
      <c r="A196" s="59"/>
      <c r="B196" s="131"/>
      <c r="C196" s="131"/>
      <c r="D196" s="131"/>
      <c r="E196" s="131"/>
      <c r="F196" s="131"/>
      <c r="G196" s="131"/>
      <c r="H196" s="131"/>
      <c r="I196" s="131"/>
      <c r="J196" s="131"/>
      <c r="K196" s="131"/>
    </row>
    <row r="197" spans="1:11" outlineLevel="1" x14ac:dyDescent="0.25">
      <c r="A197" s="59"/>
      <c r="B197" s="131"/>
      <c r="C197" s="131"/>
      <c r="D197" s="131"/>
      <c r="E197" s="131"/>
      <c r="F197" s="131"/>
      <c r="G197" s="131"/>
      <c r="H197" s="131"/>
      <c r="I197" s="131"/>
      <c r="J197" s="131"/>
      <c r="K197" s="131"/>
    </row>
    <row r="198" spans="1:11" outlineLevel="1" x14ac:dyDescent="0.25">
      <c r="A198" s="59"/>
      <c r="B198" s="131"/>
      <c r="C198" s="131"/>
      <c r="D198" s="131"/>
      <c r="E198" s="131"/>
      <c r="F198" s="131"/>
      <c r="G198" s="131"/>
      <c r="H198" s="131"/>
      <c r="I198" s="131"/>
      <c r="J198" s="131"/>
      <c r="K198" s="131"/>
    </row>
    <row r="199" spans="1:11" outlineLevel="1" x14ac:dyDescent="0.25">
      <c r="A199" s="59"/>
      <c r="B199" s="131"/>
      <c r="C199" s="131"/>
      <c r="D199" s="131"/>
      <c r="E199" s="131"/>
      <c r="F199" s="131"/>
      <c r="G199" s="131"/>
      <c r="H199" s="131"/>
      <c r="I199" s="131"/>
      <c r="J199" s="131"/>
      <c r="K199" s="131"/>
    </row>
    <row r="200" spans="1:11" outlineLevel="1" x14ac:dyDescent="0.25">
      <c r="A200" s="59"/>
      <c r="B200" s="131"/>
      <c r="C200" s="131"/>
      <c r="D200" s="131"/>
      <c r="E200" s="131"/>
      <c r="F200" s="131"/>
      <c r="G200" s="131"/>
      <c r="H200" s="131"/>
      <c r="I200" s="131"/>
      <c r="J200" s="131"/>
      <c r="K200" s="131"/>
    </row>
    <row r="201" spans="1:11" outlineLevel="1" x14ac:dyDescent="0.25">
      <c r="A201" s="59"/>
      <c r="B201" s="131"/>
      <c r="C201" s="131"/>
      <c r="D201" s="131"/>
      <c r="E201" s="131"/>
      <c r="F201" s="131"/>
      <c r="G201" s="131"/>
      <c r="H201" s="131"/>
      <c r="I201" s="131"/>
      <c r="J201" s="131"/>
      <c r="K201" s="131"/>
    </row>
    <row r="202" spans="1:11" outlineLevel="1" x14ac:dyDescent="0.25">
      <c r="A202" s="59"/>
      <c r="B202" s="131"/>
      <c r="C202" s="131"/>
      <c r="D202" s="131"/>
      <c r="E202" s="131"/>
      <c r="F202" s="131"/>
      <c r="G202" s="131"/>
      <c r="H202" s="131"/>
      <c r="I202" s="131"/>
      <c r="J202" s="131"/>
      <c r="K202" s="131"/>
    </row>
    <row r="203" spans="1:11" outlineLevel="1" x14ac:dyDescent="0.25">
      <c r="A203" s="59"/>
      <c r="B203" s="131"/>
      <c r="C203" s="131"/>
      <c r="D203" s="131"/>
      <c r="E203" s="131"/>
      <c r="F203" s="131"/>
      <c r="G203" s="131"/>
      <c r="H203" s="131"/>
      <c r="I203" s="131"/>
      <c r="J203" s="131"/>
      <c r="K203" s="131"/>
    </row>
    <row r="204" spans="1:11" outlineLevel="1" x14ac:dyDescent="0.25">
      <c r="A204" s="59"/>
      <c r="B204" s="131"/>
      <c r="C204" s="131"/>
      <c r="D204" s="131"/>
      <c r="E204" s="131"/>
      <c r="F204" s="131"/>
      <c r="G204" s="131"/>
      <c r="H204" s="131"/>
      <c r="I204" s="131"/>
      <c r="J204" s="131"/>
      <c r="K204" s="131"/>
    </row>
    <row r="205" spans="1:11" outlineLevel="1" x14ac:dyDescent="0.25">
      <c r="A205" s="59"/>
      <c r="B205" s="131"/>
      <c r="C205" s="131"/>
      <c r="D205" s="131"/>
      <c r="E205" s="131"/>
      <c r="F205" s="131"/>
      <c r="G205" s="131"/>
      <c r="H205" s="131"/>
      <c r="I205" s="131"/>
      <c r="J205" s="131"/>
      <c r="K205" s="131"/>
    </row>
    <row r="206" spans="1:11" outlineLevel="1" x14ac:dyDescent="0.25">
      <c r="A206" s="59"/>
      <c r="B206" s="131"/>
      <c r="C206" s="131"/>
      <c r="D206" s="131"/>
      <c r="E206" s="131"/>
      <c r="F206" s="131"/>
      <c r="G206" s="131"/>
      <c r="H206" s="131"/>
      <c r="I206" s="131"/>
      <c r="J206" s="131"/>
      <c r="K206" s="131"/>
    </row>
    <row r="207" spans="1:11" outlineLevel="1" x14ac:dyDescent="0.25">
      <c r="A207" s="59"/>
      <c r="B207" s="131"/>
      <c r="C207" s="131"/>
      <c r="D207" s="131"/>
      <c r="E207" s="131"/>
      <c r="F207" s="131"/>
      <c r="G207" s="131"/>
      <c r="H207" s="131"/>
      <c r="I207" s="131"/>
      <c r="J207" s="131"/>
      <c r="K207" s="131"/>
    </row>
    <row r="208" spans="1:11" outlineLevel="1" x14ac:dyDescent="0.25">
      <c r="A208" s="59"/>
      <c r="B208" s="131"/>
      <c r="C208" s="131"/>
      <c r="D208" s="131"/>
      <c r="E208" s="131"/>
      <c r="F208" s="131"/>
      <c r="G208" s="131"/>
      <c r="H208" s="131"/>
      <c r="I208" s="131"/>
      <c r="J208" s="131"/>
      <c r="K208" s="131"/>
    </row>
    <row r="209" spans="1:11" outlineLevel="1" x14ac:dyDescent="0.25">
      <c r="A209" s="59"/>
      <c r="B209" s="131"/>
      <c r="C209" s="131"/>
      <c r="D209" s="131"/>
      <c r="E209" s="131"/>
      <c r="F209" s="131"/>
      <c r="G209" s="131"/>
      <c r="H209" s="131"/>
      <c r="I209" s="131"/>
      <c r="J209" s="131"/>
      <c r="K209" s="131"/>
    </row>
    <row r="210" spans="1:11" outlineLevel="1" x14ac:dyDescent="0.25">
      <c r="A210" s="59"/>
      <c r="B210" s="131"/>
      <c r="C210" s="131"/>
      <c r="D210" s="131"/>
      <c r="E210" s="131"/>
      <c r="F210" s="131"/>
      <c r="G210" s="131"/>
      <c r="H210" s="131"/>
      <c r="I210" s="131"/>
      <c r="J210" s="131"/>
      <c r="K210" s="131"/>
    </row>
    <row r="211" spans="1:11" outlineLevel="1" x14ac:dyDescent="0.25">
      <c r="A211" s="59"/>
      <c r="B211" s="131"/>
      <c r="C211" s="131"/>
      <c r="D211" s="131"/>
      <c r="E211" s="131"/>
      <c r="F211" s="131"/>
      <c r="G211" s="131"/>
      <c r="H211" s="131"/>
      <c r="I211" s="131"/>
      <c r="J211" s="131"/>
      <c r="K211" s="131"/>
    </row>
    <row r="212" spans="1:11" outlineLevel="1" x14ac:dyDescent="0.25">
      <c r="A212" s="59"/>
      <c r="B212" s="131"/>
      <c r="C212" s="131"/>
      <c r="D212" s="131"/>
      <c r="E212" s="131"/>
      <c r="F212" s="131"/>
      <c r="G212" s="131"/>
      <c r="H212" s="131"/>
      <c r="I212" s="131"/>
      <c r="J212" s="131"/>
      <c r="K212" s="131"/>
    </row>
    <row r="213" spans="1:11" outlineLevel="1" x14ac:dyDescent="0.25">
      <c r="A213" s="59"/>
      <c r="B213" s="131"/>
      <c r="C213" s="131"/>
      <c r="D213" s="131"/>
      <c r="E213" s="131"/>
      <c r="F213" s="131"/>
      <c r="G213" s="131"/>
      <c r="H213" s="131"/>
      <c r="I213" s="131"/>
      <c r="J213" s="131"/>
      <c r="K213" s="131"/>
    </row>
    <row r="214" spans="1:11" outlineLevel="1" x14ac:dyDescent="0.25">
      <c r="A214" s="59"/>
      <c r="B214" s="131"/>
      <c r="C214" s="131"/>
      <c r="D214" s="131"/>
      <c r="E214" s="131"/>
      <c r="F214" s="131"/>
      <c r="G214" s="131"/>
      <c r="H214" s="131"/>
      <c r="I214" s="131"/>
      <c r="J214" s="131"/>
      <c r="K214" s="131"/>
    </row>
    <row r="215" spans="1:11" outlineLevel="1" x14ac:dyDescent="0.25">
      <c r="A215" s="59"/>
      <c r="B215" s="131"/>
      <c r="C215" s="131"/>
      <c r="D215" s="131"/>
      <c r="E215" s="131"/>
      <c r="F215" s="131"/>
      <c r="G215" s="131"/>
      <c r="H215" s="131"/>
      <c r="I215" s="131"/>
      <c r="J215" s="131"/>
      <c r="K215" s="131"/>
    </row>
    <row r="216" spans="1:11" outlineLevel="1" x14ac:dyDescent="0.25">
      <c r="A216" s="59"/>
      <c r="B216" s="131"/>
      <c r="C216" s="131"/>
      <c r="D216" s="131"/>
      <c r="E216" s="131"/>
      <c r="F216" s="131"/>
      <c r="G216" s="131"/>
      <c r="H216" s="131"/>
      <c r="I216" s="131"/>
      <c r="J216" s="131"/>
      <c r="K216" s="131"/>
    </row>
    <row r="217" spans="1:11" outlineLevel="1" x14ac:dyDescent="0.25">
      <c r="A217" s="59"/>
      <c r="B217" s="131"/>
      <c r="C217" s="131"/>
      <c r="D217" s="131"/>
      <c r="E217" s="131"/>
      <c r="F217" s="131"/>
      <c r="G217" s="131"/>
      <c r="H217" s="131"/>
      <c r="I217" s="131"/>
      <c r="J217" s="131"/>
      <c r="K217" s="131"/>
    </row>
    <row r="218" spans="1:11" outlineLevel="1" x14ac:dyDescent="0.25">
      <c r="A218" s="59"/>
      <c r="B218" s="131"/>
      <c r="C218" s="131"/>
      <c r="D218" s="131"/>
      <c r="E218" s="131"/>
      <c r="F218" s="131"/>
      <c r="G218" s="131"/>
      <c r="H218" s="131"/>
      <c r="I218" s="131"/>
      <c r="J218" s="131"/>
      <c r="K218" s="131"/>
    </row>
    <row r="219" spans="1:11" outlineLevel="1" x14ac:dyDescent="0.25">
      <c r="A219" s="59"/>
      <c r="B219" s="131"/>
      <c r="C219" s="131"/>
      <c r="D219" s="131"/>
      <c r="E219" s="131"/>
      <c r="F219" s="131"/>
      <c r="G219" s="131"/>
      <c r="H219" s="131"/>
      <c r="I219" s="131"/>
      <c r="J219" s="131"/>
      <c r="K219" s="131"/>
    </row>
    <row r="220" spans="1:11" outlineLevel="1" x14ac:dyDescent="0.25">
      <c r="A220" s="59"/>
      <c r="B220" s="131"/>
      <c r="C220" s="131"/>
      <c r="D220" s="131"/>
      <c r="E220" s="131"/>
      <c r="F220" s="131"/>
      <c r="G220" s="131"/>
      <c r="H220" s="131"/>
      <c r="I220" s="131"/>
      <c r="J220" s="131"/>
      <c r="K220" s="131"/>
    </row>
    <row r="221" spans="1:11" outlineLevel="1" x14ac:dyDescent="0.25">
      <c r="A221" s="59"/>
      <c r="B221" s="131"/>
      <c r="C221" s="131"/>
      <c r="D221" s="131"/>
      <c r="E221" s="131"/>
      <c r="F221" s="131"/>
      <c r="G221" s="131"/>
      <c r="H221" s="131"/>
      <c r="I221" s="131"/>
      <c r="J221" s="131"/>
      <c r="K221" s="131"/>
    </row>
    <row r="222" spans="1:11" outlineLevel="1" x14ac:dyDescent="0.25">
      <c r="A222" s="59"/>
      <c r="B222" s="131"/>
      <c r="C222" s="131"/>
      <c r="D222" s="131"/>
      <c r="E222" s="131"/>
      <c r="F222" s="131"/>
      <c r="G222" s="131"/>
      <c r="H222" s="131"/>
      <c r="I222" s="131"/>
      <c r="J222" s="131"/>
      <c r="K222" s="131"/>
    </row>
    <row r="223" spans="1:11" outlineLevel="1" x14ac:dyDescent="0.25">
      <c r="A223" s="59"/>
      <c r="B223" s="131"/>
      <c r="C223" s="131"/>
      <c r="D223" s="131"/>
      <c r="E223" s="131"/>
      <c r="F223" s="131"/>
      <c r="G223" s="131"/>
      <c r="H223" s="131"/>
      <c r="I223" s="131"/>
      <c r="J223" s="131"/>
      <c r="K223" s="131"/>
    </row>
    <row r="224" spans="1:11" outlineLevel="1" x14ac:dyDescent="0.25">
      <c r="A224" s="59"/>
      <c r="B224" s="131"/>
      <c r="C224" s="131"/>
      <c r="D224" s="131"/>
      <c r="E224" s="131"/>
      <c r="F224" s="131"/>
      <c r="G224" s="131"/>
      <c r="H224" s="131"/>
      <c r="I224" s="131"/>
      <c r="J224" s="131"/>
      <c r="K224" s="131"/>
    </row>
    <row r="225" spans="1:11" outlineLevel="1" x14ac:dyDescent="0.25">
      <c r="A225" s="59"/>
      <c r="B225" s="131"/>
      <c r="C225" s="131"/>
      <c r="D225" s="131"/>
      <c r="E225" s="131"/>
      <c r="F225" s="131"/>
      <c r="G225" s="131"/>
      <c r="H225" s="131"/>
      <c r="I225" s="131"/>
      <c r="J225" s="131"/>
      <c r="K225" s="131"/>
    </row>
    <row r="226" spans="1:11" outlineLevel="1" x14ac:dyDescent="0.25">
      <c r="A226" s="59"/>
      <c r="B226" s="131"/>
      <c r="C226" s="131"/>
      <c r="D226" s="131"/>
      <c r="E226" s="131"/>
      <c r="F226" s="131"/>
      <c r="G226" s="131"/>
      <c r="H226" s="131"/>
      <c r="I226" s="131"/>
      <c r="J226" s="131"/>
      <c r="K226" s="131"/>
    </row>
    <row r="227" spans="1:11" outlineLevel="1" x14ac:dyDescent="0.25">
      <c r="A227" s="59"/>
      <c r="B227" s="131"/>
      <c r="C227" s="131"/>
      <c r="D227" s="131"/>
      <c r="E227" s="131"/>
      <c r="F227" s="131"/>
      <c r="G227" s="131"/>
      <c r="H227" s="131"/>
      <c r="I227" s="131"/>
      <c r="J227" s="131"/>
      <c r="K227" s="131"/>
    </row>
    <row r="228" spans="1:11" outlineLevel="1" x14ac:dyDescent="0.25">
      <c r="A228" s="59"/>
      <c r="B228" s="131"/>
      <c r="C228" s="131"/>
      <c r="D228" s="131"/>
      <c r="E228" s="131"/>
      <c r="F228" s="131"/>
      <c r="G228" s="131"/>
      <c r="H228" s="131"/>
      <c r="I228" s="131"/>
      <c r="J228" s="131"/>
      <c r="K228" s="131"/>
    </row>
    <row r="229" spans="1:11" outlineLevel="1" x14ac:dyDescent="0.25">
      <c r="A229" s="59"/>
      <c r="B229" s="131"/>
      <c r="C229" s="131"/>
      <c r="D229" s="131"/>
      <c r="E229" s="131"/>
      <c r="F229" s="131"/>
      <c r="G229" s="131"/>
      <c r="H229" s="131"/>
      <c r="I229" s="131"/>
      <c r="J229" s="131"/>
      <c r="K229" s="131"/>
    </row>
    <row r="230" spans="1:11" outlineLevel="1" x14ac:dyDescent="0.25">
      <c r="A230" s="59"/>
      <c r="B230" s="131"/>
      <c r="C230" s="131"/>
      <c r="D230" s="131"/>
      <c r="E230" s="131"/>
      <c r="F230" s="131"/>
      <c r="G230" s="131"/>
      <c r="H230" s="131"/>
      <c r="I230" s="131"/>
      <c r="J230" s="131"/>
      <c r="K230" s="131"/>
    </row>
    <row r="231" spans="1:11" outlineLevel="1" x14ac:dyDescent="0.25">
      <c r="A231" s="59"/>
      <c r="B231" s="131"/>
      <c r="C231" s="131"/>
      <c r="D231" s="131"/>
      <c r="E231" s="131"/>
      <c r="F231" s="131"/>
      <c r="G231" s="131"/>
      <c r="H231" s="131"/>
      <c r="I231" s="131"/>
      <c r="J231" s="131"/>
      <c r="K231" s="131"/>
    </row>
    <row r="232" spans="1:11" outlineLevel="1" x14ac:dyDescent="0.25">
      <c r="A232" s="59"/>
      <c r="B232" s="131"/>
      <c r="C232" s="131"/>
      <c r="D232" s="131"/>
      <c r="E232" s="131"/>
      <c r="F232" s="131"/>
      <c r="G232" s="131"/>
      <c r="H232" s="131"/>
      <c r="I232" s="131"/>
      <c r="J232" s="131"/>
      <c r="K232" s="131"/>
    </row>
    <row r="233" spans="1:11" outlineLevel="1" x14ac:dyDescent="0.25">
      <c r="A233" s="59"/>
      <c r="B233" s="131"/>
      <c r="C233" s="131"/>
      <c r="D233" s="131"/>
      <c r="E233" s="131"/>
      <c r="F233" s="131"/>
      <c r="G233" s="131"/>
      <c r="H233" s="131"/>
      <c r="I233" s="131"/>
      <c r="J233" s="131"/>
      <c r="K233" s="131"/>
    </row>
    <row r="234" spans="1:11" outlineLevel="1" x14ac:dyDescent="0.25">
      <c r="A234" s="59"/>
      <c r="B234" s="131"/>
      <c r="C234" s="131"/>
      <c r="D234" s="131"/>
      <c r="E234" s="131"/>
      <c r="F234" s="131"/>
      <c r="G234" s="131"/>
      <c r="H234" s="131"/>
      <c r="I234" s="131"/>
      <c r="J234" s="131"/>
      <c r="K234" s="131"/>
    </row>
    <row r="235" spans="1:11" outlineLevel="1" x14ac:dyDescent="0.25">
      <c r="A235" s="59"/>
      <c r="B235" s="131"/>
      <c r="C235" s="131"/>
      <c r="D235" s="131"/>
      <c r="E235" s="131"/>
      <c r="F235" s="131"/>
      <c r="G235" s="131"/>
      <c r="H235" s="131"/>
      <c r="I235" s="131"/>
      <c r="J235" s="131"/>
      <c r="K235" s="131"/>
    </row>
    <row r="236" spans="1:11" outlineLevel="1" x14ac:dyDescent="0.25">
      <c r="A236" s="59"/>
      <c r="B236" s="131"/>
      <c r="C236" s="131"/>
      <c r="D236" s="131"/>
      <c r="E236" s="131"/>
      <c r="F236" s="131"/>
      <c r="G236" s="131"/>
      <c r="H236" s="131"/>
      <c r="I236" s="131"/>
      <c r="J236" s="131"/>
      <c r="K236" s="131"/>
    </row>
    <row r="237" spans="1:11" outlineLevel="1" x14ac:dyDescent="0.25">
      <c r="A237" s="59"/>
      <c r="B237" s="131"/>
      <c r="C237" s="131"/>
      <c r="D237" s="131"/>
      <c r="E237" s="131"/>
      <c r="F237" s="131"/>
      <c r="G237" s="131"/>
      <c r="H237" s="131"/>
      <c r="I237" s="131"/>
      <c r="J237" s="131"/>
      <c r="K237" s="131"/>
    </row>
    <row r="238" spans="1:11" outlineLevel="1" x14ac:dyDescent="0.25">
      <c r="A238" s="59"/>
      <c r="B238" s="131"/>
      <c r="C238" s="131"/>
      <c r="D238" s="131"/>
      <c r="E238" s="131"/>
      <c r="F238" s="131"/>
      <c r="G238" s="131"/>
      <c r="H238" s="131"/>
      <c r="I238" s="131"/>
      <c r="J238" s="131"/>
      <c r="K238" s="131"/>
    </row>
    <row r="239" spans="1:11" outlineLevel="1" x14ac:dyDescent="0.25">
      <c r="A239" s="59"/>
      <c r="B239" s="131"/>
      <c r="C239" s="131"/>
      <c r="D239" s="131"/>
      <c r="E239" s="131"/>
      <c r="F239" s="131"/>
      <c r="G239" s="131"/>
      <c r="H239" s="131"/>
      <c r="I239" s="131"/>
      <c r="J239" s="131"/>
      <c r="K239" s="131"/>
    </row>
    <row r="240" spans="1:11" outlineLevel="1" x14ac:dyDescent="0.25">
      <c r="A240" s="59"/>
      <c r="B240" s="131"/>
      <c r="C240" s="131"/>
      <c r="D240" s="131"/>
      <c r="E240" s="131"/>
      <c r="F240" s="131"/>
      <c r="G240" s="131"/>
      <c r="H240" s="131"/>
      <c r="I240" s="131"/>
      <c r="J240" s="131"/>
      <c r="K240" s="131"/>
    </row>
    <row r="241" spans="1:11" outlineLevel="1" x14ac:dyDescent="0.25">
      <c r="A241" s="59"/>
      <c r="B241" s="131"/>
      <c r="C241" s="131"/>
      <c r="D241" s="131"/>
      <c r="E241" s="131"/>
      <c r="F241" s="131"/>
      <c r="G241" s="131"/>
      <c r="H241" s="131"/>
      <c r="I241" s="131"/>
      <c r="J241" s="131"/>
      <c r="K241" s="131"/>
    </row>
    <row r="242" spans="1:11" outlineLevel="1" x14ac:dyDescent="0.25">
      <c r="A242" s="59"/>
      <c r="B242" s="131"/>
      <c r="C242" s="131"/>
      <c r="D242" s="131"/>
      <c r="E242" s="131"/>
      <c r="F242" s="131"/>
      <c r="G242" s="131"/>
      <c r="H242" s="131"/>
      <c r="I242" s="131"/>
      <c r="J242" s="131"/>
      <c r="K242" s="131"/>
    </row>
    <row r="243" spans="1:11" outlineLevel="1" x14ac:dyDescent="0.25">
      <c r="A243" s="59"/>
      <c r="B243" s="131"/>
      <c r="C243" s="131"/>
      <c r="D243" s="131"/>
      <c r="E243" s="131"/>
      <c r="F243" s="131"/>
      <c r="G243" s="131"/>
      <c r="H243" s="131"/>
      <c r="I243" s="131"/>
      <c r="J243" s="131"/>
      <c r="K243" s="131"/>
    </row>
    <row r="244" spans="1:11" outlineLevel="1" x14ac:dyDescent="0.25">
      <c r="A244" s="59"/>
      <c r="B244" s="131"/>
      <c r="C244" s="131"/>
      <c r="D244" s="131"/>
      <c r="E244" s="131"/>
      <c r="F244" s="131"/>
      <c r="G244" s="131"/>
      <c r="H244" s="131"/>
      <c r="I244" s="131"/>
      <c r="J244" s="131"/>
      <c r="K244" s="131"/>
    </row>
    <row r="245" spans="1:11" outlineLevel="1" x14ac:dyDescent="0.25">
      <c r="A245" s="59"/>
      <c r="B245" s="131"/>
      <c r="C245" s="131"/>
      <c r="D245" s="131"/>
      <c r="E245" s="131"/>
      <c r="F245" s="131"/>
      <c r="G245" s="131"/>
      <c r="H245" s="131"/>
      <c r="I245" s="131"/>
      <c r="J245" s="131"/>
      <c r="K245" s="131"/>
    </row>
    <row r="246" spans="1:11" outlineLevel="1" x14ac:dyDescent="0.25">
      <c r="A246" s="59"/>
      <c r="B246" s="131"/>
      <c r="C246" s="131"/>
      <c r="D246" s="131"/>
      <c r="E246" s="131"/>
      <c r="F246" s="131"/>
      <c r="G246" s="131"/>
      <c r="H246" s="131"/>
      <c r="I246" s="131"/>
      <c r="J246" s="131"/>
      <c r="K246" s="131"/>
    </row>
    <row r="247" spans="1:11" outlineLevel="1" x14ac:dyDescent="0.25">
      <c r="A247" s="59"/>
      <c r="B247" s="131"/>
      <c r="C247" s="131"/>
      <c r="D247" s="131"/>
      <c r="E247" s="131"/>
      <c r="F247" s="131"/>
      <c r="G247" s="131"/>
      <c r="H247" s="131"/>
      <c r="I247" s="131"/>
      <c r="J247" s="131"/>
      <c r="K247" s="131"/>
    </row>
    <row r="248" spans="1:11" outlineLevel="1" x14ac:dyDescent="0.25">
      <c r="A248" s="59"/>
      <c r="B248" s="131"/>
      <c r="C248" s="131"/>
      <c r="D248" s="131"/>
      <c r="E248" s="131"/>
      <c r="F248" s="131"/>
      <c r="G248" s="131"/>
      <c r="H248" s="131"/>
      <c r="I248" s="131"/>
      <c r="J248" s="131"/>
      <c r="K248" s="131"/>
    </row>
    <row r="249" spans="1:11" outlineLevel="1" x14ac:dyDescent="0.25">
      <c r="A249" s="59"/>
      <c r="B249" s="131"/>
      <c r="C249" s="131"/>
      <c r="D249" s="131"/>
      <c r="E249" s="131"/>
      <c r="F249" s="131"/>
      <c r="G249" s="131"/>
      <c r="H249" s="131"/>
      <c r="I249" s="131"/>
      <c r="J249" s="131"/>
      <c r="K249" s="131"/>
    </row>
    <row r="250" spans="1:11" outlineLevel="1" x14ac:dyDescent="0.25">
      <c r="A250" s="59"/>
      <c r="B250" s="131"/>
      <c r="C250" s="131"/>
      <c r="D250" s="131"/>
      <c r="E250" s="131"/>
      <c r="F250" s="131"/>
      <c r="G250" s="131"/>
      <c r="H250" s="131"/>
      <c r="I250" s="131"/>
      <c r="J250" s="131"/>
      <c r="K250" s="131"/>
    </row>
    <row r="251" spans="1:11" outlineLevel="1" x14ac:dyDescent="0.25">
      <c r="A251" s="59"/>
      <c r="B251" s="131"/>
      <c r="C251" s="131"/>
      <c r="D251" s="131"/>
      <c r="E251" s="131"/>
      <c r="F251" s="131"/>
      <c r="G251" s="131"/>
      <c r="H251" s="131"/>
      <c r="I251" s="131"/>
      <c r="J251" s="131"/>
      <c r="K251" s="131"/>
    </row>
    <row r="252" spans="1:11" outlineLevel="1" x14ac:dyDescent="0.25">
      <c r="A252" s="59"/>
      <c r="B252" s="131"/>
      <c r="C252" s="131"/>
      <c r="D252" s="131"/>
      <c r="E252" s="131"/>
      <c r="F252" s="131"/>
      <c r="G252" s="131"/>
      <c r="H252" s="131"/>
      <c r="I252" s="131"/>
      <c r="J252" s="131"/>
      <c r="K252" s="131"/>
    </row>
    <row r="253" spans="1:11" outlineLevel="1" x14ac:dyDescent="0.25">
      <c r="A253" s="59"/>
      <c r="B253" s="131"/>
      <c r="C253" s="131"/>
      <c r="D253" s="131"/>
      <c r="E253" s="131"/>
      <c r="F253" s="131"/>
      <c r="G253" s="131"/>
      <c r="H253" s="131"/>
      <c r="I253" s="131"/>
      <c r="J253" s="131"/>
      <c r="K253" s="131"/>
    </row>
    <row r="254" spans="1:11" outlineLevel="1" x14ac:dyDescent="0.25">
      <c r="A254" s="59"/>
      <c r="B254" s="131"/>
      <c r="C254" s="131"/>
      <c r="D254" s="131"/>
      <c r="E254" s="131"/>
      <c r="F254" s="131"/>
      <c r="G254" s="131"/>
      <c r="H254" s="131"/>
      <c r="I254" s="131"/>
      <c r="J254" s="131"/>
      <c r="K254" s="131"/>
    </row>
    <row r="255" spans="1:11" outlineLevel="1" x14ac:dyDescent="0.25">
      <c r="A255" s="59"/>
      <c r="B255" s="131"/>
      <c r="C255" s="131"/>
      <c r="D255" s="131"/>
      <c r="E255" s="131"/>
      <c r="F255" s="131"/>
      <c r="G255" s="131"/>
      <c r="H255" s="131"/>
      <c r="I255" s="131"/>
      <c r="J255" s="131"/>
      <c r="K255" s="131"/>
    </row>
    <row r="256" spans="1:11" outlineLevel="1" x14ac:dyDescent="0.25">
      <c r="A256" s="59"/>
      <c r="B256" s="131"/>
      <c r="C256" s="131"/>
      <c r="D256" s="131"/>
      <c r="E256" s="131"/>
      <c r="F256" s="131"/>
      <c r="G256" s="131"/>
      <c r="H256" s="131"/>
      <c r="I256" s="131"/>
      <c r="J256" s="131"/>
      <c r="K256" s="131"/>
    </row>
    <row r="257" spans="1:11" outlineLevel="1" x14ac:dyDescent="0.25">
      <c r="A257" s="59"/>
      <c r="B257" s="131"/>
      <c r="C257" s="131"/>
      <c r="D257" s="131"/>
      <c r="E257" s="131"/>
      <c r="F257" s="131"/>
      <c r="G257" s="131"/>
      <c r="H257" s="131"/>
      <c r="I257" s="131"/>
      <c r="J257" s="131"/>
      <c r="K257" s="131"/>
    </row>
    <row r="258" spans="1:11" x14ac:dyDescent="0.25">
      <c r="A258" s="59"/>
      <c r="B258" s="131"/>
      <c r="C258" s="131"/>
      <c r="D258" s="131"/>
      <c r="E258" s="131"/>
      <c r="F258" s="131"/>
      <c r="G258" s="131"/>
      <c r="H258" s="131"/>
      <c r="I258" s="131"/>
      <c r="J258" s="131"/>
      <c r="K258" s="131"/>
    </row>
    <row r="259" spans="1:11" x14ac:dyDescent="0.25">
      <c r="A259" s="59"/>
      <c r="B259" s="131"/>
      <c r="C259" s="131"/>
      <c r="D259" s="131"/>
      <c r="E259" s="131"/>
      <c r="F259" s="131"/>
      <c r="G259" s="131"/>
      <c r="H259" s="131"/>
      <c r="I259" s="131"/>
      <c r="J259" s="131"/>
      <c r="K259" s="131"/>
    </row>
  </sheetData>
  <mergeCells count="2">
    <mergeCell ref="A1:K1"/>
    <mergeCell ref="E4:K5"/>
  </mergeCells>
  <printOptions headings="1" gridLines="1"/>
  <pageMargins left="0.70866141732283505" right="0.70866141732283505" top="0.74803149606299202" bottom="0.74803149606299202" header="0.31496062992126" footer="0.31496062992126"/>
  <pageSetup orientation="portrait" cellComments="atEnd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B2180-6244-4E30-9B3B-EE3850F2BE26}">
  <dimension ref="A1:L259"/>
  <sheetViews>
    <sheetView topLeftCell="D13" workbookViewId="0">
      <selection activeCell="M23" sqref="M23"/>
    </sheetView>
  </sheetViews>
  <sheetFormatPr defaultColWidth="8.77734375" defaultRowHeight="13.8" outlineLevelRow="1" x14ac:dyDescent="0.25"/>
  <cols>
    <col min="1" max="1" width="10.21875" style="47" bestFit="1" customWidth="1"/>
    <col min="2" max="11" width="9" style="47" customWidth="1"/>
    <col min="12" max="16384" width="8.77734375" style="47"/>
  </cols>
  <sheetData>
    <row r="1" spans="1:12" ht="17.399999999999999" x14ac:dyDescent="0.3">
      <c r="A1" s="163" t="s">
        <v>69</v>
      </c>
      <c r="B1" s="163"/>
      <c r="C1" s="163"/>
      <c r="D1" s="163"/>
      <c r="E1" s="163"/>
      <c r="F1" s="163"/>
      <c r="G1" s="163"/>
      <c r="H1" s="163"/>
      <c r="I1" s="163"/>
      <c r="J1" s="163"/>
      <c r="K1" s="163"/>
    </row>
    <row r="2" spans="1:12" x14ac:dyDescent="0.25">
      <c r="A2" s="47" t="s">
        <v>70</v>
      </c>
      <c r="B2" s="47">
        <f>'[1]2019-2021'!C6</f>
        <v>55.66</v>
      </c>
    </row>
    <row r="3" spans="1:12" ht="14.4" thickBot="1" x14ac:dyDescent="0.3">
      <c r="A3" s="47" t="s">
        <v>71</v>
      </c>
      <c r="B3" s="126">
        <f>'[1]2019-2021'!C2</f>
        <v>0.38447047882637031</v>
      </c>
    </row>
    <row r="4" spans="1:12" ht="13.95" customHeight="1" x14ac:dyDescent="0.25">
      <c r="A4" s="47" t="s">
        <v>72</v>
      </c>
      <c r="B4" s="126">
        <f>'[1]2019-2021'!C4</f>
        <v>3.2706512244661069E-2</v>
      </c>
      <c r="E4" s="164" t="str">
        <f ca="1">_xlfn.FORMULATEXT(J10)</f>
        <v>=J9*EXP(Mu*Delta_t+Sigma*SQRT(Delta_t)*NORM.S.INV(RAND()))</v>
      </c>
      <c r="F4" s="165"/>
      <c r="G4" s="165"/>
      <c r="H4" s="165"/>
      <c r="I4" s="165"/>
      <c r="J4" s="165"/>
      <c r="K4" s="166"/>
    </row>
    <row r="5" spans="1:12" ht="14.4" thickBot="1" x14ac:dyDescent="0.3">
      <c r="A5" s="47" t="s">
        <v>67</v>
      </c>
      <c r="B5" s="128">
        <f>'[1]2019-2021'!B5</f>
        <v>3.968253968253968E-3</v>
      </c>
      <c r="E5" s="167"/>
      <c r="F5" s="168"/>
      <c r="G5" s="168"/>
      <c r="H5" s="168"/>
      <c r="I5" s="168"/>
      <c r="J5" s="168"/>
      <c r="K5" s="169"/>
    </row>
    <row r="6" spans="1:12" x14ac:dyDescent="0.25">
      <c r="E6" s="129"/>
      <c r="F6" s="129"/>
      <c r="G6" s="129"/>
      <c r="H6" s="129"/>
      <c r="I6" s="129"/>
      <c r="J6" s="129"/>
      <c r="K6" s="129"/>
      <c r="L6" s="129"/>
    </row>
    <row r="7" spans="1:12" x14ac:dyDescent="0.25">
      <c r="B7" s="47" t="s">
        <v>73</v>
      </c>
    </row>
    <row r="8" spans="1:12" x14ac:dyDescent="0.25">
      <c r="A8" s="130" t="s">
        <v>74</v>
      </c>
      <c r="B8" s="130" t="s">
        <v>75</v>
      </c>
      <c r="C8" s="130" t="s">
        <v>76</v>
      </c>
      <c r="D8" s="130" t="s">
        <v>77</v>
      </c>
      <c r="E8" s="130" t="s">
        <v>78</v>
      </c>
      <c r="F8" s="130" t="s">
        <v>79</v>
      </c>
      <c r="G8" s="130" t="s">
        <v>80</v>
      </c>
      <c r="H8" s="130" t="s">
        <v>81</v>
      </c>
      <c r="I8" s="130" t="s">
        <v>82</v>
      </c>
      <c r="J8" s="130" t="s">
        <v>83</v>
      </c>
      <c r="K8" s="130" t="s">
        <v>84</v>
      </c>
    </row>
    <row r="9" spans="1:12" x14ac:dyDescent="0.25">
      <c r="A9" s="59">
        <v>0</v>
      </c>
      <c r="B9" s="131">
        <f>$B$2</f>
        <v>55.66</v>
      </c>
      <c r="C9" s="131">
        <f t="shared" ref="C9:K9" si="0">$B$2</f>
        <v>55.66</v>
      </c>
      <c r="D9" s="131">
        <f t="shared" si="0"/>
        <v>55.66</v>
      </c>
      <c r="E9" s="131">
        <f t="shared" si="0"/>
        <v>55.66</v>
      </c>
      <c r="F9" s="131">
        <f t="shared" si="0"/>
        <v>55.66</v>
      </c>
      <c r="G9" s="131">
        <f t="shared" si="0"/>
        <v>55.66</v>
      </c>
      <c r="H9" s="131">
        <f t="shared" si="0"/>
        <v>55.66</v>
      </c>
      <c r="I9" s="131">
        <f t="shared" si="0"/>
        <v>55.66</v>
      </c>
      <c r="J9" s="131">
        <f t="shared" si="0"/>
        <v>55.66</v>
      </c>
      <c r="K9" s="131">
        <f t="shared" si="0"/>
        <v>55.66</v>
      </c>
    </row>
    <row r="10" spans="1:12" x14ac:dyDescent="0.25">
      <c r="A10" s="59">
        <v>1</v>
      </c>
      <c r="B10" s="131">
        <f t="shared" ref="B10:B71" ca="1" si="1">B9*EXP(Mu*Delta_t+Sigma*SQRT(Delta_t)*_xlfn.NORM.S.INV(RAND()))</f>
        <v>55.767739683285726</v>
      </c>
      <c r="C10" s="131">
        <f t="shared" ref="C10:C71" ca="1" si="2">C9*EXP(Mu*Delta_t+Sigma*SQRT(Delta_t)*_xlfn.NORM.S.INV(RAND()))</f>
        <v>55.850634275166364</v>
      </c>
      <c r="D10" s="131">
        <f t="shared" ref="D10:D71" ca="1" si="3">D9*EXP(Mu*Delta_t+Sigma*SQRT(Delta_t)*_xlfn.NORM.S.INV(RAND()))</f>
        <v>55.753543456832496</v>
      </c>
      <c r="E10" s="131">
        <f t="shared" ref="E10:E71" ca="1" si="4">E9*EXP(Mu*Delta_t+Sigma*SQRT(Delta_t)*_xlfn.NORM.S.INV(RAND()))</f>
        <v>55.849442301631015</v>
      </c>
      <c r="F10" s="131">
        <f t="shared" ref="F10:F71" ca="1" si="5">F9*EXP(Mu*Delta_t+Sigma*SQRT(Delta_t)*_xlfn.NORM.S.INV(RAND()))</f>
        <v>55.663486166589834</v>
      </c>
      <c r="G10" s="131">
        <f t="shared" ref="G10:G71" ca="1" si="6">G9*EXP(Mu*Delta_t+Sigma*SQRT(Delta_t)*_xlfn.NORM.S.INV(RAND()))</f>
        <v>55.704905095158011</v>
      </c>
      <c r="H10" s="131">
        <f t="shared" ref="H10:H71" ca="1" si="7">H9*EXP(Mu*Delta_t+Sigma*SQRT(Delta_t)*_xlfn.NORM.S.INV(RAND()))</f>
        <v>55.981116026034535</v>
      </c>
      <c r="I10" s="131">
        <f t="shared" ref="I10:I71" ca="1" si="8">I9*EXP(Mu*Delta_t+Sigma*SQRT(Delta_t)*_xlfn.NORM.S.INV(RAND()))</f>
        <v>55.709071668703736</v>
      </c>
      <c r="J10" s="131">
        <f t="shared" ref="J10:J71" ca="1" si="9">J9*EXP(Mu*Delta_t+Sigma*SQRT(Delta_t)*_xlfn.NORM.S.INV(RAND()))</f>
        <v>55.8127140604728</v>
      </c>
      <c r="K10" s="131">
        <f t="shared" ref="K10:K71" ca="1" si="10">K9*EXP(Mu*Delta_t+Sigma*SQRT(Delta_t)*_xlfn.NORM.S.INV(RAND()))</f>
        <v>55.419943602324395</v>
      </c>
    </row>
    <row r="11" spans="1:12" x14ac:dyDescent="0.25">
      <c r="A11" s="59">
        <v>2</v>
      </c>
      <c r="B11" s="131">
        <f t="shared" ca="1" si="1"/>
        <v>55.659529839837901</v>
      </c>
      <c r="C11" s="131">
        <f t="shared" ca="1" si="2"/>
        <v>56.139226176501701</v>
      </c>
      <c r="D11" s="131">
        <f t="shared" ca="1" si="3"/>
        <v>55.781885628458475</v>
      </c>
      <c r="E11" s="131">
        <f t="shared" ca="1" si="4"/>
        <v>55.856242332134379</v>
      </c>
      <c r="F11" s="131">
        <f t="shared" ca="1" si="5"/>
        <v>55.714601782334505</v>
      </c>
      <c r="G11" s="131">
        <f t="shared" ca="1" si="6"/>
        <v>55.692316462814887</v>
      </c>
      <c r="H11" s="131">
        <f t="shared" ca="1" si="7"/>
        <v>55.981852045423594</v>
      </c>
      <c r="I11" s="131">
        <f t="shared" ca="1" si="8"/>
        <v>55.729346439719961</v>
      </c>
      <c r="J11" s="131">
        <f t="shared" ca="1" si="9"/>
        <v>56.11659261026621</v>
      </c>
      <c r="K11" s="131">
        <f t="shared" ca="1" si="10"/>
        <v>55.212525221529532</v>
      </c>
    </row>
    <row r="12" spans="1:12" x14ac:dyDescent="0.25">
      <c r="A12" s="59">
        <v>3</v>
      </c>
      <c r="B12" s="131">
        <f t="shared" ca="1" si="1"/>
        <v>55.854498423810952</v>
      </c>
      <c r="C12" s="131">
        <f t="shared" ca="1" si="2"/>
        <v>56.169390970222445</v>
      </c>
      <c r="D12" s="131">
        <f t="shared" ca="1" si="3"/>
        <v>55.807742336999276</v>
      </c>
      <c r="E12" s="131">
        <f t="shared" ca="1" si="4"/>
        <v>55.760001071817797</v>
      </c>
      <c r="F12" s="131">
        <f t="shared" ca="1" si="5"/>
        <v>55.788539082781611</v>
      </c>
      <c r="G12" s="131">
        <f t="shared" ca="1" si="6"/>
        <v>55.922840837552442</v>
      </c>
      <c r="H12" s="131">
        <f t="shared" ca="1" si="7"/>
        <v>56.124744227361234</v>
      </c>
      <c r="I12" s="131">
        <f t="shared" ca="1" si="8"/>
        <v>55.807138599334117</v>
      </c>
      <c r="J12" s="131">
        <f t="shared" ca="1" si="9"/>
        <v>56.078833959805209</v>
      </c>
      <c r="K12" s="131">
        <f t="shared" ca="1" si="10"/>
        <v>55.30303997807966</v>
      </c>
    </row>
    <row r="13" spans="1:12" x14ac:dyDescent="0.25">
      <c r="A13" s="59">
        <v>4</v>
      </c>
      <c r="B13" s="131">
        <f t="shared" ca="1" si="1"/>
        <v>56.054488022728961</v>
      </c>
      <c r="C13" s="131">
        <f t="shared" ca="1" si="2"/>
        <v>56.202844508268726</v>
      </c>
      <c r="D13" s="131">
        <f t="shared" ca="1" si="3"/>
        <v>55.749969273514985</v>
      </c>
      <c r="E13" s="131">
        <f t="shared" ca="1" si="4"/>
        <v>55.755127623830447</v>
      </c>
      <c r="F13" s="131">
        <f t="shared" ca="1" si="5"/>
        <v>56.120590351634391</v>
      </c>
      <c r="G13" s="131">
        <f t="shared" ca="1" si="6"/>
        <v>55.953108146607406</v>
      </c>
      <c r="H13" s="131">
        <f t="shared" ca="1" si="7"/>
        <v>56.211167910836821</v>
      </c>
      <c r="I13" s="131">
        <f t="shared" ca="1" si="8"/>
        <v>55.886467151082421</v>
      </c>
      <c r="J13" s="131">
        <f t="shared" ca="1" si="9"/>
        <v>56.060482494401214</v>
      </c>
      <c r="K13" s="131">
        <f t="shared" ca="1" si="10"/>
        <v>55.246975245285626</v>
      </c>
    </row>
    <row r="14" spans="1:12" x14ac:dyDescent="0.25">
      <c r="A14" s="59">
        <v>5</v>
      </c>
      <c r="B14" s="131">
        <f t="shared" ca="1" si="1"/>
        <v>56.096126456412328</v>
      </c>
      <c r="C14" s="131">
        <f t="shared" ca="1" si="2"/>
        <v>56.284610228045914</v>
      </c>
      <c r="D14" s="131">
        <f t="shared" ca="1" si="3"/>
        <v>55.711572348497462</v>
      </c>
      <c r="E14" s="131">
        <f t="shared" ca="1" si="4"/>
        <v>55.911430418235703</v>
      </c>
      <c r="F14" s="131">
        <f t="shared" ca="1" si="5"/>
        <v>56.257843847898059</v>
      </c>
      <c r="G14" s="131">
        <f t="shared" ca="1" si="6"/>
        <v>56.106768591217055</v>
      </c>
      <c r="H14" s="131">
        <f t="shared" ca="1" si="7"/>
        <v>56.406001134007028</v>
      </c>
      <c r="I14" s="131">
        <f t="shared" ca="1" si="8"/>
        <v>55.921213079824064</v>
      </c>
      <c r="J14" s="131">
        <f t="shared" ca="1" si="9"/>
        <v>56.103408459171433</v>
      </c>
      <c r="K14" s="131">
        <f t="shared" ca="1" si="10"/>
        <v>55.380896521124527</v>
      </c>
    </row>
    <row r="15" spans="1:12" x14ac:dyDescent="0.25">
      <c r="A15" s="59">
        <v>6</v>
      </c>
      <c r="B15" s="131">
        <f t="shared" ca="1" si="1"/>
        <v>56.259436203922924</v>
      </c>
      <c r="C15" s="131">
        <f t="shared" ca="1" si="2"/>
        <v>56.415763404045968</v>
      </c>
      <c r="D15" s="131">
        <f t="shared" ca="1" si="3"/>
        <v>55.669210693472806</v>
      </c>
      <c r="E15" s="131">
        <f t="shared" ca="1" si="4"/>
        <v>55.838211286200867</v>
      </c>
      <c r="F15" s="131">
        <f t="shared" ca="1" si="5"/>
        <v>56.172277917207921</v>
      </c>
      <c r="G15" s="131">
        <f t="shared" ca="1" si="6"/>
        <v>56.152931194571657</v>
      </c>
      <c r="H15" s="131">
        <f t="shared" ca="1" si="7"/>
        <v>56.524944585380823</v>
      </c>
      <c r="I15" s="131">
        <f t="shared" ca="1" si="8"/>
        <v>55.813861779101082</v>
      </c>
      <c r="J15" s="131">
        <f t="shared" ca="1" si="9"/>
        <v>56.242112066952181</v>
      </c>
      <c r="K15" s="131">
        <f t="shared" ca="1" si="10"/>
        <v>55.384478032521741</v>
      </c>
    </row>
    <row r="16" spans="1:12" x14ac:dyDescent="0.25">
      <c r="A16" s="59">
        <v>7</v>
      </c>
      <c r="B16" s="131">
        <f t="shared" ca="1" si="1"/>
        <v>56.347058556664514</v>
      </c>
      <c r="C16" s="131">
        <f t="shared" ca="1" si="2"/>
        <v>56.506943643651233</v>
      </c>
      <c r="D16" s="131">
        <f t="shared" ca="1" si="3"/>
        <v>55.669552405529913</v>
      </c>
      <c r="E16" s="131">
        <f t="shared" ca="1" si="4"/>
        <v>56.027730647724717</v>
      </c>
      <c r="F16" s="131">
        <f t="shared" ca="1" si="5"/>
        <v>56.552548243573547</v>
      </c>
      <c r="G16" s="131">
        <f t="shared" ca="1" si="6"/>
        <v>56.284445825692949</v>
      </c>
      <c r="H16" s="131">
        <f t="shared" ca="1" si="7"/>
        <v>56.429544753383873</v>
      </c>
      <c r="I16" s="131">
        <f t="shared" ca="1" si="8"/>
        <v>56.098581568516806</v>
      </c>
      <c r="J16" s="131">
        <f t="shared" ca="1" si="9"/>
        <v>56.349426419110841</v>
      </c>
      <c r="K16" s="131">
        <f t="shared" ca="1" si="10"/>
        <v>55.459955651263421</v>
      </c>
    </row>
    <row r="17" spans="1:11" x14ac:dyDescent="0.25">
      <c r="A17" s="59">
        <v>8</v>
      </c>
      <c r="B17" s="131">
        <f t="shared" ca="1" si="1"/>
        <v>56.533944379068252</v>
      </c>
      <c r="C17" s="131">
        <f t="shared" ca="1" si="2"/>
        <v>56.701748071488879</v>
      </c>
      <c r="D17" s="131">
        <f t="shared" ca="1" si="3"/>
        <v>55.851159212578658</v>
      </c>
      <c r="E17" s="131">
        <f t="shared" ca="1" si="4"/>
        <v>56.226504268723041</v>
      </c>
      <c r="F17" s="131">
        <f t="shared" ca="1" si="5"/>
        <v>56.529310057381146</v>
      </c>
      <c r="G17" s="131">
        <f t="shared" ca="1" si="6"/>
        <v>56.22378037831114</v>
      </c>
      <c r="H17" s="131">
        <f t="shared" ca="1" si="7"/>
        <v>56.479403104642607</v>
      </c>
      <c r="I17" s="131">
        <f t="shared" ca="1" si="8"/>
        <v>56.099259146621137</v>
      </c>
      <c r="J17" s="131">
        <f t="shared" ca="1" si="9"/>
        <v>56.460412419033759</v>
      </c>
      <c r="K17" s="131">
        <f t="shared" ca="1" si="10"/>
        <v>55.761331551763291</v>
      </c>
    </row>
    <row r="18" spans="1:11" x14ac:dyDescent="0.25">
      <c r="A18" s="59">
        <v>9</v>
      </c>
      <c r="B18" s="131">
        <f t="shared" ca="1" si="1"/>
        <v>56.413724891572073</v>
      </c>
      <c r="C18" s="131">
        <f t="shared" ca="1" si="2"/>
        <v>56.555572703709743</v>
      </c>
      <c r="D18" s="131">
        <f t="shared" ca="1" si="3"/>
        <v>56.081315754178306</v>
      </c>
      <c r="E18" s="131">
        <f t="shared" ca="1" si="4"/>
        <v>56.407373865879187</v>
      </c>
      <c r="F18" s="131">
        <f t="shared" ca="1" si="5"/>
        <v>56.70274486167709</v>
      </c>
      <c r="G18" s="131">
        <f t="shared" ca="1" si="6"/>
        <v>56.508587014608189</v>
      </c>
      <c r="H18" s="131">
        <f t="shared" ca="1" si="7"/>
        <v>56.524439812304557</v>
      </c>
      <c r="I18" s="131">
        <f t="shared" ca="1" si="8"/>
        <v>56.38539498969638</v>
      </c>
      <c r="J18" s="131">
        <f t="shared" ca="1" si="9"/>
        <v>56.500630384829549</v>
      </c>
      <c r="K18" s="131">
        <f t="shared" ca="1" si="10"/>
        <v>55.94754705319923</v>
      </c>
    </row>
    <row r="19" spans="1:11" x14ac:dyDescent="0.25">
      <c r="A19" s="59">
        <v>10</v>
      </c>
      <c r="B19" s="131">
        <f t="shared" ca="1" si="1"/>
        <v>56.521754498707715</v>
      </c>
      <c r="C19" s="131">
        <f t="shared" ca="1" si="2"/>
        <v>56.661064571921486</v>
      </c>
      <c r="D19" s="131">
        <f t="shared" ca="1" si="3"/>
        <v>56.015138851847702</v>
      </c>
      <c r="E19" s="131">
        <f t="shared" ca="1" si="4"/>
        <v>56.675707069766858</v>
      </c>
      <c r="F19" s="131">
        <f t="shared" ca="1" si="5"/>
        <v>56.717963257173523</v>
      </c>
      <c r="G19" s="131">
        <f t="shared" ca="1" si="6"/>
        <v>56.415296077018866</v>
      </c>
      <c r="H19" s="131">
        <f t="shared" ca="1" si="7"/>
        <v>56.496871138155221</v>
      </c>
      <c r="I19" s="131">
        <f t="shared" ca="1" si="8"/>
        <v>56.440426904305603</v>
      </c>
      <c r="J19" s="131">
        <f t="shared" ca="1" si="9"/>
        <v>56.58116689927413</v>
      </c>
      <c r="K19" s="131">
        <f t="shared" ca="1" si="10"/>
        <v>56.267523912113646</v>
      </c>
    </row>
    <row r="20" spans="1:11" x14ac:dyDescent="0.25">
      <c r="A20" s="59">
        <v>11</v>
      </c>
      <c r="B20" s="131">
        <f t="shared" ca="1" si="1"/>
        <v>56.631497244887676</v>
      </c>
      <c r="C20" s="131">
        <f t="shared" ca="1" si="2"/>
        <v>56.790495941330839</v>
      </c>
      <c r="D20" s="131">
        <f t="shared" ca="1" si="3"/>
        <v>56.207071854326749</v>
      </c>
      <c r="E20" s="131">
        <f t="shared" ca="1" si="4"/>
        <v>56.86239193596343</v>
      </c>
      <c r="F20" s="131">
        <f t="shared" ca="1" si="5"/>
        <v>56.884921796919819</v>
      </c>
      <c r="G20" s="131">
        <f t="shared" ca="1" si="6"/>
        <v>56.634170277620413</v>
      </c>
      <c r="H20" s="131">
        <f t="shared" ca="1" si="7"/>
        <v>56.422026553342036</v>
      </c>
      <c r="I20" s="131">
        <f t="shared" ca="1" si="8"/>
        <v>56.470354032919332</v>
      </c>
      <c r="J20" s="131">
        <f t="shared" ca="1" si="9"/>
        <v>56.737140568080022</v>
      </c>
      <c r="K20" s="131">
        <f t="shared" ca="1" si="10"/>
        <v>56.302218369342704</v>
      </c>
    </row>
    <row r="21" spans="1:11" x14ac:dyDescent="0.25">
      <c r="A21" s="59">
        <v>12</v>
      </c>
      <c r="B21" s="131">
        <f t="shared" ca="1" si="1"/>
        <v>56.712390839042932</v>
      </c>
      <c r="C21" s="131">
        <f t="shared" ca="1" si="2"/>
        <v>56.815833336080487</v>
      </c>
      <c r="D21" s="131">
        <f t="shared" ca="1" si="3"/>
        <v>56.248819651978103</v>
      </c>
      <c r="E21" s="131">
        <f t="shared" ca="1" si="4"/>
        <v>56.855858386264629</v>
      </c>
      <c r="F21" s="131">
        <f t="shared" ca="1" si="5"/>
        <v>56.916223907824453</v>
      </c>
      <c r="G21" s="131">
        <f t="shared" ca="1" si="6"/>
        <v>56.770061659106617</v>
      </c>
      <c r="H21" s="131">
        <f t="shared" ca="1" si="7"/>
        <v>56.369627216060586</v>
      </c>
      <c r="I21" s="131">
        <f t="shared" ca="1" si="8"/>
        <v>56.806803442357619</v>
      </c>
      <c r="J21" s="131">
        <f t="shared" ca="1" si="9"/>
        <v>56.767941419268801</v>
      </c>
      <c r="K21" s="131">
        <f t="shared" ca="1" si="10"/>
        <v>56.364906109601591</v>
      </c>
    </row>
    <row r="22" spans="1:11" x14ac:dyDescent="0.25">
      <c r="A22" s="59">
        <v>13</v>
      </c>
      <c r="B22" s="131">
        <f t="shared" ca="1" si="1"/>
        <v>56.75057021535477</v>
      </c>
      <c r="C22" s="131">
        <f t="shared" ca="1" si="2"/>
        <v>57.095524901787194</v>
      </c>
      <c r="D22" s="131">
        <f t="shared" ca="1" si="3"/>
        <v>56.474557707565786</v>
      </c>
      <c r="E22" s="131">
        <f t="shared" ca="1" si="4"/>
        <v>56.729974867103692</v>
      </c>
      <c r="F22" s="131">
        <f t="shared" ca="1" si="5"/>
        <v>57.078449363149446</v>
      </c>
      <c r="G22" s="131">
        <f t="shared" ca="1" si="6"/>
        <v>56.885639013179613</v>
      </c>
      <c r="H22" s="131">
        <f t="shared" ca="1" si="7"/>
        <v>56.530286073819866</v>
      </c>
      <c r="I22" s="131">
        <f t="shared" ca="1" si="8"/>
        <v>56.703925872529013</v>
      </c>
      <c r="J22" s="131">
        <f t="shared" ca="1" si="9"/>
        <v>56.750632564513424</v>
      </c>
      <c r="K22" s="131">
        <f t="shared" ca="1" si="10"/>
        <v>56.448927560101822</v>
      </c>
    </row>
    <row r="23" spans="1:11" x14ac:dyDescent="0.25">
      <c r="A23" s="59">
        <v>14</v>
      </c>
      <c r="B23" s="131">
        <f t="shared" ca="1" si="1"/>
        <v>56.765464502298322</v>
      </c>
      <c r="C23" s="131">
        <f t="shared" ca="1" si="2"/>
        <v>57.357211513913597</v>
      </c>
      <c r="D23" s="131">
        <f t="shared" ca="1" si="3"/>
        <v>56.301220695019005</v>
      </c>
      <c r="E23" s="131">
        <f t="shared" ca="1" si="4"/>
        <v>56.873528774600807</v>
      </c>
      <c r="F23" s="131">
        <f t="shared" ca="1" si="5"/>
        <v>57.314162751291292</v>
      </c>
      <c r="G23" s="131">
        <f t="shared" ca="1" si="6"/>
        <v>56.770393847131366</v>
      </c>
      <c r="H23" s="131">
        <f t="shared" ca="1" si="7"/>
        <v>56.762795945665864</v>
      </c>
      <c r="I23" s="131">
        <f t="shared" ca="1" si="8"/>
        <v>57.109700578968642</v>
      </c>
      <c r="J23" s="131">
        <f t="shared" ca="1" si="9"/>
        <v>56.765401204209681</v>
      </c>
      <c r="K23" s="131">
        <f t="shared" ca="1" si="10"/>
        <v>56.500034013195638</v>
      </c>
    </row>
    <row r="24" spans="1:11" x14ac:dyDescent="0.25">
      <c r="A24" s="59">
        <v>15</v>
      </c>
      <c r="B24" s="131">
        <f t="shared" ca="1" si="1"/>
        <v>56.729980824193227</v>
      </c>
      <c r="C24" s="131">
        <f t="shared" ca="1" si="2"/>
        <v>57.512126618676902</v>
      </c>
      <c r="D24" s="131">
        <f t="shared" ca="1" si="3"/>
        <v>56.394746608855492</v>
      </c>
      <c r="E24" s="131">
        <f t="shared" ca="1" si="4"/>
        <v>57.124322002301213</v>
      </c>
      <c r="F24" s="131">
        <f t="shared" ca="1" si="5"/>
        <v>57.461751143221839</v>
      </c>
      <c r="G24" s="131">
        <f t="shared" ca="1" si="6"/>
        <v>56.784973315976785</v>
      </c>
      <c r="H24" s="131">
        <f t="shared" ca="1" si="7"/>
        <v>56.914578131620914</v>
      </c>
      <c r="I24" s="131">
        <f t="shared" ca="1" si="8"/>
        <v>57.162876890233449</v>
      </c>
      <c r="J24" s="131">
        <f t="shared" ca="1" si="9"/>
        <v>56.948848215653626</v>
      </c>
      <c r="K24" s="131">
        <f t="shared" ca="1" si="10"/>
        <v>56.513884457055497</v>
      </c>
    </row>
    <row r="25" spans="1:11" x14ac:dyDescent="0.25">
      <c r="A25" s="59">
        <v>16</v>
      </c>
      <c r="B25" s="131">
        <f t="shared" ca="1" si="1"/>
        <v>56.817792129853572</v>
      </c>
      <c r="C25" s="131">
        <f t="shared" ca="1" si="2"/>
        <v>57.507208419651292</v>
      </c>
      <c r="D25" s="131">
        <f t="shared" ca="1" si="3"/>
        <v>56.556955353264115</v>
      </c>
      <c r="E25" s="131">
        <f t="shared" ca="1" si="4"/>
        <v>57.16420068688015</v>
      </c>
      <c r="F25" s="131">
        <f t="shared" ca="1" si="5"/>
        <v>57.413101777302323</v>
      </c>
      <c r="G25" s="131">
        <f t="shared" ca="1" si="6"/>
        <v>56.969206439839361</v>
      </c>
      <c r="H25" s="131">
        <f t="shared" ca="1" si="7"/>
        <v>56.887616806025044</v>
      </c>
      <c r="I25" s="131">
        <f t="shared" ca="1" si="8"/>
        <v>57.265226165716911</v>
      </c>
      <c r="J25" s="131">
        <f t="shared" ca="1" si="9"/>
        <v>57.097781327039151</v>
      </c>
      <c r="K25" s="131">
        <f t="shared" ca="1" si="10"/>
        <v>56.682441821013619</v>
      </c>
    </row>
    <row r="26" spans="1:11" outlineLevel="1" x14ac:dyDescent="0.25">
      <c r="A26" s="59">
        <v>17</v>
      </c>
      <c r="B26" s="131">
        <f t="shared" ca="1" si="1"/>
        <v>56.956801125527463</v>
      </c>
      <c r="C26" s="131">
        <f t="shared" ca="1" si="2"/>
        <v>57.676797585784492</v>
      </c>
      <c r="D26" s="131">
        <f t="shared" ca="1" si="3"/>
        <v>56.818560632365177</v>
      </c>
      <c r="E26" s="131">
        <f t="shared" ca="1" si="4"/>
        <v>57.254004430565608</v>
      </c>
      <c r="F26" s="131">
        <f t="shared" ca="1" si="5"/>
        <v>57.829778245181416</v>
      </c>
      <c r="G26" s="131">
        <f t="shared" ca="1" si="6"/>
        <v>57.045658540451264</v>
      </c>
      <c r="H26" s="131">
        <f t="shared" ca="1" si="7"/>
        <v>57.194881446729063</v>
      </c>
      <c r="I26" s="131">
        <f t="shared" ca="1" si="8"/>
        <v>57.278342217907692</v>
      </c>
      <c r="J26" s="131">
        <f t="shared" ca="1" si="9"/>
        <v>57.125267826606766</v>
      </c>
      <c r="K26" s="131">
        <f t="shared" ca="1" si="10"/>
        <v>56.81549925063316</v>
      </c>
    </row>
    <row r="27" spans="1:11" outlineLevel="1" x14ac:dyDescent="0.25">
      <c r="A27" s="59">
        <v>18</v>
      </c>
      <c r="B27" s="131">
        <f t="shared" ca="1" si="1"/>
        <v>57.188000225199715</v>
      </c>
      <c r="C27" s="131">
        <f t="shared" ca="1" si="2"/>
        <v>57.702244664371264</v>
      </c>
      <c r="D27" s="131">
        <f t="shared" ca="1" si="3"/>
        <v>57.055869451642749</v>
      </c>
      <c r="E27" s="131">
        <f t="shared" ca="1" si="4"/>
        <v>57.398362032526364</v>
      </c>
      <c r="F27" s="131">
        <f t="shared" ca="1" si="5"/>
        <v>57.902208111468973</v>
      </c>
      <c r="G27" s="131">
        <f t="shared" ca="1" si="6"/>
        <v>57.257807970340011</v>
      </c>
      <c r="H27" s="131">
        <f t="shared" ca="1" si="7"/>
        <v>57.296932693756773</v>
      </c>
      <c r="I27" s="131">
        <f t="shared" ca="1" si="8"/>
        <v>57.319412685401822</v>
      </c>
      <c r="J27" s="131">
        <f t="shared" ca="1" si="9"/>
        <v>57.044500130460918</v>
      </c>
      <c r="K27" s="131">
        <f t="shared" ca="1" si="10"/>
        <v>56.902488684351873</v>
      </c>
    </row>
    <row r="28" spans="1:11" outlineLevel="1" x14ac:dyDescent="0.25">
      <c r="A28" s="59">
        <v>19</v>
      </c>
      <c r="B28" s="131">
        <f t="shared" ca="1" si="1"/>
        <v>57.219281716999582</v>
      </c>
      <c r="C28" s="131">
        <f t="shared" ca="1" si="2"/>
        <v>57.618175877645612</v>
      </c>
      <c r="D28" s="131">
        <f t="shared" ca="1" si="3"/>
        <v>57.004912038146244</v>
      </c>
      <c r="E28" s="131">
        <f t="shared" ca="1" si="4"/>
        <v>57.466277345724031</v>
      </c>
      <c r="F28" s="131">
        <f t="shared" ca="1" si="5"/>
        <v>58.016555945328712</v>
      </c>
      <c r="G28" s="131">
        <f t="shared" ca="1" si="6"/>
        <v>57.284115861369933</v>
      </c>
      <c r="H28" s="131">
        <f t="shared" ca="1" si="7"/>
        <v>57.326902209728253</v>
      </c>
      <c r="I28" s="131">
        <f t="shared" ca="1" si="8"/>
        <v>57.348869189467678</v>
      </c>
      <c r="J28" s="131">
        <f t="shared" ca="1" si="9"/>
        <v>57.156646588445852</v>
      </c>
      <c r="K28" s="131">
        <f t="shared" ca="1" si="10"/>
        <v>57.12780877334044</v>
      </c>
    </row>
    <row r="29" spans="1:11" outlineLevel="1" x14ac:dyDescent="0.25">
      <c r="A29" s="59">
        <v>20</v>
      </c>
      <c r="B29" s="131">
        <f t="shared" ca="1" si="1"/>
        <v>57.357711474336057</v>
      </c>
      <c r="C29" s="131">
        <f t="shared" ca="1" si="2"/>
        <v>57.848073661863232</v>
      </c>
      <c r="D29" s="131">
        <f t="shared" ca="1" si="3"/>
        <v>57.178960007652215</v>
      </c>
      <c r="E29" s="131">
        <f t="shared" ca="1" si="4"/>
        <v>57.726564934814078</v>
      </c>
      <c r="F29" s="131">
        <f t="shared" ca="1" si="5"/>
        <v>58.088630454107594</v>
      </c>
      <c r="G29" s="131">
        <f t="shared" ca="1" si="6"/>
        <v>57.244399840253124</v>
      </c>
      <c r="H29" s="131">
        <f t="shared" ca="1" si="7"/>
        <v>57.512905929243701</v>
      </c>
      <c r="I29" s="131">
        <f t="shared" ca="1" si="8"/>
        <v>57.400306831023009</v>
      </c>
      <c r="J29" s="131">
        <f t="shared" ca="1" si="9"/>
        <v>57.187018094099621</v>
      </c>
      <c r="K29" s="131">
        <f t="shared" ca="1" si="10"/>
        <v>57.177060275106157</v>
      </c>
    </row>
    <row r="30" spans="1:11" outlineLevel="1" x14ac:dyDescent="0.25">
      <c r="A30" s="59">
        <v>21</v>
      </c>
      <c r="B30" s="131">
        <f t="shared" ca="1" si="1"/>
        <v>57.49508066948529</v>
      </c>
      <c r="C30" s="131">
        <f t="shared" ca="1" si="2"/>
        <v>57.887992855074273</v>
      </c>
      <c r="D30" s="131">
        <f t="shared" ca="1" si="3"/>
        <v>57.465287439553627</v>
      </c>
      <c r="E30" s="131">
        <f t="shared" ca="1" si="4"/>
        <v>57.737795729925487</v>
      </c>
      <c r="F30" s="131">
        <f t="shared" ca="1" si="5"/>
        <v>58.092771164872659</v>
      </c>
      <c r="G30" s="131">
        <f t="shared" ca="1" si="6"/>
        <v>57.427527592079883</v>
      </c>
      <c r="H30" s="131">
        <f t="shared" ca="1" si="7"/>
        <v>57.352147786389231</v>
      </c>
      <c r="I30" s="131">
        <f t="shared" ca="1" si="8"/>
        <v>57.332217382585227</v>
      </c>
      <c r="J30" s="131">
        <f t="shared" ca="1" si="9"/>
        <v>57.417106116732683</v>
      </c>
      <c r="K30" s="131">
        <f t="shared" ca="1" si="10"/>
        <v>57.33572805397467</v>
      </c>
    </row>
    <row r="31" spans="1:11" outlineLevel="1" x14ac:dyDescent="0.25">
      <c r="A31" s="59">
        <v>22</v>
      </c>
      <c r="B31" s="131">
        <f t="shared" ca="1" si="1"/>
        <v>57.615914513162465</v>
      </c>
      <c r="C31" s="131">
        <f t="shared" ca="1" si="2"/>
        <v>58.161177322407063</v>
      </c>
      <c r="D31" s="131">
        <f t="shared" ca="1" si="3"/>
        <v>57.645898725510563</v>
      </c>
      <c r="E31" s="131">
        <f t="shared" ca="1" si="4"/>
        <v>57.851867803025939</v>
      </c>
      <c r="F31" s="131">
        <f t="shared" ca="1" si="5"/>
        <v>57.914930197330825</v>
      </c>
      <c r="G31" s="131">
        <f t="shared" ca="1" si="6"/>
        <v>57.337898531961798</v>
      </c>
      <c r="H31" s="131">
        <f t="shared" ca="1" si="7"/>
        <v>57.367384580838426</v>
      </c>
      <c r="I31" s="131">
        <f t="shared" ca="1" si="8"/>
        <v>57.580945329888181</v>
      </c>
      <c r="J31" s="131">
        <f t="shared" ca="1" si="9"/>
        <v>57.550809407897034</v>
      </c>
      <c r="K31" s="131">
        <f t="shared" ca="1" si="10"/>
        <v>57.431045585266965</v>
      </c>
    </row>
    <row r="32" spans="1:11" outlineLevel="1" x14ac:dyDescent="0.25">
      <c r="A32" s="59">
        <v>23</v>
      </c>
      <c r="B32" s="131">
        <f t="shared" ca="1" si="1"/>
        <v>57.810622103995129</v>
      </c>
      <c r="C32" s="131">
        <f t="shared" ca="1" si="2"/>
        <v>58.132269927114429</v>
      </c>
      <c r="D32" s="131">
        <f t="shared" ca="1" si="3"/>
        <v>57.801245164403717</v>
      </c>
      <c r="E32" s="131">
        <f t="shared" ca="1" si="4"/>
        <v>57.917109340117065</v>
      </c>
      <c r="F32" s="131">
        <f t="shared" ca="1" si="5"/>
        <v>58.057734899718014</v>
      </c>
      <c r="G32" s="131">
        <f t="shared" ca="1" si="6"/>
        <v>57.474227281630171</v>
      </c>
      <c r="H32" s="131">
        <f t="shared" ca="1" si="7"/>
        <v>57.438344510429907</v>
      </c>
      <c r="I32" s="131">
        <f t="shared" ca="1" si="8"/>
        <v>57.565289479344749</v>
      </c>
      <c r="J32" s="131">
        <f t="shared" ca="1" si="9"/>
        <v>57.765492145965972</v>
      </c>
      <c r="K32" s="131">
        <f t="shared" ca="1" si="10"/>
        <v>57.539644415309951</v>
      </c>
    </row>
    <row r="33" spans="1:11" outlineLevel="1" x14ac:dyDescent="0.25">
      <c r="A33" s="59">
        <v>24</v>
      </c>
      <c r="B33" s="131">
        <f t="shared" ca="1" si="1"/>
        <v>57.8557622683796</v>
      </c>
      <c r="C33" s="131">
        <f t="shared" ca="1" si="2"/>
        <v>58.229861372782977</v>
      </c>
      <c r="D33" s="131">
        <f t="shared" ca="1" si="3"/>
        <v>58.07281492234798</v>
      </c>
      <c r="E33" s="131">
        <f t="shared" ca="1" si="4"/>
        <v>58.165602205538384</v>
      </c>
      <c r="F33" s="131">
        <f t="shared" ca="1" si="5"/>
        <v>58.20796214652529</v>
      </c>
      <c r="G33" s="131">
        <f t="shared" ca="1" si="6"/>
        <v>57.65785997022153</v>
      </c>
      <c r="H33" s="131">
        <f t="shared" ca="1" si="7"/>
        <v>57.421120074844801</v>
      </c>
      <c r="I33" s="131">
        <f t="shared" ca="1" si="8"/>
        <v>57.875504221779408</v>
      </c>
      <c r="J33" s="131">
        <f t="shared" ca="1" si="9"/>
        <v>57.827237510800231</v>
      </c>
      <c r="K33" s="131">
        <f t="shared" ca="1" si="10"/>
        <v>57.764457647925759</v>
      </c>
    </row>
    <row r="34" spans="1:11" outlineLevel="1" x14ac:dyDescent="0.25">
      <c r="A34" s="59">
        <v>25</v>
      </c>
      <c r="B34" s="131">
        <f t="shared" ca="1" si="1"/>
        <v>57.897251075169379</v>
      </c>
      <c r="C34" s="131">
        <f t="shared" ca="1" si="2"/>
        <v>58.171828395364351</v>
      </c>
      <c r="D34" s="131">
        <f t="shared" ca="1" si="3"/>
        <v>58.343843694949683</v>
      </c>
      <c r="E34" s="131">
        <f t="shared" ca="1" si="4"/>
        <v>58.305615084530082</v>
      </c>
      <c r="F34" s="131">
        <f t="shared" ca="1" si="5"/>
        <v>58.364661934999489</v>
      </c>
      <c r="G34" s="131">
        <f t="shared" ca="1" si="6"/>
        <v>57.696172408662157</v>
      </c>
      <c r="H34" s="131">
        <f t="shared" ca="1" si="7"/>
        <v>57.402644603234897</v>
      </c>
      <c r="I34" s="131">
        <f t="shared" ca="1" si="8"/>
        <v>57.95922064272218</v>
      </c>
      <c r="J34" s="131">
        <f t="shared" ca="1" si="9"/>
        <v>57.887873971221488</v>
      </c>
      <c r="K34" s="131">
        <f t="shared" ca="1" si="10"/>
        <v>58.038749964896112</v>
      </c>
    </row>
    <row r="35" spans="1:11" outlineLevel="1" x14ac:dyDescent="0.25">
      <c r="A35" s="59">
        <v>26</v>
      </c>
      <c r="B35" s="131">
        <f t="shared" ca="1" si="1"/>
        <v>57.846252513853187</v>
      </c>
      <c r="C35" s="131">
        <f t="shared" ca="1" si="2"/>
        <v>58.341570765317329</v>
      </c>
      <c r="D35" s="131">
        <f t="shared" ca="1" si="3"/>
        <v>58.556610743939125</v>
      </c>
      <c r="E35" s="131">
        <f t="shared" ca="1" si="4"/>
        <v>58.539770851946017</v>
      </c>
      <c r="F35" s="131">
        <f t="shared" ca="1" si="5"/>
        <v>58.536353716205141</v>
      </c>
      <c r="G35" s="131">
        <f t="shared" ca="1" si="6"/>
        <v>57.786763207363471</v>
      </c>
      <c r="H35" s="131">
        <f t="shared" ca="1" si="7"/>
        <v>57.390749425627696</v>
      </c>
      <c r="I35" s="131">
        <f t="shared" ca="1" si="8"/>
        <v>57.914196384160469</v>
      </c>
      <c r="J35" s="131">
        <f t="shared" ca="1" si="9"/>
        <v>58.02807510625825</v>
      </c>
      <c r="K35" s="131">
        <f t="shared" ca="1" si="10"/>
        <v>57.801022175627821</v>
      </c>
    </row>
    <row r="36" spans="1:11" outlineLevel="1" x14ac:dyDescent="0.25">
      <c r="A36" s="59">
        <v>27</v>
      </c>
      <c r="B36" s="131">
        <f t="shared" ca="1" si="1"/>
        <v>57.837299440155917</v>
      </c>
      <c r="C36" s="131">
        <f t="shared" ca="1" si="2"/>
        <v>58.502910609950284</v>
      </c>
      <c r="D36" s="131">
        <f t="shared" ca="1" si="3"/>
        <v>58.568393841499571</v>
      </c>
      <c r="E36" s="131">
        <f t="shared" ca="1" si="4"/>
        <v>58.664784070455234</v>
      </c>
      <c r="F36" s="131">
        <f t="shared" ca="1" si="5"/>
        <v>58.71579658679974</v>
      </c>
      <c r="G36" s="131">
        <f t="shared" ca="1" si="6"/>
        <v>57.851633368415399</v>
      </c>
      <c r="H36" s="131">
        <f t="shared" ca="1" si="7"/>
        <v>57.466939287719406</v>
      </c>
      <c r="I36" s="131">
        <f t="shared" ca="1" si="8"/>
        <v>57.824711973752031</v>
      </c>
      <c r="J36" s="131">
        <f t="shared" ca="1" si="9"/>
        <v>58.24013512500693</v>
      </c>
      <c r="K36" s="131">
        <f t="shared" ca="1" si="10"/>
        <v>57.746123785357881</v>
      </c>
    </row>
    <row r="37" spans="1:11" outlineLevel="1" x14ac:dyDescent="0.25">
      <c r="A37" s="59">
        <v>28</v>
      </c>
      <c r="B37" s="131">
        <f t="shared" ca="1" si="1"/>
        <v>57.882564521470982</v>
      </c>
      <c r="C37" s="131">
        <f t="shared" ca="1" si="2"/>
        <v>58.522641509559357</v>
      </c>
      <c r="D37" s="131">
        <f t="shared" ca="1" si="3"/>
        <v>58.490057794058373</v>
      </c>
      <c r="E37" s="131">
        <f t="shared" ca="1" si="4"/>
        <v>58.762254512462079</v>
      </c>
      <c r="F37" s="131">
        <f t="shared" ca="1" si="5"/>
        <v>58.708427892270912</v>
      </c>
      <c r="G37" s="131">
        <f t="shared" ca="1" si="6"/>
        <v>57.84171939429784</v>
      </c>
      <c r="H37" s="131">
        <f t="shared" ca="1" si="7"/>
        <v>57.590293912261615</v>
      </c>
      <c r="I37" s="131">
        <f t="shared" ca="1" si="8"/>
        <v>57.804378651511207</v>
      </c>
      <c r="J37" s="131">
        <f t="shared" ca="1" si="9"/>
        <v>58.159592713271245</v>
      </c>
      <c r="K37" s="131">
        <f t="shared" ca="1" si="10"/>
        <v>57.778981735907735</v>
      </c>
    </row>
    <row r="38" spans="1:11" outlineLevel="1" x14ac:dyDescent="0.25">
      <c r="A38" s="59">
        <v>29</v>
      </c>
      <c r="B38" s="131">
        <f t="shared" ca="1" si="1"/>
        <v>58.077249959081776</v>
      </c>
      <c r="C38" s="131">
        <f t="shared" ca="1" si="2"/>
        <v>58.676362601886154</v>
      </c>
      <c r="D38" s="131">
        <f t="shared" ca="1" si="3"/>
        <v>58.5168237386006</v>
      </c>
      <c r="E38" s="131">
        <f t="shared" ca="1" si="4"/>
        <v>59.023579819204237</v>
      </c>
      <c r="F38" s="131">
        <f t="shared" ca="1" si="5"/>
        <v>58.84448845982967</v>
      </c>
      <c r="G38" s="131">
        <f t="shared" ca="1" si="6"/>
        <v>58.02007699037123</v>
      </c>
      <c r="H38" s="131">
        <f t="shared" ca="1" si="7"/>
        <v>57.697642408499568</v>
      </c>
      <c r="I38" s="131">
        <f t="shared" ca="1" si="8"/>
        <v>58.116934835966561</v>
      </c>
      <c r="J38" s="131">
        <f t="shared" ca="1" si="9"/>
        <v>58.256990708921151</v>
      </c>
      <c r="K38" s="131">
        <f t="shared" ca="1" si="10"/>
        <v>57.929680057636403</v>
      </c>
    </row>
    <row r="39" spans="1:11" outlineLevel="1" x14ac:dyDescent="0.25">
      <c r="A39" s="59">
        <v>30</v>
      </c>
      <c r="B39" s="131">
        <f t="shared" ca="1" si="1"/>
        <v>58.088559259810928</v>
      </c>
      <c r="C39" s="131">
        <f t="shared" ca="1" si="2"/>
        <v>58.839375134148106</v>
      </c>
      <c r="D39" s="131">
        <f t="shared" ca="1" si="3"/>
        <v>58.490992345837576</v>
      </c>
      <c r="E39" s="131">
        <f t="shared" ca="1" si="4"/>
        <v>59.235557068980853</v>
      </c>
      <c r="F39" s="131">
        <f t="shared" ca="1" si="5"/>
        <v>58.868744883188775</v>
      </c>
      <c r="G39" s="131">
        <f t="shared" ca="1" si="6"/>
        <v>58.086695058795691</v>
      </c>
      <c r="H39" s="131">
        <f t="shared" ca="1" si="7"/>
        <v>57.871412450444396</v>
      </c>
      <c r="I39" s="131">
        <f t="shared" ca="1" si="8"/>
        <v>58.280733537880671</v>
      </c>
      <c r="J39" s="131">
        <f t="shared" ca="1" si="9"/>
        <v>58.421308373432844</v>
      </c>
      <c r="K39" s="131">
        <f t="shared" ca="1" si="10"/>
        <v>58.161994413262263</v>
      </c>
    </row>
    <row r="40" spans="1:11" outlineLevel="1" x14ac:dyDescent="0.25">
      <c r="A40" s="59">
        <v>31</v>
      </c>
      <c r="B40" s="131">
        <f t="shared" ca="1" si="1"/>
        <v>58.289104353141788</v>
      </c>
      <c r="C40" s="131">
        <f t="shared" ca="1" si="2"/>
        <v>58.932920487128207</v>
      </c>
      <c r="D40" s="131">
        <f t="shared" ca="1" si="3"/>
        <v>58.820481559984778</v>
      </c>
      <c r="E40" s="131">
        <f t="shared" ca="1" si="4"/>
        <v>59.356439717295736</v>
      </c>
      <c r="F40" s="131">
        <f t="shared" ca="1" si="5"/>
        <v>59.003340533924494</v>
      </c>
      <c r="G40" s="131">
        <f t="shared" ca="1" si="6"/>
        <v>58.249738666454242</v>
      </c>
      <c r="H40" s="131">
        <f t="shared" ca="1" si="7"/>
        <v>57.904097180894688</v>
      </c>
      <c r="I40" s="131">
        <f t="shared" ca="1" si="8"/>
        <v>58.601617484222139</v>
      </c>
      <c r="J40" s="131">
        <f t="shared" ca="1" si="9"/>
        <v>58.698093428970665</v>
      </c>
      <c r="K40" s="131">
        <f t="shared" ca="1" si="10"/>
        <v>58.190088877046463</v>
      </c>
    </row>
    <row r="41" spans="1:11" outlineLevel="1" x14ac:dyDescent="0.25">
      <c r="A41" s="59">
        <v>32</v>
      </c>
      <c r="B41" s="131">
        <f t="shared" ca="1" si="1"/>
        <v>58.373239441615404</v>
      </c>
      <c r="C41" s="131">
        <f t="shared" ca="1" si="2"/>
        <v>59.26681284573305</v>
      </c>
      <c r="D41" s="131">
        <f t="shared" ca="1" si="3"/>
        <v>58.8597582840653</v>
      </c>
      <c r="E41" s="131">
        <f t="shared" ca="1" si="4"/>
        <v>59.315897047940645</v>
      </c>
      <c r="F41" s="131">
        <f t="shared" ca="1" si="5"/>
        <v>59.216857705131311</v>
      </c>
      <c r="G41" s="131">
        <f t="shared" ca="1" si="6"/>
        <v>58.332703060258289</v>
      </c>
      <c r="H41" s="131">
        <f t="shared" ca="1" si="7"/>
        <v>57.999144604108238</v>
      </c>
      <c r="I41" s="131">
        <f t="shared" ca="1" si="8"/>
        <v>58.624518820415396</v>
      </c>
      <c r="J41" s="131">
        <f t="shared" ca="1" si="9"/>
        <v>58.72521005916979</v>
      </c>
      <c r="K41" s="131">
        <f t="shared" ca="1" si="10"/>
        <v>58.1070149990978</v>
      </c>
    </row>
    <row r="42" spans="1:11" outlineLevel="1" x14ac:dyDescent="0.25">
      <c r="A42" s="59">
        <v>33</v>
      </c>
      <c r="B42" s="131">
        <f t="shared" ca="1" si="1"/>
        <v>58.54043412376928</v>
      </c>
      <c r="C42" s="131">
        <f t="shared" ca="1" si="2"/>
        <v>59.312976527871058</v>
      </c>
      <c r="D42" s="131">
        <f t="shared" ca="1" si="3"/>
        <v>58.855839820786478</v>
      </c>
      <c r="E42" s="131">
        <f t="shared" ca="1" si="4"/>
        <v>59.301891894676906</v>
      </c>
      <c r="F42" s="131">
        <f t="shared" ca="1" si="5"/>
        <v>59.282705558910969</v>
      </c>
      <c r="G42" s="131">
        <f t="shared" ca="1" si="6"/>
        <v>58.369375409872276</v>
      </c>
      <c r="H42" s="131">
        <f t="shared" ca="1" si="7"/>
        <v>58.055226472567128</v>
      </c>
      <c r="I42" s="131">
        <f t="shared" ca="1" si="8"/>
        <v>58.678757853372389</v>
      </c>
      <c r="J42" s="131">
        <f t="shared" ca="1" si="9"/>
        <v>59.079676362259214</v>
      </c>
      <c r="K42" s="131">
        <f t="shared" ca="1" si="10"/>
        <v>58.176587162774283</v>
      </c>
    </row>
    <row r="43" spans="1:11" outlineLevel="1" x14ac:dyDescent="0.25">
      <c r="A43" s="59">
        <v>34</v>
      </c>
      <c r="B43" s="131">
        <f t="shared" ca="1" si="1"/>
        <v>58.594655940364547</v>
      </c>
      <c r="C43" s="131">
        <f t="shared" ca="1" si="2"/>
        <v>59.434976000270552</v>
      </c>
      <c r="D43" s="131">
        <f t="shared" ca="1" si="3"/>
        <v>59.070290428127322</v>
      </c>
      <c r="E43" s="131">
        <f t="shared" ca="1" si="4"/>
        <v>59.446008756638157</v>
      </c>
      <c r="F43" s="131">
        <f t="shared" ca="1" si="5"/>
        <v>59.364470950966634</v>
      </c>
      <c r="G43" s="131">
        <f t="shared" ca="1" si="6"/>
        <v>58.51692973074244</v>
      </c>
      <c r="H43" s="131">
        <f t="shared" ca="1" si="7"/>
        <v>58.217201979171236</v>
      </c>
      <c r="I43" s="131">
        <f t="shared" ca="1" si="8"/>
        <v>58.855546362273891</v>
      </c>
      <c r="J43" s="131">
        <f t="shared" ca="1" si="9"/>
        <v>59.193449562514353</v>
      </c>
      <c r="K43" s="131">
        <f t="shared" ca="1" si="10"/>
        <v>58.256835463362208</v>
      </c>
    </row>
    <row r="44" spans="1:11" outlineLevel="1" x14ac:dyDescent="0.25">
      <c r="A44" s="59">
        <v>35</v>
      </c>
      <c r="B44" s="131">
        <f t="shared" ca="1" si="1"/>
        <v>58.77438060510466</v>
      </c>
      <c r="C44" s="131">
        <f t="shared" ca="1" si="2"/>
        <v>59.453948829934852</v>
      </c>
      <c r="D44" s="131">
        <f t="shared" ca="1" si="3"/>
        <v>59.172162179167664</v>
      </c>
      <c r="E44" s="131">
        <f t="shared" ca="1" si="4"/>
        <v>59.351863694856299</v>
      </c>
      <c r="F44" s="131">
        <f t="shared" ca="1" si="5"/>
        <v>59.397491726750246</v>
      </c>
      <c r="G44" s="131">
        <f t="shared" ca="1" si="6"/>
        <v>58.656854683427191</v>
      </c>
      <c r="H44" s="131">
        <f t="shared" ca="1" si="7"/>
        <v>58.296478369942292</v>
      </c>
      <c r="I44" s="131">
        <f t="shared" ca="1" si="8"/>
        <v>59.023034182693671</v>
      </c>
      <c r="J44" s="131">
        <f t="shared" ca="1" si="9"/>
        <v>59.278956040875393</v>
      </c>
      <c r="K44" s="131">
        <f t="shared" ca="1" si="10"/>
        <v>58.233064785724835</v>
      </c>
    </row>
    <row r="45" spans="1:11" outlineLevel="1" x14ac:dyDescent="0.25">
      <c r="A45" s="59">
        <v>36</v>
      </c>
      <c r="B45" s="131">
        <f t="shared" ca="1" si="1"/>
        <v>59.081160766673484</v>
      </c>
      <c r="C45" s="131">
        <f t="shared" ca="1" si="2"/>
        <v>59.381233503728602</v>
      </c>
      <c r="D45" s="131">
        <f t="shared" ca="1" si="3"/>
        <v>59.354046626492085</v>
      </c>
      <c r="E45" s="131">
        <f t="shared" ca="1" si="4"/>
        <v>59.287046182693942</v>
      </c>
      <c r="F45" s="131">
        <f t="shared" ca="1" si="5"/>
        <v>59.611929285623901</v>
      </c>
      <c r="G45" s="131">
        <f t="shared" ca="1" si="6"/>
        <v>58.571882541251043</v>
      </c>
      <c r="H45" s="131">
        <f t="shared" ca="1" si="7"/>
        <v>58.325871285587148</v>
      </c>
      <c r="I45" s="131">
        <f t="shared" ca="1" si="8"/>
        <v>59.285753262164825</v>
      </c>
      <c r="J45" s="131">
        <f t="shared" ca="1" si="9"/>
        <v>59.500424242843884</v>
      </c>
      <c r="K45" s="131">
        <f t="shared" ca="1" si="10"/>
        <v>58.327392445739321</v>
      </c>
    </row>
    <row r="46" spans="1:11" outlineLevel="1" x14ac:dyDescent="0.25">
      <c r="A46" s="59">
        <v>37</v>
      </c>
      <c r="B46" s="131">
        <f t="shared" ca="1" si="1"/>
        <v>58.994660993181135</v>
      </c>
      <c r="C46" s="131">
        <f t="shared" ca="1" si="2"/>
        <v>59.303314429720167</v>
      </c>
      <c r="D46" s="131">
        <f t="shared" ca="1" si="3"/>
        <v>59.561206390533876</v>
      </c>
      <c r="E46" s="131">
        <f t="shared" ca="1" si="4"/>
        <v>59.280638044302421</v>
      </c>
      <c r="F46" s="131">
        <f t="shared" ca="1" si="5"/>
        <v>59.650906466017986</v>
      </c>
      <c r="G46" s="131">
        <f t="shared" ca="1" si="6"/>
        <v>58.355347600766947</v>
      </c>
      <c r="H46" s="131">
        <f t="shared" ca="1" si="7"/>
        <v>58.147110425269211</v>
      </c>
      <c r="I46" s="131">
        <f t="shared" ca="1" si="8"/>
        <v>59.212556380706644</v>
      </c>
      <c r="J46" s="131">
        <f t="shared" ca="1" si="9"/>
        <v>59.673873769500112</v>
      </c>
      <c r="K46" s="131">
        <f t="shared" ca="1" si="10"/>
        <v>58.412812148210229</v>
      </c>
    </row>
    <row r="47" spans="1:11" outlineLevel="1" x14ac:dyDescent="0.25">
      <c r="A47" s="59">
        <v>38</v>
      </c>
      <c r="B47" s="131">
        <f t="shared" ca="1" si="1"/>
        <v>59.09339754044462</v>
      </c>
      <c r="C47" s="131">
        <f t="shared" ca="1" si="2"/>
        <v>59.217888161711187</v>
      </c>
      <c r="D47" s="131">
        <f t="shared" ca="1" si="3"/>
        <v>59.600209711028654</v>
      </c>
      <c r="E47" s="131">
        <f t="shared" ca="1" si="4"/>
        <v>59.548926617222492</v>
      </c>
      <c r="F47" s="131">
        <f t="shared" ca="1" si="5"/>
        <v>59.556207953192306</v>
      </c>
      <c r="G47" s="131">
        <f t="shared" ca="1" si="6"/>
        <v>58.505709567373337</v>
      </c>
      <c r="H47" s="131">
        <f t="shared" ca="1" si="7"/>
        <v>58.366094623674407</v>
      </c>
      <c r="I47" s="131">
        <f t="shared" ca="1" si="8"/>
        <v>59.185198997349815</v>
      </c>
      <c r="J47" s="131">
        <f t="shared" ca="1" si="9"/>
        <v>59.930883589196753</v>
      </c>
      <c r="K47" s="131">
        <f t="shared" ca="1" si="10"/>
        <v>58.526718746425942</v>
      </c>
    </row>
    <row r="48" spans="1:11" outlineLevel="1" x14ac:dyDescent="0.25">
      <c r="A48" s="59">
        <v>39</v>
      </c>
      <c r="B48" s="131">
        <f t="shared" ca="1" si="1"/>
        <v>59.367481869540313</v>
      </c>
      <c r="C48" s="131">
        <f t="shared" ca="1" si="2"/>
        <v>59.372233797174296</v>
      </c>
      <c r="D48" s="131">
        <f t="shared" ca="1" si="3"/>
        <v>59.807840071499292</v>
      </c>
      <c r="E48" s="131">
        <f t="shared" ca="1" si="4"/>
        <v>59.657669795989612</v>
      </c>
      <c r="F48" s="131">
        <f t="shared" ca="1" si="5"/>
        <v>59.754636262106757</v>
      </c>
      <c r="G48" s="131">
        <f t="shared" ca="1" si="6"/>
        <v>58.702140525602992</v>
      </c>
      <c r="H48" s="131">
        <f t="shared" ca="1" si="7"/>
        <v>58.437950957733818</v>
      </c>
      <c r="I48" s="131">
        <f t="shared" ca="1" si="8"/>
        <v>58.974530661482746</v>
      </c>
      <c r="J48" s="131">
        <f t="shared" ca="1" si="9"/>
        <v>60.101703386369714</v>
      </c>
      <c r="K48" s="131">
        <f t="shared" ca="1" si="10"/>
        <v>58.654387774982844</v>
      </c>
    </row>
    <row r="49" spans="1:11" outlineLevel="1" x14ac:dyDescent="0.25">
      <c r="A49" s="59">
        <v>40</v>
      </c>
      <c r="B49" s="131">
        <f t="shared" ca="1" si="1"/>
        <v>59.459763127130678</v>
      </c>
      <c r="C49" s="131">
        <f t="shared" ca="1" si="2"/>
        <v>59.633561611553439</v>
      </c>
      <c r="D49" s="131">
        <f t="shared" ca="1" si="3"/>
        <v>59.749847897345809</v>
      </c>
      <c r="E49" s="131">
        <f t="shared" ca="1" si="4"/>
        <v>59.639184999644378</v>
      </c>
      <c r="F49" s="131">
        <f t="shared" ca="1" si="5"/>
        <v>59.991501245956854</v>
      </c>
      <c r="G49" s="131">
        <f t="shared" ca="1" si="6"/>
        <v>58.758804073952987</v>
      </c>
      <c r="H49" s="131">
        <f t="shared" ca="1" si="7"/>
        <v>58.474731195262869</v>
      </c>
      <c r="I49" s="131">
        <f t="shared" ca="1" si="8"/>
        <v>59.11020914632477</v>
      </c>
      <c r="J49" s="131">
        <f t="shared" ca="1" si="9"/>
        <v>60.388623837845849</v>
      </c>
      <c r="K49" s="131">
        <f t="shared" ca="1" si="10"/>
        <v>58.770391889981823</v>
      </c>
    </row>
    <row r="50" spans="1:11" outlineLevel="1" x14ac:dyDescent="0.25">
      <c r="A50" s="59">
        <v>41</v>
      </c>
      <c r="B50" s="131">
        <f t="shared" ca="1" si="1"/>
        <v>59.26187302109409</v>
      </c>
      <c r="C50" s="131">
        <f t="shared" ca="1" si="2"/>
        <v>59.730565450745715</v>
      </c>
      <c r="D50" s="131">
        <f t="shared" ca="1" si="3"/>
        <v>59.730093672928845</v>
      </c>
      <c r="E50" s="131">
        <f t="shared" ca="1" si="4"/>
        <v>59.66397962886991</v>
      </c>
      <c r="F50" s="131">
        <f t="shared" ca="1" si="5"/>
        <v>60.38422306954881</v>
      </c>
      <c r="G50" s="131">
        <f t="shared" ca="1" si="6"/>
        <v>58.866279225612921</v>
      </c>
      <c r="H50" s="131">
        <f t="shared" ca="1" si="7"/>
        <v>58.701389465134604</v>
      </c>
      <c r="I50" s="131">
        <f t="shared" ca="1" si="8"/>
        <v>59.240846322979849</v>
      </c>
      <c r="J50" s="131">
        <f t="shared" ca="1" si="9"/>
        <v>60.616842584788117</v>
      </c>
      <c r="K50" s="131">
        <f t="shared" ca="1" si="10"/>
        <v>58.897559354224448</v>
      </c>
    </row>
    <row r="51" spans="1:11" outlineLevel="1" x14ac:dyDescent="0.25">
      <c r="A51" s="59">
        <v>42</v>
      </c>
      <c r="B51" s="131">
        <f t="shared" ca="1" si="1"/>
        <v>59.26729991088019</v>
      </c>
      <c r="C51" s="131">
        <f t="shared" ca="1" si="2"/>
        <v>59.964517879320688</v>
      </c>
      <c r="D51" s="131">
        <f t="shared" ca="1" si="3"/>
        <v>59.813509898999875</v>
      </c>
      <c r="E51" s="131">
        <f t="shared" ca="1" si="4"/>
        <v>59.611205066602921</v>
      </c>
      <c r="F51" s="131">
        <f t="shared" ca="1" si="5"/>
        <v>60.148649571190106</v>
      </c>
      <c r="G51" s="131">
        <f t="shared" ca="1" si="6"/>
        <v>58.877943902029031</v>
      </c>
      <c r="H51" s="131">
        <f t="shared" ca="1" si="7"/>
        <v>58.981872773563374</v>
      </c>
      <c r="I51" s="131">
        <f t="shared" ca="1" si="8"/>
        <v>59.308038448386604</v>
      </c>
      <c r="J51" s="131">
        <f t="shared" ca="1" si="9"/>
        <v>60.670045378580149</v>
      </c>
      <c r="K51" s="131">
        <f t="shared" ca="1" si="10"/>
        <v>59.218226045955156</v>
      </c>
    </row>
    <row r="52" spans="1:11" outlineLevel="1" x14ac:dyDescent="0.25">
      <c r="A52" s="59">
        <v>43</v>
      </c>
      <c r="B52" s="131">
        <f t="shared" ca="1" si="1"/>
        <v>59.162842393944416</v>
      </c>
      <c r="C52" s="131">
        <f t="shared" ca="1" si="2"/>
        <v>60.279279358977028</v>
      </c>
      <c r="D52" s="131">
        <f t="shared" ca="1" si="3"/>
        <v>59.839037782395636</v>
      </c>
      <c r="E52" s="131">
        <f t="shared" ca="1" si="4"/>
        <v>59.57554519455217</v>
      </c>
      <c r="F52" s="131">
        <f t="shared" ca="1" si="5"/>
        <v>60.309106550318035</v>
      </c>
      <c r="G52" s="131">
        <f t="shared" ca="1" si="6"/>
        <v>58.88717887413317</v>
      </c>
      <c r="H52" s="131">
        <f t="shared" ca="1" si="7"/>
        <v>59.167434580327637</v>
      </c>
      <c r="I52" s="131">
        <f t="shared" ca="1" si="8"/>
        <v>59.261086611873374</v>
      </c>
      <c r="J52" s="131">
        <f t="shared" ca="1" si="9"/>
        <v>60.622661943050161</v>
      </c>
      <c r="K52" s="131">
        <f t="shared" ca="1" si="10"/>
        <v>59.32441631945786</v>
      </c>
    </row>
    <row r="53" spans="1:11" outlineLevel="1" x14ac:dyDescent="0.25">
      <c r="A53" s="59">
        <v>44</v>
      </c>
      <c r="B53" s="131">
        <f t="shared" ca="1" si="1"/>
        <v>59.398660180488868</v>
      </c>
      <c r="C53" s="131">
        <f t="shared" ca="1" si="2"/>
        <v>60.5156760096733</v>
      </c>
      <c r="D53" s="131">
        <f t="shared" ca="1" si="3"/>
        <v>59.99394097856019</v>
      </c>
      <c r="E53" s="131">
        <f t="shared" ca="1" si="4"/>
        <v>59.342245293462355</v>
      </c>
      <c r="F53" s="131">
        <f t="shared" ca="1" si="5"/>
        <v>60.175095247794175</v>
      </c>
      <c r="G53" s="131">
        <f t="shared" ca="1" si="6"/>
        <v>58.933936003530164</v>
      </c>
      <c r="H53" s="131">
        <f t="shared" ca="1" si="7"/>
        <v>59.117984970142032</v>
      </c>
      <c r="I53" s="131">
        <f t="shared" ca="1" si="8"/>
        <v>59.452696463647534</v>
      </c>
      <c r="J53" s="131">
        <f t="shared" ca="1" si="9"/>
        <v>60.688880317667035</v>
      </c>
      <c r="K53" s="131">
        <f t="shared" ca="1" si="10"/>
        <v>59.567208772750007</v>
      </c>
    </row>
    <row r="54" spans="1:11" outlineLevel="1" x14ac:dyDescent="0.25">
      <c r="A54" s="59">
        <v>45</v>
      </c>
      <c r="B54" s="131">
        <f t="shared" ca="1" si="1"/>
        <v>59.432663539669768</v>
      </c>
      <c r="C54" s="131">
        <f t="shared" ca="1" si="2"/>
        <v>60.633707331022364</v>
      </c>
      <c r="D54" s="131">
        <f t="shared" ca="1" si="3"/>
        <v>60.065506015357691</v>
      </c>
      <c r="E54" s="131">
        <f t="shared" ca="1" si="4"/>
        <v>59.51601022975828</v>
      </c>
      <c r="F54" s="131">
        <f t="shared" ca="1" si="5"/>
        <v>60.179689684630375</v>
      </c>
      <c r="G54" s="131">
        <f t="shared" ca="1" si="6"/>
        <v>59.007074840996829</v>
      </c>
      <c r="H54" s="131">
        <f t="shared" ca="1" si="7"/>
        <v>59.176698901027727</v>
      </c>
      <c r="I54" s="131">
        <f t="shared" ca="1" si="8"/>
        <v>59.437476328218501</v>
      </c>
      <c r="J54" s="131">
        <f t="shared" ca="1" si="9"/>
        <v>60.616041621217491</v>
      </c>
      <c r="K54" s="131">
        <f t="shared" ca="1" si="10"/>
        <v>59.709888026608816</v>
      </c>
    </row>
    <row r="55" spans="1:11" outlineLevel="1" x14ac:dyDescent="0.25">
      <c r="A55" s="59">
        <v>46</v>
      </c>
      <c r="B55" s="131">
        <f t="shared" ca="1" si="1"/>
        <v>59.543529226680647</v>
      </c>
      <c r="C55" s="131">
        <f t="shared" ca="1" si="2"/>
        <v>60.832397954477393</v>
      </c>
      <c r="D55" s="131">
        <f t="shared" ca="1" si="3"/>
        <v>60.122805753617506</v>
      </c>
      <c r="E55" s="131">
        <f t="shared" ca="1" si="4"/>
        <v>59.731528356541091</v>
      </c>
      <c r="F55" s="131">
        <f t="shared" ca="1" si="5"/>
        <v>60.263801448713117</v>
      </c>
      <c r="G55" s="131">
        <f t="shared" ca="1" si="6"/>
        <v>59.234381299638606</v>
      </c>
      <c r="H55" s="131">
        <f t="shared" ca="1" si="7"/>
        <v>59.018206933980494</v>
      </c>
      <c r="I55" s="131">
        <f t="shared" ca="1" si="8"/>
        <v>59.63513359330075</v>
      </c>
      <c r="J55" s="131">
        <f t="shared" ca="1" si="9"/>
        <v>60.704613882103594</v>
      </c>
      <c r="K55" s="131">
        <f t="shared" ca="1" si="10"/>
        <v>59.826794652552067</v>
      </c>
    </row>
    <row r="56" spans="1:11" outlineLevel="1" x14ac:dyDescent="0.25">
      <c r="A56" s="59">
        <v>47</v>
      </c>
      <c r="B56" s="131">
        <f t="shared" ca="1" si="1"/>
        <v>59.66046476874196</v>
      </c>
      <c r="C56" s="131">
        <f t="shared" ca="1" si="2"/>
        <v>60.88036534470745</v>
      </c>
      <c r="D56" s="131">
        <f t="shared" ca="1" si="3"/>
        <v>60.311922786985711</v>
      </c>
      <c r="E56" s="131">
        <f t="shared" ca="1" si="4"/>
        <v>59.859527007217842</v>
      </c>
      <c r="F56" s="131">
        <f t="shared" ca="1" si="5"/>
        <v>60.495318830895499</v>
      </c>
      <c r="G56" s="131">
        <f t="shared" ca="1" si="6"/>
        <v>59.163793993763001</v>
      </c>
      <c r="H56" s="131">
        <f t="shared" ca="1" si="7"/>
        <v>58.955719703366249</v>
      </c>
      <c r="I56" s="131">
        <f t="shared" ca="1" si="8"/>
        <v>59.738421992958855</v>
      </c>
      <c r="J56" s="131">
        <f t="shared" ca="1" si="9"/>
        <v>60.796045173026165</v>
      </c>
      <c r="K56" s="131">
        <f t="shared" ca="1" si="10"/>
        <v>59.936379405013838</v>
      </c>
    </row>
    <row r="57" spans="1:11" outlineLevel="1" x14ac:dyDescent="0.25">
      <c r="A57" s="59">
        <v>48</v>
      </c>
      <c r="B57" s="131">
        <f t="shared" ca="1" si="1"/>
        <v>59.624400565876982</v>
      </c>
      <c r="C57" s="131">
        <f t="shared" ca="1" si="2"/>
        <v>60.888674903012742</v>
      </c>
      <c r="D57" s="131">
        <f t="shared" ca="1" si="3"/>
        <v>60.320226291977306</v>
      </c>
      <c r="E57" s="131">
        <f t="shared" ca="1" si="4"/>
        <v>59.737547693420005</v>
      </c>
      <c r="F57" s="131">
        <f t="shared" ca="1" si="5"/>
        <v>60.580905696488024</v>
      </c>
      <c r="G57" s="131">
        <f t="shared" ca="1" si="6"/>
        <v>59.249756515568045</v>
      </c>
      <c r="H57" s="131">
        <f t="shared" ca="1" si="7"/>
        <v>59.356380791466229</v>
      </c>
      <c r="I57" s="131">
        <f t="shared" ca="1" si="8"/>
        <v>59.904019520688657</v>
      </c>
      <c r="J57" s="131">
        <f t="shared" ca="1" si="9"/>
        <v>60.949633528818715</v>
      </c>
      <c r="K57" s="131">
        <f t="shared" ca="1" si="10"/>
        <v>60.053954545408253</v>
      </c>
    </row>
    <row r="58" spans="1:11" outlineLevel="1" x14ac:dyDescent="0.25">
      <c r="A58" s="59">
        <v>49</v>
      </c>
      <c r="B58" s="131">
        <f t="shared" ca="1" si="1"/>
        <v>59.901698595572384</v>
      </c>
      <c r="C58" s="131">
        <f t="shared" ca="1" si="2"/>
        <v>61.032957597077441</v>
      </c>
      <c r="D58" s="131">
        <f t="shared" ca="1" si="3"/>
        <v>60.340586981713493</v>
      </c>
      <c r="E58" s="131">
        <f t="shared" ca="1" si="4"/>
        <v>59.903316598574627</v>
      </c>
      <c r="F58" s="131">
        <f t="shared" ca="1" si="5"/>
        <v>60.542619074332649</v>
      </c>
      <c r="G58" s="131">
        <f t="shared" ca="1" si="6"/>
        <v>59.492394719458424</v>
      </c>
      <c r="H58" s="131">
        <f t="shared" ca="1" si="7"/>
        <v>59.513733293387169</v>
      </c>
      <c r="I58" s="131">
        <f t="shared" ca="1" si="8"/>
        <v>59.911287125008322</v>
      </c>
      <c r="J58" s="131">
        <f t="shared" ca="1" si="9"/>
        <v>61.039036234295786</v>
      </c>
      <c r="K58" s="131">
        <f t="shared" ca="1" si="10"/>
        <v>60.3861223715531</v>
      </c>
    </row>
    <row r="59" spans="1:11" outlineLevel="1" x14ac:dyDescent="0.25">
      <c r="A59" s="59">
        <v>50</v>
      </c>
      <c r="B59" s="131">
        <f t="shared" ca="1" si="1"/>
        <v>60.20954758083279</v>
      </c>
      <c r="C59" s="131">
        <f t="shared" ca="1" si="2"/>
        <v>61.10713080368577</v>
      </c>
      <c r="D59" s="131">
        <f t="shared" ca="1" si="3"/>
        <v>60.450538226556198</v>
      </c>
      <c r="E59" s="131">
        <f t="shared" ca="1" si="4"/>
        <v>60.093151817021877</v>
      </c>
      <c r="F59" s="131">
        <f t="shared" ca="1" si="5"/>
        <v>60.662825982061911</v>
      </c>
      <c r="G59" s="131">
        <f t="shared" ca="1" si="6"/>
        <v>59.656238516198144</v>
      </c>
      <c r="H59" s="131">
        <f t="shared" ca="1" si="7"/>
        <v>59.440169503612893</v>
      </c>
      <c r="I59" s="131">
        <f t="shared" ca="1" si="8"/>
        <v>60.098430088713094</v>
      </c>
      <c r="J59" s="131">
        <f t="shared" ca="1" si="9"/>
        <v>61.296626871340386</v>
      </c>
      <c r="K59" s="131">
        <f t="shared" ca="1" si="10"/>
        <v>60.539967590591282</v>
      </c>
    </row>
    <row r="60" spans="1:11" outlineLevel="1" x14ac:dyDescent="0.25">
      <c r="A60" s="59">
        <v>51</v>
      </c>
      <c r="B60" s="131">
        <f t="shared" ca="1" si="1"/>
        <v>60.270079172749575</v>
      </c>
      <c r="C60" s="131">
        <f t="shared" ca="1" si="2"/>
        <v>61.47753580683613</v>
      </c>
      <c r="D60" s="131">
        <f t="shared" ca="1" si="3"/>
        <v>60.520990753929041</v>
      </c>
      <c r="E60" s="131">
        <f t="shared" ca="1" si="4"/>
        <v>60.376504291449656</v>
      </c>
      <c r="F60" s="131">
        <f t="shared" ca="1" si="5"/>
        <v>60.733979638051409</v>
      </c>
      <c r="G60" s="131">
        <f t="shared" ca="1" si="6"/>
        <v>59.771770938025597</v>
      </c>
      <c r="H60" s="131">
        <f t="shared" ca="1" si="7"/>
        <v>59.627590238899764</v>
      </c>
      <c r="I60" s="131">
        <f t="shared" ca="1" si="8"/>
        <v>60.343895349779082</v>
      </c>
      <c r="J60" s="131">
        <f t="shared" ca="1" si="9"/>
        <v>61.469519720281461</v>
      </c>
      <c r="K60" s="131">
        <f t="shared" ca="1" si="10"/>
        <v>60.322469553510018</v>
      </c>
    </row>
    <row r="61" spans="1:11" outlineLevel="1" x14ac:dyDescent="0.25">
      <c r="A61" s="59">
        <v>52</v>
      </c>
      <c r="B61" s="131">
        <f t="shared" ca="1" si="1"/>
        <v>60.382529079747734</v>
      </c>
      <c r="C61" s="131">
        <f t="shared" ca="1" si="2"/>
        <v>61.622568343143946</v>
      </c>
      <c r="D61" s="131">
        <f t="shared" ca="1" si="3"/>
        <v>60.58372657914952</v>
      </c>
      <c r="E61" s="131">
        <f t="shared" ca="1" si="4"/>
        <v>60.525290930297011</v>
      </c>
      <c r="F61" s="131">
        <f t="shared" ca="1" si="5"/>
        <v>60.871611806100958</v>
      </c>
      <c r="G61" s="131">
        <f t="shared" ca="1" si="6"/>
        <v>59.882889194537697</v>
      </c>
      <c r="H61" s="131">
        <f t="shared" ca="1" si="7"/>
        <v>59.795213316233472</v>
      </c>
      <c r="I61" s="131">
        <f t="shared" ca="1" si="8"/>
        <v>60.201346010186136</v>
      </c>
      <c r="J61" s="131">
        <f t="shared" ca="1" si="9"/>
        <v>61.496796312164527</v>
      </c>
      <c r="K61" s="131">
        <f t="shared" ca="1" si="10"/>
        <v>60.395601734803712</v>
      </c>
    </row>
    <row r="62" spans="1:11" outlineLevel="1" x14ac:dyDescent="0.25">
      <c r="A62" s="59">
        <v>53</v>
      </c>
      <c r="B62" s="131">
        <f t="shared" ca="1" si="1"/>
        <v>60.45516568947032</v>
      </c>
      <c r="C62" s="131">
        <f t="shared" ca="1" si="2"/>
        <v>61.813484585772166</v>
      </c>
      <c r="D62" s="131">
        <f t="shared" ca="1" si="3"/>
        <v>60.742530028658699</v>
      </c>
      <c r="E62" s="131">
        <f t="shared" ca="1" si="4"/>
        <v>60.656091498250049</v>
      </c>
      <c r="F62" s="131">
        <f t="shared" ca="1" si="5"/>
        <v>60.931716632703946</v>
      </c>
      <c r="G62" s="131">
        <f t="shared" ca="1" si="6"/>
        <v>59.761666535579828</v>
      </c>
      <c r="H62" s="131">
        <f t="shared" ca="1" si="7"/>
        <v>59.862757018902911</v>
      </c>
      <c r="I62" s="131">
        <f t="shared" ca="1" si="8"/>
        <v>60.246688642536263</v>
      </c>
      <c r="J62" s="131">
        <f t="shared" ca="1" si="9"/>
        <v>61.531150239016995</v>
      </c>
      <c r="K62" s="131">
        <f t="shared" ca="1" si="10"/>
        <v>60.476678751909873</v>
      </c>
    </row>
    <row r="63" spans="1:11" outlineLevel="1" x14ac:dyDescent="0.25">
      <c r="A63" s="59">
        <v>54</v>
      </c>
      <c r="B63" s="131">
        <f t="shared" ca="1" si="1"/>
        <v>60.382117805817067</v>
      </c>
      <c r="C63" s="131">
        <f t="shared" ca="1" si="2"/>
        <v>62.069050378562231</v>
      </c>
      <c r="D63" s="131">
        <f t="shared" ca="1" si="3"/>
        <v>60.658332153008963</v>
      </c>
      <c r="E63" s="131">
        <f t="shared" ca="1" si="4"/>
        <v>60.863937150562997</v>
      </c>
      <c r="F63" s="131">
        <f t="shared" ca="1" si="5"/>
        <v>61.135569568614557</v>
      </c>
      <c r="G63" s="131">
        <f t="shared" ca="1" si="6"/>
        <v>59.898359826728068</v>
      </c>
      <c r="H63" s="131">
        <f t="shared" ca="1" si="7"/>
        <v>59.952859446953873</v>
      </c>
      <c r="I63" s="131">
        <f t="shared" ca="1" si="8"/>
        <v>60.322253834045291</v>
      </c>
      <c r="J63" s="131">
        <f t="shared" ca="1" si="9"/>
        <v>61.588840058481651</v>
      </c>
      <c r="K63" s="131">
        <f t="shared" ca="1" si="10"/>
        <v>60.5379121244058</v>
      </c>
    </row>
    <row r="64" spans="1:11" outlineLevel="1" x14ac:dyDescent="0.25">
      <c r="A64" s="59">
        <v>55</v>
      </c>
      <c r="B64" s="131">
        <f t="shared" ca="1" si="1"/>
        <v>60.22458916467798</v>
      </c>
      <c r="C64" s="131">
        <f t="shared" ca="1" si="2"/>
        <v>62.154096629032203</v>
      </c>
      <c r="D64" s="131">
        <f t="shared" ca="1" si="3"/>
        <v>60.692655750254303</v>
      </c>
      <c r="E64" s="131">
        <f t="shared" ca="1" si="4"/>
        <v>60.877399670480933</v>
      </c>
      <c r="F64" s="131">
        <f t="shared" ca="1" si="5"/>
        <v>61.330734873944166</v>
      </c>
      <c r="G64" s="131">
        <f t="shared" ca="1" si="6"/>
        <v>59.955169076614183</v>
      </c>
      <c r="H64" s="131">
        <f t="shared" ca="1" si="7"/>
        <v>59.962562275178257</v>
      </c>
      <c r="I64" s="131">
        <f t="shared" ca="1" si="8"/>
        <v>60.508041745493934</v>
      </c>
      <c r="J64" s="131">
        <f t="shared" ca="1" si="9"/>
        <v>61.548248461226251</v>
      </c>
      <c r="K64" s="131">
        <f t="shared" ca="1" si="10"/>
        <v>60.644530730179639</v>
      </c>
    </row>
    <row r="65" spans="1:11" outlineLevel="1" x14ac:dyDescent="0.25">
      <c r="A65" s="59">
        <v>56</v>
      </c>
      <c r="B65" s="131">
        <f t="shared" ca="1" si="1"/>
        <v>60.385092420835107</v>
      </c>
      <c r="C65" s="131">
        <f t="shared" ca="1" si="2"/>
        <v>62.161337219457323</v>
      </c>
      <c r="D65" s="131">
        <f t="shared" ca="1" si="3"/>
        <v>60.79029061916988</v>
      </c>
      <c r="E65" s="131">
        <f t="shared" ca="1" si="4"/>
        <v>60.972805840499753</v>
      </c>
      <c r="F65" s="131">
        <f t="shared" ca="1" si="5"/>
        <v>61.56234663746762</v>
      </c>
      <c r="G65" s="131">
        <f t="shared" ca="1" si="6"/>
        <v>60.162008645469854</v>
      </c>
      <c r="H65" s="131">
        <f t="shared" ca="1" si="7"/>
        <v>60.012079124906947</v>
      </c>
      <c r="I65" s="131">
        <f t="shared" ca="1" si="8"/>
        <v>60.600716175397643</v>
      </c>
      <c r="J65" s="131">
        <f t="shared" ca="1" si="9"/>
        <v>61.585728260693571</v>
      </c>
      <c r="K65" s="131">
        <f t="shared" ca="1" si="10"/>
        <v>60.963643221794428</v>
      </c>
    </row>
    <row r="66" spans="1:11" outlineLevel="1" x14ac:dyDescent="0.25">
      <c r="A66" s="59">
        <v>57</v>
      </c>
      <c r="B66" s="131">
        <f t="shared" ca="1" si="1"/>
        <v>60.531492756260349</v>
      </c>
      <c r="C66" s="131">
        <f t="shared" ca="1" si="2"/>
        <v>62.05581126090572</v>
      </c>
      <c r="D66" s="131">
        <f t="shared" ca="1" si="3"/>
        <v>60.792272715039545</v>
      </c>
      <c r="E66" s="131">
        <f t="shared" ca="1" si="4"/>
        <v>61.045907940032023</v>
      </c>
      <c r="F66" s="131">
        <f t="shared" ca="1" si="5"/>
        <v>61.455891169269641</v>
      </c>
      <c r="G66" s="131">
        <f t="shared" ca="1" si="6"/>
        <v>60.181523701754855</v>
      </c>
      <c r="H66" s="131">
        <f t="shared" ca="1" si="7"/>
        <v>60.058578667060878</v>
      </c>
      <c r="I66" s="131">
        <f t="shared" ca="1" si="8"/>
        <v>60.750935962572619</v>
      </c>
      <c r="J66" s="131">
        <f t="shared" ca="1" si="9"/>
        <v>61.818802040925092</v>
      </c>
      <c r="K66" s="131">
        <f t="shared" ca="1" si="10"/>
        <v>60.900977562590036</v>
      </c>
    </row>
    <row r="67" spans="1:11" outlineLevel="1" x14ac:dyDescent="0.25">
      <c r="A67" s="59">
        <v>58</v>
      </c>
      <c r="B67" s="131">
        <f t="shared" ca="1" si="1"/>
        <v>60.576807789461498</v>
      </c>
      <c r="C67" s="131">
        <f t="shared" ca="1" si="2"/>
        <v>62.008941433261725</v>
      </c>
      <c r="D67" s="131">
        <f t="shared" ca="1" si="3"/>
        <v>60.735045024689171</v>
      </c>
      <c r="E67" s="131">
        <f t="shared" ca="1" si="4"/>
        <v>61.194917033715335</v>
      </c>
      <c r="F67" s="131">
        <f t="shared" ca="1" si="5"/>
        <v>61.729016315968394</v>
      </c>
      <c r="G67" s="131">
        <f t="shared" ca="1" si="6"/>
        <v>60.275642821567018</v>
      </c>
      <c r="H67" s="131">
        <f t="shared" ca="1" si="7"/>
        <v>60.391718653229404</v>
      </c>
      <c r="I67" s="131">
        <f t="shared" ca="1" si="8"/>
        <v>60.791162913843323</v>
      </c>
      <c r="J67" s="131">
        <f t="shared" ca="1" si="9"/>
        <v>61.840180690804544</v>
      </c>
      <c r="K67" s="131">
        <f t="shared" ca="1" si="10"/>
        <v>60.951543937931717</v>
      </c>
    </row>
    <row r="68" spans="1:11" outlineLevel="1" x14ac:dyDescent="0.25">
      <c r="A68" s="59">
        <v>59</v>
      </c>
      <c r="B68" s="131">
        <f t="shared" ca="1" si="1"/>
        <v>60.713150195087955</v>
      </c>
      <c r="C68" s="131">
        <f t="shared" ca="1" si="2"/>
        <v>62.048400533000553</v>
      </c>
      <c r="D68" s="131">
        <f t="shared" ca="1" si="3"/>
        <v>60.762865163312888</v>
      </c>
      <c r="E68" s="131">
        <f t="shared" ca="1" si="4"/>
        <v>61.564107990828177</v>
      </c>
      <c r="F68" s="131">
        <f t="shared" ca="1" si="5"/>
        <v>61.998160563826083</v>
      </c>
      <c r="G68" s="131">
        <f t="shared" ca="1" si="6"/>
        <v>60.423776725651052</v>
      </c>
      <c r="H68" s="131">
        <f t="shared" ca="1" si="7"/>
        <v>60.612283957645424</v>
      </c>
      <c r="I68" s="131">
        <f t="shared" ca="1" si="8"/>
        <v>60.859878082566262</v>
      </c>
      <c r="J68" s="131">
        <f t="shared" ca="1" si="9"/>
        <v>61.831785577207448</v>
      </c>
      <c r="K68" s="131">
        <f t="shared" ca="1" si="10"/>
        <v>60.938160573440797</v>
      </c>
    </row>
    <row r="69" spans="1:11" outlineLevel="1" x14ac:dyDescent="0.25">
      <c r="A69" s="59">
        <v>60</v>
      </c>
      <c r="B69" s="131">
        <f t="shared" ca="1" si="1"/>
        <v>60.752429288681775</v>
      </c>
      <c r="C69" s="131">
        <f t="shared" ca="1" si="2"/>
        <v>62.354294737686672</v>
      </c>
      <c r="D69" s="131">
        <f t="shared" ca="1" si="3"/>
        <v>60.763601658614952</v>
      </c>
      <c r="E69" s="131">
        <f t="shared" ca="1" si="4"/>
        <v>61.561469868895173</v>
      </c>
      <c r="F69" s="131">
        <f t="shared" ca="1" si="5"/>
        <v>62.228422909172885</v>
      </c>
      <c r="G69" s="131">
        <f t="shared" ca="1" si="6"/>
        <v>60.420649696785524</v>
      </c>
      <c r="H69" s="131">
        <f t="shared" ca="1" si="7"/>
        <v>60.611560450129936</v>
      </c>
      <c r="I69" s="131">
        <f t="shared" ca="1" si="8"/>
        <v>60.988700076114128</v>
      </c>
      <c r="J69" s="131">
        <f t="shared" ca="1" si="9"/>
        <v>62.189773324713379</v>
      </c>
      <c r="K69" s="131">
        <f t="shared" ca="1" si="10"/>
        <v>61.035462396905864</v>
      </c>
    </row>
    <row r="70" spans="1:11" outlineLevel="1" x14ac:dyDescent="0.25">
      <c r="A70" s="59">
        <v>61</v>
      </c>
      <c r="B70" s="131">
        <f t="shared" ca="1" si="1"/>
        <v>60.809401750778022</v>
      </c>
      <c r="C70" s="131">
        <f t="shared" ca="1" si="2"/>
        <v>62.361742303976648</v>
      </c>
      <c r="D70" s="131">
        <f t="shared" ca="1" si="3"/>
        <v>60.56399086838892</v>
      </c>
      <c r="E70" s="131">
        <f t="shared" ca="1" si="4"/>
        <v>61.458490223663453</v>
      </c>
      <c r="F70" s="131">
        <f t="shared" ca="1" si="5"/>
        <v>62.233628346740318</v>
      </c>
      <c r="G70" s="131">
        <f t="shared" ca="1" si="6"/>
        <v>60.66801216153884</v>
      </c>
      <c r="H70" s="131">
        <f t="shared" ca="1" si="7"/>
        <v>60.892265083353657</v>
      </c>
      <c r="I70" s="131">
        <f t="shared" ca="1" si="8"/>
        <v>61.277620113131938</v>
      </c>
      <c r="J70" s="131">
        <f t="shared" ca="1" si="9"/>
        <v>62.200440166449631</v>
      </c>
      <c r="K70" s="131">
        <f t="shared" ca="1" si="10"/>
        <v>61.198108948829741</v>
      </c>
    </row>
    <row r="71" spans="1:11" outlineLevel="1" x14ac:dyDescent="0.25">
      <c r="A71" s="59">
        <v>62</v>
      </c>
      <c r="B71" s="131">
        <f t="shared" ca="1" si="1"/>
        <v>61.061705923443284</v>
      </c>
      <c r="C71" s="131">
        <f t="shared" ca="1" si="2"/>
        <v>62.4001984842103</v>
      </c>
      <c r="D71" s="131">
        <f t="shared" ca="1" si="3"/>
        <v>60.63044963808693</v>
      </c>
      <c r="E71" s="131">
        <f t="shared" ca="1" si="4"/>
        <v>61.419767892621671</v>
      </c>
      <c r="F71" s="131">
        <f t="shared" ca="1" si="5"/>
        <v>62.491959729038854</v>
      </c>
      <c r="G71" s="131">
        <f t="shared" ca="1" si="6"/>
        <v>60.579862937907798</v>
      </c>
      <c r="H71" s="131">
        <f t="shared" ca="1" si="7"/>
        <v>61.066543410468043</v>
      </c>
      <c r="I71" s="131">
        <f t="shared" ca="1" si="8"/>
        <v>61.341853984110905</v>
      </c>
      <c r="J71" s="131">
        <f t="shared" ca="1" si="9"/>
        <v>62.207341997503192</v>
      </c>
      <c r="K71" s="131">
        <f t="shared" ca="1" si="10"/>
        <v>61.238776708852626</v>
      </c>
    </row>
    <row r="72" spans="1:11" outlineLevel="1" x14ac:dyDescent="0.25">
      <c r="A72" s="59"/>
      <c r="B72" s="131"/>
      <c r="C72" s="131"/>
      <c r="D72" s="131"/>
      <c r="E72" s="131"/>
      <c r="F72" s="131"/>
      <c r="G72" s="131"/>
      <c r="H72" s="131"/>
      <c r="I72" s="131"/>
      <c r="J72" s="131"/>
      <c r="K72" s="131"/>
    </row>
    <row r="73" spans="1:11" outlineLevel="1" x14ac:dyDescent="0.25">
      <c r="A73" s="59"/>
      <c r="B73" s="131"/>
      <c r="C73" s="131"/>
      <c r="D73" s="131"/>
      <c r="E73" s="131"/>
      <c r="F73" s="131"/>
      <c r="G73" s="131"/>
      <c r="H73" s="131"/>
      <c r="I73" s="131"/>
      <c r="J73" s="131"/>
      <c r="K73" s="131"/>
    </row>
    <row r="74" spans="1:11" outlineLevel="1" x14ac:dyDescent="0.25">
      <c r="A74" s="59"/>
      <c r="B74" s="131"/>
      <c r="F74" s="131"/>
      <c r="G74" s="131"/>
      <c r="H74" s="131"/>
      <c r="I74" s="131"/>
      <c r="J74" s="131"/>
      <c r="K74" s="131"/>
    </row>
    <row r="75" spans="1:11" outlineLevel="1" x14ac:dyDescent="0.25">
      <c r="A75" s="59"/>
      <c r="B75" s="131"/>
      <c r="F75" s="131"/>
      <c r="G75" s="131"/>
      <c r="H75" s="131"/>
      <c r="I75" s="131"/>
      <c r="J75" s="131"/>
      <c r="K75" s="131"/>
    </row>
    <row r="76" spans="1:11" outlineLevel="1" x14ac:dyDescent="0.25">
      <c r="A76" s="59"/>
      <c r="B76" s="131"/>
      <c r="F76" s="131"/>
      <c r="G76" s="131"/>
      <c r="H76" s="131"/>
      <c r="I76" s="131"/>
      <c r="J76" s="131"/>
      <c r="K76" s="131"/>
    </row>
    <row r="77" spans="1:11" outlineLevel="1" x14ac:dyDescent="0.25">
      <c r="A77" s="59"/>
      <c r="B77" s="131"/>
      <c r="C77" s="131"/>
      <c r="D77" s="131"/>
      <c r="E77" s="131"/>
      <c r="F77" s="131"/>
      <c r="G77" s="131"/>
      <c r="H77" s="131"/>
      <c r="I77" s="131"/>
      <c r="J77" s="131"/>
      <c r="K77" s="131"/>
    </row>
    <row r="78" spans="1:11" outlineLevel="1" x14ac:dyDescent="0.25">
      <c r="A78" s="59"/>
      <c r="B78" s="131"/>
      <c r="C78" s="131"/>
      <c r="D78" s="131"/>
      <c r="E78" s="131"/>
      <c r="F78" s="131"/>
      <c r="G78" s="131"/>
      <c r="H78" s="131"/>
      <c r="I78" s="131"/>
      <c r="J78" s="131"/>
      <c r="K78" s="131"/>
    </row>
    <row r="79" spans="1:11" outlineLevel="1" x14ac:dyDescent="0.25">
      <c r="A79" s="59"/>
      <c r="B79" s="131"/>
      <c r="C79" s="131"/>
      <c r="D79" s="131"/>
      <c r="E79" s="131"/>
      <c r="F79" s="131"/>
      <c r="G79" s="131"/>
      <c r="H79" s="131"/>
      <c r="I79" s="131"/>
      <c r="J79" s="131"/>
      <c r="K79" s="131"/>
    </row>
    <row r="80" spans="1:11" outlineLevel="1" x14ac:dyDescent="0.25">
      <c r="A80" s="59"/>
      <c r="B80" s="131"/>
      <c r="C80" s="131"/>
      <c r="D80" s="131"/>
      <c r="E80" s="131"/>
      <c r="F80" s="131"/>
      <c r="G80" s="131"/>
      <c r="H80" s="131"/>
      <c r="I80" s="131"/>
      <c r="J80" s="131"/>
      <c r="K80" s="131"/>
    </row>
    <row r="81" spans="1:11" outlineLevel="1" x14ac:dyDescent="0.25">
      <c r="A81" s="59"/>
      <c r="B81" s="131"/>
      <c r="C81" s="131"/>
      <c r="D81" s="131"/>
      <c r="E81" s="131"/>
      <c r="F81" s="131"/>
      <c r="G81" s="131"/>
      <c r="H81" s="131"/>
      <c r="I81" s="131"/>
      <c r="J81" s="131"/>
      <c r="K81" s="131"/>
    </row>
    <row r="82" spans="1:11" outlineLevel="1" x14ac:dyDescent="0.25">
      <c r="A82" s="59"/>
      <c r="B82" s="131"/>
      <c r="C82" s="131"/>
      <c r="D82" s="131"/>
      <c r="E82" s="131"/>
      <c r="F82" s="131"/>
      <c r="G82" s="131"/>
      <c r="H82" s="131"/>
      <c r="I82" s="131"/>
      <c r="J82" s="131"/>
      <c r="K82" s="131"/>
    </row>
    <row r="83" spans="1:11" outlineLevel="1" x14ac:dyDescent="0.25">
      <c r="A83" s="59"/>
      <c r="B83" s="131"/>
      <c r="C83" s="131"/>
      <c r="D83" s="131"/>
      <c r="E83" s="131"/>
      <c r="F83" s="131"/>
      <c r="G83" s="131"/>
      <c r="H83" s="131"/>
      <c r="I83" s="131"/>
      <c r="J83" s="131"/>
      <c r="K83" s="131"/>
    </row>
    <row r="84" spans="1:11" outlineLevel="1" x14ac:dyDescent="0.25">
      <c r="A84" s="59"/>
      <c r="B84" s="131"/>
      <c r="C84" s="131"/>
      <c r="D84" s="131"/>
      <c r="E84" s="131"/>
      <c r="F84" s="131"/>
      <c r="G84" s="131"/>
      <c r="H84" s="131"/>
      <c r="I84" s="131"/>
      <c r="J84" s="131"/>
      <c r="K84" s="131"/>
    </row>
    <row r="85" spans="1:11" outlineLevel="1" x14ac:dyDescent="0.25">
      <c r="A85" s="59"/>
      <c r="B85" s="131"/>
      <c r="C85" s="131"/>
      <c r="D85" s="131"/>
      <c r="E85" s="131"/>
      <c r="F85" s="131"/>
      <c r="G85" s="131"/>
      <c r="H85" s="131"/>
      <c r="I85" s="131"/>
      <c r="J85" s="131"/>
      <c r="K85" s="131"/>
    </row>
    <row r="86" spans="1:11" outlineLevel="1" x14ac:dyDescent="0.25">
      <c r="A86" s="59"/>
      <c r="B86" s="131"/>
      <c r="C86" s="131"/>
      <c r="D86" s="131"/>
      <c r="E86" s="131"/>
      <c r="F86" s="131"/>
      <c r="G86" s="131"/>
      <c r="H86" s="131"/>
      <c r="I86" s="131"/>
      <c r="J86" s="131"/>
      <c r="K86" s="131"/>
    </row>
    <row r="87" spans="1:11" outlineLevel="1" x14ac:dyDescent="0.25">
      <c r="A87" s="59"/>
      <c r="B87" s="131"/>
      <c r="C87" s="131"/>
      <c r="D87" s="131"/>
      <c r="E87" s="131"/>
      <c r="F87" s="131"/>
      <c r="G87" s="131"/>
      <c r="H87" s="131"/>
      <c r="I87" s="131"/>
      <c r="J87" s="131"/>
      <c r="K87" s="131"/>
    </row>
    <row r="88" spans="1:11" outlineLevel="1" x14ac:dyDescent="0.25">
      <c r="A88" s="59"/>
      <c r="B88" s="131"/>
      <c r="C88" s="131"/>
      <c r="D88" s="131"/>
      <c r="E88" s="131"/>
      <c r="F88" s="131"/>
      <c r="G88" s="131"/>
      <c r="H88" s="131"/>
      <c r="I88" s="131"/>
      <c r="J88" s="131"/>
      <c r="K88" s="131"/>
    </row>
    <row r="89" spans="1:11" outlineLevel="1" x14ac:dyDescent="0.25">
      <c r="A89" s="59"/>
      <c r="B89" s="131"/>
      <c r="C89" s="131"/>
      <c r="D89" s="131"/>
      <c r="E89" s="131"/>
      <c r="F89" s="131"/>
      <c r="G89" s="131"/>
      <c r="H89" s="131"/>
      <c r="I89" s="131"/>
      <c r="J89" s="131"/>
      <c r="K89" s="131"/>
    </row>
    <row r="90" spans="1:11" outlineLevel="1" x14ac:dyDescent="0.25">
      <c r="A90" s="59"/>
      <c r="B90" s="131"/>
      <c r="C90" s="131"/>
      <c r="D90" s="131"/>
      <c r="E90" s="131"/>
      <c r="F90" s="131"/>
      <c r="G90" s="131"/>
      <c r="H90" s="131"/>
      <c r="I90" s="131"/>
      <c r="J90" s="131"/>
      <c r="K90" s="131"/>
    </row>
    <row r="91" spans="1:11" outlineLevel="1" x14ac:dyDescent="0.25">
      <c r="A91" s="59"/>
      <c r="B91" s="131"/>
      <c r="C91" s="131"/>
      <c r="D91" s="131"/>
      <c r="E91" s="131"/>
      <c r="F91" s="131"/>
      <c r="G91" s="131"/>
      <c r="H91" s="131"/>
      <c r="I91" s="131"/>
      <c r="J91" s="131"/>
      <c r="K91" s="131"/>
    </row>
    <row r="92" spans="1:11" outlineLevel="1" x14ac:dyDescent="0.25">
      <c r="A92" s="59"/>
      <c r="B92" s="131"/>
      <c r="C92" s="131"/>
      <c r="D92" s="131"/>
      <c r="E92" s="131"/>
      <c r="F92" s="131"/>
      <c r="G92" s="131"/>
      <c r="H92" s="131"/>
      <c r="I92" s="131"/>
      <c r="J92" s="131"/>
      <c r="K92" s="131"/>
    </row>
    <row r="93" spans="1:11" outlineLevel="1" x14ac:dyDescent="0.25">
      <c r="A93" s="59"/>
      <c r="B93" s="131"/>
      <c r="C93" s="131"/>
      <c r="D93" s="131"/>
      <c r="E93" s="131"/>
      <c r="F93" s="131"/>
      <c r="G93" s="131"/>
      <c r="H93" s="131"/>
      <c r="I93" s="131"/>
      <c r="J93" s="131"/>
      <c r="K93" s="131"/>
    </row>
    <row r="94" spans="1:11" outlineLevel="1" x14ac:dyDescent="0.25">
      <c r="A94" s="59"/>
      <c r="B94" s="131"/>
      <c r="C94" s="131"/>
      <c r="D94" s="131"/>
      <c r="E94" s="131"/>
      <c r="F94" s="131"/>
      <c r="G94" s="131"/>
      <c r="H94" s="131"/>
      <c r="I94" s="131"/>
      <c r="J94" s="131"/>
      <c r="K94" s="131"/>
    </row>
    <row r="95" spans="1:11" outlineLevel="1" x14ac:dyDescent="0.25">
      <c r="A95" s="59"/>
      <c r="B95" s="131"/>
      <c r="C95" s="131"/>
      <c r="D95" s="131"/>
      <c r="E95" s="131"/>
      <c r="F95" s="131"/>
      <c r="G95" s="131"/>
      <c r="H95" s="131"/>
      <c r="I95" s="131"/>
      <c r="J95" s="131"/>
      <c r="K95" s="131"/>
    </row>
    <row r="96" spans="1:11" outlineLevel="1" x14ac:dyDescent="0.25">
      <c r="A96" s="59"/>
      <c r="B96" s="131"/>
      <c r="C96" s="131"/>
      <c r="D96" s="131"/>
      <c r="E96" s="131"/>
      <c r="F96" s="131"/>
      <c r="G96" s="131"/>
      <c r="H96" s="131"/>
      <c r="I96" s="131"/>
      <c r="J96" s="131"/>
      <c r="K96" s="131"/>
    </row>
    <row r="97" spans="1:11" outlineLevel="1" x14ac:dyDescent="0.25">
      <c r="A97" s="59"/>
      <c r="B97" s="131"/>
      <c r="C97" s="131"/>
      <c r="D97" s="131"/>
      <c r="E97" s="131"/>
      <c r="F97" s="131"/>
      <c r="G97" s="131"/>
      <c r="H97" s="131"/>
      <c r="I97" s="131"/>
      <c r="J97" s="131"/>
      <c r="K97" s="131"/>
    </row>
    <row r="98" spans="1:11" outlineLevel="1" x14ac:dyDescent="0.25">
      <c r="A98" s="59"/>
      <c r="B98" s="131"/>
      <c r="C98" s="131"/>
      <c r="D98" s="131"/>
      <c r="E98" s="131"/>
      <c r="F98" s="131"/>
      <c r="G98" s="131"/>
      <c r="H98" s="131"/>
      <c r="I98" s="131"/>
      <c r="J98" s="131"/>
      <c r="K98" s="131"/>
    </row>
    <row r="99" spans="1:11" outlineLevel="1" x14ac:dyDescent="0.25">
      <c r="A99" s="59"/>
      <c r="B99" s="131"/>
      <c r="C99" s="131"/>
      <c r="D99" s="131"/>
      <c r="E99" s="131"/>
      <c r="F99" s="131"/>
      <c r="G99" s="131"/>
      <c r="H99" s="131"/>
      <c r="I99" s="131"/>
      <c r="J99" s="131"/>
      <c r="K99" s="131"/>
    </row>
    <row r="100" spans="1:11" outlineLevel="1" x14ac:dyDescent="0.25">
      <c r="A100" s="59"/>
      <c r="B100" s="131"/>
      <c r="C100" s="131"/>
      <c r="D100" s="131"/>
      <c r="E100" s="131"/>
      <c r="F100" s="131"/>
      <c r="G100" s="131"/>
      <c r="H100" s="131"/>
      <c r="I100" s="131"/>
      <c r="J100" s="131"/>
      <c r="K100" s="131"/>
    </row>
    <row r="101" spans="1:11" outlineLevel="1" x14ac:dyDescent="0.25">
      <c r="A101" s="59"/>
      <c r="B101" s="131"/>
      <c r="C101" s="131"/>
      <c r="D101" s="131"/>
      <c r="E101" s="131"/>
      <c r="F101" s="131"/>
      <c r="G101" s="131"/>
      <c r="H101" s="131"/>
      <c r="I101" s="131"/>
      <c r="J101" s="131"/>
      <c r="K101" s="131"/>
    </row>
    <row r="102" spans="1:11" outlineLevel="1" x14ac:dyDescent="0.25">
      <c r="A102" s="59"/>
      <c r="B102" s="131"/>
      <c r="C102" s="131"/>
      <c r="D102" s="131"/>
      <c r="E102" s="131"/>
      <c r="F102" s="131"/>
      <c r="G102" s="131"/>
      <c r="H102" s="131"/>
      <c r="I102" s="131"/>
      <c r="J102" s="131"/>
      <c r="K102" s="131"/>
    </row>
    <row r="103" spans="1:11" outlineLevel="1" x14ac:dyDescent="0.25">
      <c r="A103" s="59"/>
      <c r="B103" s="131"/>
      <c r="C103" s="131"/>
      <c r="D103" s="131"/>
      <c r="E103" s="131"/>
      <c r="F103" s="131"/>
      <c r="G103" s="131"/>
      <c r="H103" s="131"/>
      <c r="I103" s="131"/>
      <c r="J103" s="131"/>
      <c r="K103" s="131"/>
    </row>
    <row r="104" spans="1:11" outlineLevel="1" x14ac:dyDescent="0.25">
      <c r="A104" s="59"/>
      <c r="B104" s="131"/>
      <c r="C104" s="131"/>
      <c r="D104" s="131"/>
      <c r="E104" s="131"/>
      <c r="F104" s="131"/>
      <c r="G104" s="131"/>
      <c r="H104" s="131"/>
      <c r="I104" s="131"/>
      <c r="J104" s="131"/>
      <c r="K104" s="131"/>
    </row>
    <row r="105" spans="1:11" outlineLevel="1" x14ac:dyDescent="0.25">
      <c r="A105" s="59"/>
      <c r="B105" s="131"/>
      <c r="C105" s="131"/>
      <c r="D105" s="131"/>
      <c r="E105" s="131"/>
      <c r="F105" s="131"/>
      <c r="G105" s="131"/>
      <c r="H105" s="131"/>
      <c r="I105" s="131"/>
      <c r="J105" s="131"/>
      <c r="K105" s="131"/>
    </row>
    <row r="106" spans="1:11" outlineLevel="1" x14ac:dyDescent="0.25">
      <c r="A106" s="59"/>
      <c r="B106" s="131"/>
      <c r="C106" s="131"/>
      <c r="D106" s="131"/>
      <c r="E106" s="131"/>
      <c r="F106" s="131"/>
      <c r="G106" s="131"/>
      <c r="H106" s="131"/>
      <c r="I106" s="131"/>
      <c r="J106" s="131"/>
      <c r="K106" s="131"/>
    </row>
    <row r="107" spans="1:11" outlineLevel="1" x14ac:dyDescent="0.25">
      <c r="A107" s="59"/>
      <c r="B107" s="131"/>
      <c r="C107" s="131"/>
      <c r="D107" s="131"/>
      <c r="E107" s="131"/>
      <c r="F107" s="131"/>
      <c r="G107" s="131"/>
      <c r="H107" s="131"/>
      <c r="I107" s="131"/>
      <c r="J107" s="131"/>
      <c r="K107" s="131"/>
    </row>
    <row r="108" spans="1:11" outlineLevel="1" x14ac:dyDescent="0.25">
      <c r="A108" s="59"/>
      <c r="B108" s="131"/>
      <c r="C108" s="131"/>
      <c r="D108" s="131"/>
      <c r="E108" s="131"/>
      <c r="F108" s="131"/>
      <c r="G108" s="131"/>
      <c r="H108" s="131"/>
      <c r="I108" s="131"/>
      <c r="J108" s="131"/>
      <c r="K108" s="131"/>
    </row>
    <row r="109" spans="1:11" outlineLevel="1" x14ac:dyDescent="0.25">
      <c r="A109" s="59"/>
      <c r="B109" s="131"/>
      <c r="C109" s="131"/>
      <c r="D109" s="131"/>
      <c r="E109" s="131"/>
      <c r="F109" s="131"/>
      <c r="G109" s="131"/>
      <c r="H109" s="131"/>
      <c r="I109" s="131"/>
      <c r="J109" s="131"/>
      <c r="K109" s="131"/>
    </row>
    <row r="110" spans="1:11" outlineLevel="1" x14ac:dyDescent="0.25">
      <c r="A110" s="59"/>
      <c r="B110" s="131"/>
      <c r="C110" s="131"/>
      <c r="D110" s="131"/>
      <c r="E110" s="131"/>
      <c r="F110" s="131"/>
      <c r="G110" s="131"/>
      <c r="H110" s="131"/>
      <c r="I110" s="131"/>
      <c r="J110" s="131"/>
      <c r="K110" s="131"/>
    </row>
    <row r="111" spans="1:11" outlineLevel="1" x14ac:dyDescent="0.25">
      <c r="A111" s="59"/>
      <c r="B111" s="131"/>
      <c r="C111" s="131"/>
      <c r="D111" s="131"/>
      <c r="E111" s="131"/>
      <c r="F111" s="131"/>
      <c r="G111" s="131"/>
      <c r="H111" s="131"/>
      <c r="I111" s="131"/>
      <c r="J111" s="131"/>
      <c r="K111" s="131"/>
    </row>
    <row r="112" spans="1:11" outlineLevel="1" x14ac:dyDescent="0.25">
      <c r="A112" s="59"/>
      <c r="B112" s="131"/>
      <c r="C112" s="131"/>
      <c r="D112" s="131"/>
      <c r="E112" s="131"/>
      <c r="F112" s="131"/>
      <c r="G112" s="131"/>
      <c r="H112" s="131"/>
      <c r="I112" s="131"/>
      <c r="J112" s="131"/>
      <c r="K112" s="131"/>
    </row>
    <row r="113" spans="1:11" outlineLevel="1" x14ac:dyDescent="0.25">
      <c r="A113" s="59"/>
      <c r="B113" s="131"/>
      <c r="C113" s="131"/>
      <c r="D113" s="131"/>
      <c r="E113" s="131"/>
      <c r="F113" s="131"/>
      <c r="G113" s="131"/>
      <c r="H113" s="131"/>
      <c r="I113" s="131"/>
      <c r="J113" s="131"/>
      <c r="K113" s="131"/>
    </row>
    <row r="114" spans="1:11" outlineLevel="1" x14ac:dyDescent="0.25">
      <c r="A114" s="59"/>
      <c r="B114" s="131"/>
      <c r="C114" s="131"/>
      <c r="D114" s="131"/>
      <c r="E114" s="131"/>
      <c r="F114" s="131"/>
      <c r="G114" s="131"/>
      <c r="H114" s="131"/>
      <c r="I114" s="131"/>
      <c r="J114" s="131"/>
      <c r="K114" s="131"/>
    </row>
    <row r="115" spans="1:11" outlineLevel="1" x14ac:dyDescent="0.25">
      <c r="A115" s="59"/>
      <c r="B115" s="131"/>
      <c r="C115" s="131"/>
      <c r="D115" s="131"/>
      <c r="E115" s="131"/>
      <c r="F115" s="131"/>
      <c r="G115" s="131"/>
      <c r="H115" s="131"/>
      <c r="I115" s="131"/>
      <c r="J115" s="131"/>
      <c r="K115" s="131"/>
    </row>
    <row r="116" spans="1:11" outlineLevel="1" x14ac:dyDescent="0.25">
      <c r="A116" s="59"/>
      <c r="B116" s="131"/>
      <c r="C116" s="131"/>
      <c r="D116" s="131"/>
      <c r="E116" s="131"/>
      <c r="F116" s="131"/>
      <c r="G116" s="131"/>
      <c r="H116" s="131"/>
      <c r="I116" s="131"/>
      <c r="J116" s="131"/>
      <c r="K116" s="131"/>
    </row>
    <row r="117" spans="1:11" outlineLevel="1" x14ac:dyDescent="0.25">
      <c r="A117" s="59"/>
      <c r="B117" s="131"/>
      <c r="C117" s="131"/>
      <c r="D117" s="131"/>
      <c r="E117" s="131"/>
      <c r="F117" s="131"/>
      <c r="G117" s="131"/>
      <c r="H117" s="131"/>
      <c r="I117" s="131"/>
      <c r="J117" s="131"/>
      <c r="K117" s="131"/>
    </row>
    <row r="118" spans="1:11" outlineLevel="1" x14ac:dyDescent="0.25">
      <c r="A118" s="59"/>
      <c r="B118" s="131"/>
      <c r="C118" s="131"/>
      <c r="D118" s="131"/>
      <c r="E118" s="131"/>
      <c r="F118" s="131"/>
      <c r="G118" s="131"/>
      <c r="H118" s="131"/>
      <c r="I118" s="131"/>
      <c r="J118" s="131"/>
      <c r="K118" s="131"/>
    </row>
    <row r="119" spans="1:11" outlineLevel="1" x14ac:dyDescent="0.25">
      <c r="A119" s="59"/>
      <c r="B119" s="131"/>
      <c r="C119" s="131"/>
      <c r="D119" s="131"/>
      <c r="E119" s="131"/>
      <c r="F119" s="131"/>
      <c r="G119" s="131"/>
      <c r="H119" s="131"/>
      <c r="I119" s="131"/>
      <c r="J119" s="131"/>
      <c r="K119" s="131"/>
    </row>
    <row r="120" spans="1:11" outlineLevel="1" x14ac:dyDescent="0.25">
      <c r="A120" s="59"/>
      <c r="B120" s="131"/>
      <c r="C120" s="131"/>
      <c r="D120" s="131"/>
      <c r="E120" s="131"/>
      <c r="F120" s="131"/>
      <c r="G120" s="131"/>
      <c r="H120" s="131"/>
      <c r="I120" s="131"/>
      <c r="J120" s="131"/>
      <c r="K120" s="131"/>
    </row>
    <row r="121" spans="1:11" outlineLevel="1" x14ac:dyDescent="0.25">
      <c r="A121" s="59"/>
      <c r="B121" s="131"/>
      <c r="C121" s="131"/>
      <c r="D121" s="131"/>
      <c r="E121" s="131"/>
      <c r="F121" s="131"/>
      <c r="G121" s="131"/>
      <c r="H121" s="131"/>
      <c r="I121" s="131"/>
      <c r="J121" s="131"/>
      <c r="K121" s="131"/>
    </row>
    <row r="122" spans="1:11" outlineLevel="1" x14ac:dyDescent="0.25">
      <c r="A122" s="59"/>
      <c r="B122" s="131"/>
      <c r="C122" s="131"/>
      <c r="D122" s="131"/>
      <c r="E122" s="131"/>
      <c r="F122" s="131"/>
      <c r="G122" s="131"/>
      <c r="H122" s="131"/>
      <c r="I122" s="131"/>
      <c r="J122" s="131"/>
      <c r="K122" s="131"/>
    </row>
    <row r="123" spans="1:11" outlineLevel="1" x14ac:dyDescent="0.25">
      <c r="A123" s="59"/>
      <c r="B123" s="131"/>
      <c r="C123" s="131"/>
      <c r="D123" s="131"/>
      <c r="E123" s="131"/>
      <c r="F123" s="131"/>
      <c r="G123" s="131"/>
      <c r="H123" s="131"/>
      <c r="I123" s="131"/>
      <c r="J123" s="131"/>
      <c r="K123" s="131"/>
    </row>
    <row r="124" spans="1:11" outlineLevel="1" x14ac:dyDescent="0.25">
      <c r="A124" s="59"/>
      <c r="B124" s="131"/>
      <c r="C124" s="131"/>
      <c r="D124" s="131"/>
      <c r="E124" s="131"/>
      <c r="F124" s="131"/>
      <c r="G124" s="131"/>
      <c r="H124" s="131"/>
      <c r="I124" s="131"/>
      <c r="J124" s="131"/>
      <c r="K124" s="131"/>
    </row>
    <row r="125" spans="1:11" outlineLevel="1" x14ac:dyDescent="0.25">
      <c r="A125" s="59"/>
      <c r="B125" s="131"/>
      <c r="C125" s="131"/>
      <c r="D125" s="131"/>
      <c r="E125" s="131"/>
      <c r="F125" s="131"/>
      <c r="G125" s="131"/>
      <c r="H125" s="131"/>
      <c r="I125" s="131"/>
      <c r="J125" s="131"/>
      <c r="K125" s="131"/>
    </row>
    <row r="126" spans="1:11" outlineLevel="1" x14ac:dyDescent="0.25">
      <c r="A126" s="59"/>
      <c r="B126" s="131"/>
      <c r="C126" s="131"/>
      <c r="D126" s="131"/>
      <c r="E126" s="131"/>
      <c r="F126" s="131"/>
      <c r="G126" s="131"/>
      <c r="H126" s="131"/>
      <c r="I126" s="131"/>
      <c r="J126" s="131"/>
      <c r="K126" s="131"/>
    </row>
    <row r="127" spans="1:11" outlineLevel="1" x14ac:dyDescent="0.25">
      <c r="A127" s="59"/>
      <c r="B127" s="131"/>
      <c r="C127" s="131"/>
      <c r="D127" s="131"/>
      <c r="E127" s="131"/>
      <c r="F127" s="131"/>
      <c r="G127" s="131"/>
      <c r="H127" s="131"/>
      <c r="I127" s="131"/>
      <c r="J127" s="131"/>
      <c r="K127" s="131"/>
    </row>
    <row r="128" spans="1:11" outlineLevel="1" x14ac:dyDescent="0.25">
      <c r="A128" s="59"/>
      <c r="B128" s="131"/>
      <c r="C128" s="131"/>
      <c r="D128" s="131"/>
      <c r="E128" s="131"/>
      <c r="F128" s="131"/>
      <c r="G128" s="131"/>
      <c r="H128" s="131"/>
      <c r="I128" s="131"/>
      <c r="J128" s="131"/>
      <c r="K128" s="131"/>
    </row>
    <row r="129" spans="1:11" outlineLevel="1" x14ac:dyDescent="0.25">
      <c r="A129" s="59"/>
      <c r="B129" s="131"/>
      <c r="C129" s="131"/>
      <c r="D129" s="131"/>
      <c r="E129" s="131"/>
      <c r="F129" s="131"/>
      <c r="G129" s="131"/>
      <c r="H129" s="131"/>
      <c r="I129" s="131"/>
      <c r="J129" s="131"/>
      <c r="K129" s="131"/>
    </row>
    <row r="130" spans="1:11" outlineLevel="1" x14ac:dyDescent="0.25">
      <c r="A130" s="59"/>
      <c r="B130" s="131"/>
      <c r="C130" s="131"/>
      <c r="D130" s="131"/>
      <c r="E130" s="131"/>
      <c r="F130" s="131"/>
      <c r="G130" s="131"/>
      <c r="H130" s="131"/>
      <c r="I130" s="131"/>
      <c r="J130" s="131"/>
      <c r="K130" s="131"/>
    </row>
    <row r="131" spans="1:11" outlineLevel="1" x14ac:dyDescent="0.25">
      <c r="A131" s="59"/>
      <c r="B131" s="131"/>
      <c r="C131" s="131"/>
      <c r="D131" s="131"/>
      <c r="E131" s="131"/>
      <c r="F131" s="131"/>
      <c r="G131" s="131"/>
      <c r="H131" s="131"/>
      <c r="I131" s="131"/>
      <c r="J131" s="131"/>
      <c r="K131" s="131"/>
    </row>
    <row r="132" spans="1:11" outlineLevel="1" x14ac:dyDescent="0.25">
      <c r="A132" s="59"/>
      <c r="B132" s="131"/>
      <c r="C132" s="131"/>
      <c r="D132" s="131"/>
      <c r="E132" s="131"/>
      <c r="F132" s="131"/>
      <c r="G132" s="131"/>
      <c r="H132" s="131"/>
      <c r="I132" s="131"/>
      <c r="J132" s="131"/>
      <c r="K132" s="131"/>
    </row>
    <row r="133" spans="1:11" outlineLevel="1" x14ac:dyDescent="0.25">
      <c r="A133" s="59"/>
      <c r="B133" s="131"/>
      <c r="C133" s="131"/>
      <c r="D133" s="131"/>
      <c r="E133" s="131"/>
      <c r="F133" s="131"/>
      <c r="G133" s="131"/>
      <c r="H133" s="131"/>
      <c r="I133" s="131"/>
      <c r="J133" s="131"/>
      <c r="K133" s="131"/>
    </row>
    <row r="134" spans="1:11" outlineLevel="1" x14ac:dyDescent="0.25">
      <c r="A134" s="59"/>
      <c r="B134" s="131"/>
      <c r="C134" s="131"/>
      <c r="D134" s="131"/>
      <c r="E134" s="131"/>
      <c r="F134" s="131"/>
      <c r="G134" s="131"/>
      <c r="H134" s="131"/>
      <c r="I134" s="131"/>
      <c r="J134" s="131"/>
      <c r="K134" s="131"/>
    </row>
    <row r="135" spans="1:11" outlineLevel="1" x14ac:dyDescent="0.25">
      <c r="A135" s="59"/>
      <c r="B135" s="131"/>
      <c r="C135" s="131"/>
      <c r="D135" s="131"/>
      <c r="E135" s="131"/>
      <c r="F135" s="131"/>
      <c r="G135" s="131"/>
      <c r="H135" s="131"/>
      <c r="I135" s="131"/>
      <c r="J135" s="131"/>
      <c r="K135" s="131"/>
    </row>
    <row r="136" spans="1:11" outlineLevel="1" x14ac:dyDescent="0.25">
      <c r="A136" s="59"/>
      <c r="B136" s="131"/>
      <c r="C136" s="131"/>
      <c r="D136" s="131"/>
      <c r="E136" s="131"/>
      <c r="F136" s="131"/>
      <c r="G136" s="131"/>
      <c r="H136" s="131"/>
      <c r="I136" s="131"/>
      <c r="J136" s="131"/>
      <c r="K136" s="131"/>
    </row>
    <row r="137" spans="1:11" outlineLevel="1" x14ac:dyDescent="0.25">
      <c r="A137" s="59"/>
      <c r="B137" s="131"/>
      <c r="C137" s="131"/>
      <c r="D137" s="131"/>
      <c r="E137" s="131"/>
      <c r="F137" s="131"/>
      <c r="G137" s="131"/>
      <c r="H137" s="131"/>
      <c r="I137" s="131"/>
      <c r="J137" s="131"/>
      <c r="K137" s="131"/>
    </row>
    <row r="138" spans="1:11" outlineLevel="1" x14ac:dyDescent="0.25">
      <c r="A138" s="59"/>
      <c r="B138" s="131"/>
      <c r="C138" s="131"/>
      <c r="D138" s="131"/>
      <c r="E138" s="131"/>
      <c r="F138" s="131"/>
      <c r="G138" s="131"/>
      <c r="H138" s="131"/>
      <c r="I138" s="131"/>
      <c r="J138" s="131"/>
      <c r="K138" s="131"/>
    </row>
    <row r="139" spans="1:11" outlineLevel="1" x14ac:dyDescent="0.25">
      <c r="A139" s="59"/>
      <c r="B139" s="131"/>
      <c r="C139" s="131"/>
      <c r="D139" s="131"/>
      <c r="E139" s="131"/>
      <c r="F139" s="131"/>
      <c r="G139" s="131"/>
      <c r="H139" s="131"/>
      <c r="I139" s="131"/>
      <c r="J139" s="131"/>
      <c r="K139" s="131"/>
    </row>
    <row r="140" spans="1:11" outlineLevel="1" x14ac:dyDescent="0.25">
      <c r="A140" s="59"/>
      <c r="B140" s="131"/>
      <c r="C140" s="131"/>
      <c r="D140" s="131"/>
      <c r="E140" s="131"/>
      <c r="F140" s="131"/>
      <c r="G140" s="131"/>
      <c r="H140" s="131"/>
      <c r="I140" s="131"/>
      <c r="J140" s="131"/>
      <c r="K140" s="131"/>
    </row>
    <row r="141" spans="1:11" outlineLevel="1" x14ac:dyDescent="0.25">
      <c r="A141" s="59"/>
      <c r="B141" s="131"/>
      <c r="C141" s="131"/>
      <c r="D141" s="131"/>
      <c r="E141" s="131"/>
      <c r="F141" s="131"/>
      <c r="G141" s="131"/>
      <c r="H141" s="131"/>
      <c r="I141" s="131"/>
      <c r="J141" s="131"/>
      <c r="K141" s="131"/>
    </row>
    <row r="142" spans="1:11" outlineLevel="1" x14ac:dyDescent="0.25">
      <c r="A142" s="59"/>
      <c r="B142" s="131"/>
      <c r="C142" s="131"/>
      <c r="D142" s="131"/>
      <c r="E142" s="131"/>
      <c r="F142" s="131"/>
      <c r="G142" s="131"/>
      <c r="H142" s="131"/>
      <c r="I142" s="131"/>
      <c r="J142" s="131"/>
      <c r="K142" s="131"/>
    </row>
    <row r="143" spans="1:11" outlineLevel="1" x14ac:dyDescent="0.25">
      <c r="A143" s="59"/>
      <c r="B143" s="131"/>
      <c r="C143" s="131"/>
      <c r="D143" s="131"/>
      <c r="E143" s="131"/>
      <c r="F143" s="131"/>
      <c r="G143" s="131"/>
      <c r="H143" s="131"/>
      <c r="I143" s="131"/>
      <c r="J143" s="131"/>
      <c r="K143" s="131"/>
    </row>
    <row r="144" spans="1:11" outlineLevel="1" x14ac:dyDescent="0.25">
      <c r="A144" s="59"/>
      <c r="B144" s="131"/>
      <c r="C144" s="131"/>
      <c r="D144" s="131"/>
      <c r="E144" s="131"/>
      <c r="F144" s="131"/>
      <c r="G144" s="131"/>
      <c r="H144" s="131"/>
      <c r="I144" s="131"/>
      <c r="J144" s="131"/>
      <c r="K144" s="131"/>
    </row>
    <row r="145" spans="1:11" outlineLevel="1" x14ac:dyDescent="0.25">
      <c r="A145" s="59"/>
      <c r="B145" s="131"/>
      <c r="C145" s="131"/>
      <c r="D145" s="131"/>
      <c r="E145" s="131"/>
      <c r="F145" s="131"/>
      <c r="G145" s="131"/>
      <c r="H145" s="131"/>
      <c r="I145" s="131"/>
      <c r="J145" s="131"/>
      <c r="K145" s="131"/>
    </row>
    <row r="146" spans="1:11" outlineLevel="1" x14ac:dyDescent="0.25">
      <c r="A146" s="59"/>
      <c r="B146" s="131"/>
      <c r="C146" s="131"/>
      <c r="D146" s="131"/>
      <c r="E146" s="131"/>
      <c r="F146" s="131"/>
      <c r="G146" s="131"/>
      <c r="H146" s="131"/>
      <c r="I146" s="131"/>
      <c r="J146" s="131"/>
      <c r="K146" s="131"/>
    </row>
    <row r="147" spans="1:11" outlineLevel="1" x14ac:dyDescent="0.25">
      <c r="A147" s="59"/>
      <c r="B147" s="131"/>
      <c r="C147" s="131"/>
      <c r="D147" s="131"/>
      <c r="E147" s="131"/>
      <c r="F147" s="131"/>
      <c r="G147" s="131"/>
      <c r="H147" s="131"/>
      <c r="I147" s="131"/>
      <c r="J147" s="131"/>
      <c r="K147" s="131"/>
    </row>
    <row r="148" spans="1:11" outlineLevel="1" x14ac:dyDescent="0.25">
      <c r="A148" s="59"/>
      <c r="B148" s="131"/>
      <c r="C148" s="131"/>
      <c r="D148" s="131"/>
      <c r="E148" s="131"/>
      <c r="F148" s="131"/>
      <c r="G148" s="131"/>
      <c r="H148" s="131"/>
      <c r="I148" s="131"/>
      <c r="J148" s="131"/>
      <c r="K148" s="131"/>
    </row>
    <row r="149" spans="1:11" outlineLevel="1" x14ac:dyDescent="0.25">
      <c r="A149" s="59"/>
      <c r="B149" s="131"/>
      <c r="C149" s="131"/>
      <c r="D149" s="131"/>
      <c r="E149" s="131"/>
      <c r="F149" s="131"/>
      <c r="G149" s="131"/>
      <c r="H149" s="131"/>
      <c r="I149" s="131"/>
      <c r="J149" s="131"/>
      <c r="K149" s="131"/>
    </row>
    <row r="150" spans="1:11" outlineLevel="1" x14ac:dyDescent="0.25">
      <c r="A150" s="59"/>
      <c r="B150" s="131"/>
      <c r="C150" s="131"/>
      <c r="D150" s="131"/>
      <c r="E150" s="131"/>
      <c r="F150" s="131"/>
      <c r="G150" s="131"/>
      <c r="H150" s="131"/>
      <c r="I150" s="131"/>
      <c r="J150" s="131"/>
      <c r="K150" s="131"/>
    </row>
    <row r="151" spans="1:11" outlineLevel="1" x14ac:dyDescent="0.25">
      <c r="A151" s="59"/>
      <c r="B151" s="131"/>
      <c r="C151" s="131"/>
      <c r="D151" s="131"/>
      <c r="E151" s="131"/>
      <c r="F151" s="131"/>
      <c r="G151" s="131"/>
      <c r="H151" s="131"/>
      <c r="I151" s="131"/>
      <c r="J151" s="131"/>
      <c r="K151" s="131"/>
    </row>
    <row r="152" spans="1:11" outlineLevel="1" x14ac:dyDescent="0.25">
      <c r="A152" s="59"/>
      <c r="B152" s="131"/>
      <c r="C152" s="131"/>
      <c r="D152" s="131"/>
      <c r="E152" s="131"/>
      <c r="F152" s="131"/>
      <c r="G152" s="131"/>
      <c r="H152" s="131"/>
      <c r="I152" s="131"/>
      <c r="J152" s="131"/>
      <c r="K152" s="131"/>
    </row>
    <row r="153" spans="1:11" outlineLevel="1" x14ac:dyDescent="0.25">
      <c r="A153" s="59"/>
      <c r="B153" s="131"/>
      <c r="C153" s="131"/>
      <c r="D153" s="131"/>
      <c r="E153" s="131"/>
      <c r="F153" s="131"/>
      <c r="G153" s="131"/>
      <c r="H153" s="131"/>
      <c r="I153" s="131"/>
      <c r="J153" s="131"/>
      <c r="K153" s="131"/>
    </row>
    <row r="154" spans="1:11" outlineLevel="1" x14ac:dyDescent="0.25">
      <c r="A154" s="59"/>
      <c r="B154" s="131"/>
      <c r="C154" s="131"/>
      <c r="D154" s="131"/>
      <c r="E154" s="131"/>
      <c r="F154" s="131"/>
      <c r="G154" s="131"/>
      <c r="H154" s="131"/>
      <c r="I154" s="131"/>
      <c r="J154" s="131"/>
      <c r="K154" s="131"/>
    </row>
    <row r="155" spans="1:11" outlineLevel="1" x14ac:dyDescent="0.25">
      <c r="A155" s="59"/>
      <c r="B155" s="131"/>
      <c r="C155" s="131"/>
      <c r="D155" s="131"/>
      <c r="E155" s="131"/>
      <c r="F155" s="131"/>
      <c r="G155" s="131"/>
      <c r="H155" s="131"/>
      <c r="I155" s="131"/>
      <c r="J155" s="131"/>
      <c r="K155" s="131"/>
    </row>
    <row r="156" spans="1:11" outlineLevel="1" x14ac:dyDescent="0.25">
      <c r="A156" s="59"/>
      <c r="B156" s="131"/>
      <c r="C156" s="131"/>
      <c r="D156" s="131"/>
      <c r="E156" s="131"/>
      <c r="F156" s="131"/>
      <c r="G156" s="131"/>
      <c r="H156" s="131"/>
      <c r="I156" s="131"/>
      <c r="J156" s="131"/>
      <c r="K156" s="131"/>
    </row>
    <row r="157" spans="1:11" outlineLevel="1" x14ac:dyDescent="0.25">
      <c r="A157" s="59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</row>
    <row r="158" spans="1:11" outlineLevel="1" x14ac:dyDescent="0.25">
      <c r="A158" s="59"/>
      <c r="B158" s="131"/>
      <c r="C158" s="131"/>
      <c r="D158" s="131"/>
      <c r="E158" s="131"/>
      <c r="F158" s="131"/>
      <c r="G158" s="131"/>
      <c r="H158" s="131"/>
      <c r="I158" s="131"/>
      <c r="J158" s="131"/>
      <c r="K158" s="131"/>
    </row>
    <row r="159" spans="1:11" outlineLevel="1" x14ac:dyDescent="0.25">
      <c r="A159" s="59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</row>
    <row r="160" spans="1:11" outlineLevel="1" x14ac:dyDescent="0.25">
      <c r="A160" s="59"/>
      <c r="B160" s="131"/>
      <c r="C160" s="131"/>
      <c r="D160" s="131"/>
      <c r="E160" s="131"/>
      <c r="F160" s="131"/>
      <c r="G160" s="131"/>
      <c r="H160" s="131"/>
      <c r="I160" s="131"/>
      <c r="J160" s="131"/>
      <c r="K160" s="131"/>
    </row>
    <row r="161" spans="1:11" outlineLevel="1" x14ac:dyDescent="0.25">
      <c r="A161" s="59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</row>
    <row r="162" spans="1:11" outlineLevel="1" x14ac:dyDescent="0.25">
      <c r="A162" s="59"/>
      <c r="B162" s="131"/>
      <c r="C162" s="131"/>
      <c r="D162" s="131"/>
      <c r="E162" s="131"/>
      <c r="F162" s="131"/>
      <c r="G162" s="131"/>
      <c r="H162" s="131"/>
      <c r="I162" s="131"/>
      <c r="J162" s="131"/>
      <c r="K162" s="131"/>
    </row>
    <row r="163" spans="1:11" outlineLevel="1" x14ac:dyDescent="0.25">
      <c r="A163" s="59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</row>
    <row r="164" spans="1:11" outlineLevel="1" x14ac:dyDescent="0.25">
      <c r="A164" s="59"/>
      <c r="B164" s="131"/>
      <c r="C164" s="131"/>
      <c r="D164" s="131"/>
      <c r="E164" s="131"/>
      <c r="F164" s="131"/>
      <c r="G164" s="131"/>
      <c r="H164" s="131"/>
      <c r="I164" s="131"/>
      <c r="J164" s="131"/>
      <c r="K164" s="131"/>
    </row>
    <row r="165" spans="1:11" outlineLevel="1" x14ac:dyDescent="0.25">
      <c r="A165" s="59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</row>
    <row r="166" spans="1:11" outlineLevel="1" x14ac:dyDescent="0.25">
      <c r="A166" s="59"/>
      <c r="B166" s="131"/>
      <c r="C166" s="131"/>
      <c r="D166" s="131"/>
      <c r="E166" s="131"/>
      <c r="F166" s="131"/>
      <c r="G166" s="131"/>
      <c r="H166" s="131"/>
      <c r="I166" s="131"/>
      <c r="J166" s="131"/>
      <c r="K166" s="131"/>
    </row>
    <row r="167" spans="1:11" outlineLevel="1" x14ac:dyDescent="0.25">
      <c r="A167" s="59"/>
      <c r="B167" s="131"/>
      <c r="C167" s="131"/>
      <c r="D167" s="131"/>
      <c r="E167" s="131"/>
      <c r="F167" s="131"/>
      <c r="G167" s="131"/>
      <c r="H167" s="131"/>
      <c r="I167" s="131"/>
      <c r="J167" s="131"/>
      <c r="K167" s="131"/>
    </row>
    <row r="168" spans="1:11" outlineLevel="1" x14ac:dyDescent="0.25">
      <c r="A168" s="59"/>
      <c r="B168" s="131"/>
      <c r="C168" s="131"/>
      <c r="D168" s="131"/>
      <c r="E168" s="131"/>
      <c r="F168" s="131"/>
      <c r="G168" s="131"/>
      <c r="H168" s="131"/>
      <c r="I168" s="131"/>
      <c r="J168" s="131"/>
      <c r="K168" s="131"/>
    </row>
    <row r="169" spans="1:11" outlineLevel="1" x14ac:dyDescent="0.25">
      <c r="A169" s="59"/>
      <c r="B169" s="131"/>
      <c r="C169" s="131"/>
      <c r="D169" s="131"/>
      <c r="E169" s="131"/>
      <c r="F169" s="131"/>
      <c r="G169" s="131"/>
      <c r="H169" s="131"/>
      <c r="I169" s="131"/>
      <c r="J169" s="131"/>
      <c r="K169" s="131"/>
    </row>
    <row r="170" spans="1:11" outlineLevel="1" x14ac:dyDescent="0.25">
      <c r="A170" s="59"/>
      <c r="B170" s="131"/>
      <c r="C170" s="131"/>
      <c r="D170" s="131"/>
      <c r="E170" s="131"/>
      <c r="F170" s="131"/>
      <c r="G170" s="131"/>
      <c r="H170" s="131"/>
      <c r="I170" s="131"/>
      <c r="J170" s="131"/>
      <c r="K170" s="131"/>
    </row>
    <row r="171" spans="1:11" outlineLevel="1" x14ac:dyDescent="0.25">
      <c r="A171" s="59"/>
      <c r="B171" s="131"/>
      <c r="C171" s="131"/>
      <c r="D171" s="131"/>
      <c r="E171" s="131"/>
      <c r="F171" s="131"/>
      <c r="G171" s="131"/>
      <c r="H171" s="131"/>
      <c r="I171" s="131"/>
      <c r="J171" s="131"/>
      <c r="K171" s="131"/>
    </row>
    <row r="172" spans="1:11" outlineLevel="1" x14ac:dyDescent="0.25">
      <c r="A172" s="59"/>
      <c r="B172" s="131"/>
      <c r="C172" s="131"/>
      <c r="D172" s="131"/>
      <c r="E172" s="131"/>
      <c r="F172" s="131"/>
      <c r="G172" s="131"/>
      <c r="H172" s="131"/>
      <c r="I172" s="131"/>
      <c r="J172" s="131"/>
      <c r="K172" s="131"/>
    </row>
    <row r="173" spans="1:11" outlineLevel="1" x14ac:dyDescent="0.25">
      <c r="A173" s="59"/>
      <c r="B173" s="131"/>
      <c r="C173" s="131"/>
      <c r="D173" s="131"/>
      <c r="E173" s="131"/>
      <c r="F173" s="131"/>
      <c r="G173" s="131"/>
      <c r="H173" s="131"/>
      <c r="I173" s="131"/>
      <c r="J173" s="131"/>
      <c r="K173" s="131"/>
    </row>
    <row r="174" spans="1:11" outlineLevel="1" x14ac:dyDescent="0.25">
      <c r="A174" s="59"/>
      <c r="B174" s="131"/>
      <c r="C174" s="131"/>
      <c r="D174" s="131"/>
      <c r="E174" s="131"/>
      <c r="F174" s="131"/>
      <c r="G174" s="131"/>
      <c r="H174" s="131"/>
      <c r="I174" s="131"/>
      <c r="J174" s="131"/>
      <c r="K174" s="131"/>
    </row>
    <row r="175" spans="1:11" outlineLevel="1" x14ac:dyDescent="0.25">
      <c r="A175" s="59"/>
      <c r="B175" s="131"/>
      <c r="C175" s="131"/>
      <c r="D175" s="131"/>
      <c r="E175" s="131"/>
      <c r="F175" s="131"/>
      <c r="G175" s="131"/>
      <c r="H175" s="131"/>
      <c r="I175" s="131"/>
      <c r="J175" s="131"/>
      <c r="K175" s="131"/>
    </row>
    <row r="176" spans="1:11" outlineLevel="1" x14ac:dyDescent="0.25">
      <c r="A176" s="59"/>
      <c r="B176" s="131"/>
      <c r="C176" s="131"/>
      <c r="D176" s="131"/>
      <c r="E176" s="131"/>
      <c r="F176" s="131"/>
      <c r="G176" s="131"/>
      <c r="H176" s="131"/>
      <c r="I176" s="131"/>
      <c r="J176" s="131"/>
      <c r="K176" s="131"/>
    </row>
    <row r="177" spans="1:11" outlineLevel="1" x14ac:dyDescent="0.25">
      <c r="A177" s="59"/>
      <c r="B177" s="131"/>
      <c r="C177" s="131"/>
      <c r="D177" s="131"/>
      <c r="E177" s="131"/>
      <c r="F177" s="131"/>
      <c r="G177" s="131"/>
      <c r="H177" s="131"/>
      <c r="I177" s="131"/>
      <c r="J177" s="131"/>
      <c r="K177" s="131"/>
    </row>
    <row r="178" spans="1:11" outlineLevel="1" x14ac:dyDescent="0.25">
      <c r="A178" s="59"/>
      <c r="B178" s="131"/>
      <c r="C178" s="131"/>
      <c r="D178" s="131"/>
      <c r="E178" s="131"/>
      <c r="F178" s="131"/>
      <c r="G178" s="131"/>
      <c r="H178" s="131"/>
      <c r="I178" s="131"/>
      <c r="J178" s="131"/>
      <c r="K178" s="131"/>
    </row>
    <row r="179" spans="1:11" outlineLevel="1" x14ac:dyDescent="0.25">
      <c r="A179" s="59"/>
      <c r="B179" s="131"/>
      <c r="C179" s="131"/>
      <c r="D179" s="131"/>
      <c r="E179" s="131"/>
      <c r="F179" s="131"/>
      <c r="G179" s="131"/>
      <c r="H179" s="131"/>
      <c r="I179" s="131"/>
      <c r="J179" s="131"/>
      <c r="K179" s="131"/>
    </row>
    <row r="180" spans="1:11" outlineLevel="1" x14ac:dyDescent="0.25">
      <c r="A180" s="59"/>
      <c r="B180" s="131"/>
      <c r="C180" s="131"/>
      <c r="D180" s="131"/>
      <c r="E180" s="131"/>
      <c r="F180" s="131"/>
      <c r="G180" s="131"/>
      <c r="H180" s="131"/>
      <c r="I180" s="131"/>
      <c r="J180" s="131"/>
      <c r="K180" s="131"/>
    </row>
    <row r="181" spans="1:11" outlineLevel="1" x14ac:dyDescent="0.25">
      <c r="A181" s="59"/>
      <c r="B181" s="131"/>
      <c r="C181" s="131"/>
      <c r="D181" s="131"/>
      <c r="E181" s="131"/>
      <c r="F181" s="131"/>
      <c r="G181" s="131"/>
      <c r="H181" s="131"/>
      <c r="I181" s="131"/>
      <c r="J181" s="131"/>
      <c r="K181" s="131"/>
    </row>
    <row r="182" spans="1:11" outlineLevel="1" x14ac:dyDescent="0.25">
      <c r="A182" s="59"/>
      <c r="B182" s="131"/>
      <c r="C182" s="131"/>
      <c r="D182" s="131"/>
      <c r="E182" s="131"/>
      <c r="F182" s="131"/>
      <c r="G182" s="131"/>
      <c r="H182" s="131"/>
      <c r="I182" s="131"/>
      <c r="J182" s="131"/>
      <c r="K182" s="131"/>
    </row>
    <row r="183" spans="1:11" outlineLevel="1" x14ac:dyDescent="0.25">
      <c r="A183" s="59"/>
      <c r="B183" s="131"/>
      <c r="C183" s="131"/>
      <c r="D183" s="131"/>
      <c r="E183" s="131"/>
      <c r="F183" s="131"/>
      <c r="G183" s="131"/>
      <c r="H183" s="131"/>
      <c r="I183" s="131"/>
      <c r="J183" s="131"/>
      <c r="K183" s="131"/>
    </row>
    <row r="184" spans="1:11" outlineLevel="1" x14ac:dyDescent="0.25">
      <c r="A184" s="59"/>
      <c r="B184" s="131"/>
      <c r="C184" s="131"/>
      <c r="D184" s="131"/>
      <c r="E184" s="131"/>
      <c r="F184" s="131"/>
      <c r="G184" s="131"/>
      <c r="H184" s="131"/>
      <c r="I184" s="131"/>
      <c r="J184" s="131"/>
      <c r="K184" s="131"/>
    </row>
    <row r="185" spans="1:11" outlineLevel="1" x14ac:dyDescent="0.25">
      <c r="A185" s="59"/>
      <c r="B185" s="131"/>
      <c r="C185" s="131"/>
      <c r="D185" s="131"/>
      <c r="E185" s="131"/>
      <c r="F185" s="131"/>
      <c r="G185" s="131"/>
      <c r="H185" s="131"/>
      <c r="I185" s="131"/>
      <c r="J185" s="131"/>
      <c r="K185" s="131"/>
    </row>
    <row r="186" spans="1:11" outlineLevel="1" x14ac:dyDescent="0.25">
      <c r="A186" s="59"/>
      <c r="B186" s="131"/>
      <c r="C186" s="131"/>
      <c r="D186" s="131"/>
      <c r="E186" s="131"/>
      <c r="F186" s="131"/>
      <c r="G186" s="131"/>
      <c r="H186" s="131"/>
      <c r="I186" s="131"/>
      <c r="J186" s="131"/>
      <c r="K186" s="131"/>
    </row>
    <row r="187" spans="1:11" outlineLevel="1" x14ac:dyDescent="0.25">
      <c r="A187" s="59"/>
      <c r="B187" s="131"/>
      <c r="C187" s="131"/>
      <c r="D187" s="131"/>
      <c r="E187" s="131"/>
      <c r="F187" s="131"/>
      <c r="G187" s="131"/>
      <c r="H187" s="131"/>
      <c r="I187" s="131"/>
      <c r="J187" s="131"/>
      <c r="K187" s="131"/>
    </row>
    <row r="188" spans="1:11" outlineLevel="1" x14ac:dyDescent="0.25">
      <c r="A188" s="59"/>
      <c r="B188" s="131"/>
      <c r="C188" s="131"/>
      <c r="D188" s="131"/>
      <c r="E188" s="131"/>
      <c r="F188" s="131"/>
      <c r="G188" s="131"/>
      <c r="H188" s="131"/>
      <c r="I188" s="131"/>
      <c r="J188" s="131"/>
      <c r="K188" s="131"/>
    </row>
    <row r="189" spans="1:11" outlineLevel="1" x14ac:dyDescent="0.25">
      <c r="A189" s="59"/>
      <c r="B189" s="131"/>
      <c r="C189" s="131"/>
      <c r="D189" s="131"/>
      <c r="E189" s="131"/>
      <c r="F189" s="131"/>
      <c r="G189" s="131"/>
      <c r="H189" s="131"/>
      <c r="I189" s="131"/>
      <c r="J189" s="131"/>
      <c r="K189" s="131"/>
    </row>
    <row r="190" spans="1:11" outlineLevel="1" x14ac:dyDescent="0.25">
      <c r="A190" s="59"/>
      <c r="B190" s="131"/>
      <c r="C190" s="131"/>
      <c r="D190" s="131"/>
      <c r="E190" s="131"/>
      <c r="F190" s="131"/>
      <c r="G190" s="131"/>
      <c r="H190" s="131"/>
      <c r="I190" s="131"/>
      <c r="J190" s="131"/>
      <c r="K190" s="131"/>
    </row>
    <row r="191" spans="1:11" outlineLevel="1" x14ac:dyDescent="0.25">
      <c r="A191" s="59"/>
      <c r="B191" s="131"/>
      <c r="C191" s="131"/>
      <c r="D191" s="131"/>
      <c r="E191" s="131"/>
      <c r="F191" s="131"/>
      <c r="G191" s="131"/>
      <c r="H191" s="131"/>
      <c r="I191" s="131"/>
      <c r="J191" s="131"/>
      <c r="K191" s="131"/>
    </row>
    <row r="192" spans="1:11" outlineLevel="1" x14ac:dyDescent="0.25">
      <c r="A192" s="59"/>
      <c r="B192" s="131"/>
      <c r="C192" s="131"/>
      <c r="D192" s="131"/>
      <c r="E192" s="131"/>
      <c r="F192" s="131"/>
      <c r="G192" s="131"/>
      <c r="H192" s="131"/>
      <c r="I192" s="131"/>
      <c r="J192" s="131"/>
      <c r="K192" s="131"/>
    </row>
    <row r="193" spans="1:11" outlineLevel="1" x14ac:dyDescent="0.25">
      <c r="A193" s="59"/>
      <c r="B193" s="131"/>
      <c r="C193" s="131"/>
      <c r="D193" s="131"/>
      <c r="E193" s="131"/>
      <c r="F193" s="131"/>
      <c r="G193" s="131"/>
      <c r="H193" s="131"/>
      <c r="I193" s="131"/>
      <c r="J193" s="131"/>
      <c r="K193" s="131"/>
    </row>
    <row r="194" spans="1:11" outlineLevel="1" x14ac:dyDescent="0.25">
      <c r="A194" s="59"/>
      <c r="B194" s="131"/>
      <c r="C194" s="131"/>
      <c r="D194" s="131"/>
      <c r="E194" s="131"/>
      <c r="F194" s="131"/>
      <c r="G194" s="131"/>
      <c r="H194" s="131"/>
      <c r="I194" s="131"/>
      <c r="J194" s="131"/>
      <c r="K194" s="131"/>
    </row>
    <row r="195" spans="1:11" outlineLevel="1" x14ac:dyDescent="0.25">
      <c r="A195" s="59"/>
      <c r="B195" s="131"/>
      <c r="C195" s="131"/>
      <c r="D195" s="131"/>
      <c r="E195" s="131"/>
      <c r="F195" s="131"/>
      <c r="G195" s="131"/>
      <c r="H195" s="131"/>
      <c r="I195" s="131"/>
      <c r="J195" s="131"/>
      <c r="K195" s="131"/>
    </row>
    <row r="196" spans="1:11" outlineLevel="1" x14ac:dyDescent="0.25">
      <c r="A196" s="59"/>
      <c r="B196" s="131"/>
      <c r="C196" s="131"/>
      <c r="D196" s="131"/>
      <c r="E196" s="131"/>
      <c r="F196" s="131"/>
      <c r="G196" s="131"/>
      <c r="H196" s="131"/>
      <c r="I196" s="131"/>
      <c r="J196" s="131"/>
      <c r="K196" s="131"/>
    </row>
    <row r="197" spans="1:11" outlineLevel="1" x14ac:dyDescent="0.25">
      <c r="A197" s="59"/>
      <c r="B197" s="131"/>
      <c r="C197" s="131"/>
      <c r="D197" s="131"/>
      <c r="E197" s="131"/>
      <c r="F197" s="131"/>
      <c r="G197" s="131"/>
      <c r="H197" s="131"/>
      <c r="I197" s="131"/>
      <c r="J197" s="131"/>
      <c r="K197" s="131"/>
    </row>
    <row r="198" spans="1:11" outlineLevel="1" x14ac:dyDescent="0.25">
      <c r="A198" s="59"/>
      <c r="B198" s="131"/>
      <c r="C198" s="131"/>
      <c r="D198" s="131"/>
      <c r="E198" s="131"/>
      <c r="F198" s="131"/>
      <c r="G198" s="131"/>
      <c r="H198" s="131"/>
      <c r="I198" s="131"/>
      <c r="J198" s="131"/>
      <c r="K198" s="131"/>
    </row>
    <row r="199" spans="1:11" outlineLevel="1" x14ac:dyDescent="0.25">
      <c r="A199" s="59"/>
      <c r="B199" s="131"/>
      <c r="C199" s="131"/>
      <c r="D199" s="131"/>
      <c r="E199" s="131"/>
      <c r="F199" s="131"/>
      <c r="G199" s="131"/>
      <c r="H199" s="131"/>
      <c r="I199" s="131"/>
      <c r="J199" s="131"/>
      <c r="K199" s="131"/>
    </row>
    <row r="200" spans="1:11" outlineLevel="1" x14ac:dyDescent="0.25">
      <c r="A200" s="59"/>
      <c r="B200" s="131"/>
      <c r="C200" s="131"/>
      <c r="D200" s="131"/>
      <c r="E200" s="131"/>
      <c r="F200" s="131"/>
      <c r="G200" s="131"/>
      <c r="H200" s="131"/>
      <c r="I200" s="131"/>
      <c r="J200" s="131"/>
      <c r="K200" s="131"/>
    </row>
    <row r="201" spans="1:11" outlineLevel="1" x14ac:dyDescent="0.25">
      <c r="A201" s="59"/>
      <c r="B201" s="131"/>
      <c r="C201" s="131"/>
      <c r="D201" s="131"/>
      <c r="E201" s="131"/>
      <c r="F201" s="131"/>
      <c r="G201" s="131"/>
      <c r="H201" s="131"/>
      <c r="I201" s="131"/>
      <c r="J201" s="131"/>
      <c r="K201" s="131"/>
    </row>
    <row r="202" spans="1:11" outlineLevel="1" x14ac:dyDescent="0.25">
      <c r="A202" s="59"/>
      <c r="B202" s="131"/>
      <c r="C202" s="131"/>
      <c r="D202" s="131"/>
      <c r="E202" s="131"/>
      <c r="F202" s="131"/>
      <c r="G202" s="131"/>
      <c r="H202" s="131"/>
      <c r="I202" s="131"/>
      <c r="J202" s="131"/>
      <c r="K202" s="131"/>
    </row>
    <row r="203" spans="1:11" outlineLevel="1" x14ac:dyDescent="0.25">
      <c r="A203" s="59"/>
      <c r="B203" s="131"/>
      <c r="C203" s="131"/>
      <c r="D203" s="131"/>
      <c r="E203" s="131"/>
      <c r="F203" s="131"/>
      <c r="G203" s="131"/>
      <c r="H203" s="131"/>
      <c r="I203" s="131"/>
      <c r="J203" s="131"/>
      <c r="K203" s="131"/>
    </row>
    <row r="204" spans="1:11" outlineLevel="1" x14ac:dyDescent="0.25">
      <c r="A204" s="59"/>
      <c r="B204" s="131"/>
      <c r="C204" s="131"/>
      <c r="D204" s="131"/>
      <c r="E204" s="131"/>
      <c r="F204" s="131"/>
      <c r="G204" s="131"/>
      <c r="H204" s="131"/>
      <c r="I204" s="131"/>
      <c r="J204" s="131"/>
      <c r="K204" s="131"/>
    </row>
    <row r="205" spans="1:11" outlineLevel="1" x14ac:dyDescent="0.25">
      <c r="A205" s="59"/>
      <c r="B205" s="131"/>
      <c r="C205" s="131"/>
      <c r="D205" s="131"/>
      <c r="E205" s="131"/>
      <c r="F205" s="131"/>
      <c r="G205" s="131"/>
      <c r="H205" s="131"/>
      <c r="I205" s="131"/>
      <c r="J205" s="131"/>
      <c r="K205" s="131"/>
    </row>
    <row r="206" spans="1:11" outlineLevel="1" x14ac:dyDescent="0.25">
      <c r="A206" s="59"/>
      <c r="B206" s="131"/>
      <c r="C206" s="131"/>
      <c r="D206" s="131"/>
      <c r="E206" s="131"/>
      <c r="F206" s="131"/>
      <c r="G206" s="131"/>
      <c r="H206" s="131"/>
      <c r="I206" s="131"/>
      <c r="J206" s="131"/>
      <c r="K206" s="131"/>
    </row>
    <row r="207" spans="1:11" outlineLevel="1" x14ac:dyDescent="0.25">
      <c r="A207" s="59"/>
      <c r="B207" s="131"/>
      <c r="C207" s="131"/>
      <c r="D207" s="131"/>
      <c r="E207" s="131"/>
      <c r="F207" s="131"/>
      <c r="G207" s="131"/>
      <c r="H207" s="131"/>
      <c r="I207" s="131"/>
      <c r="J207" s="131"/>
      <c r="K207" s="131"/>
    </row>
    <row r="208" spans="1:11" outlineLevel="1" x14ac:dyDescent="0.25">
      <c r="A208" s="59"/>
      <c r="B208" s="131"/>
      <c r="C208" s="131"/>
      <c r="D208" s="131"/>
      <c r="E208" s="131"/>
      <c r="F208" s="131"/>
      <c r="G208" s="131"/>
      <c r="H208" s="131"/>
      <c r="I208" s="131"/>
      <c r="J208" s="131"/>
      <c r="K208" s="131"/>
    </row>
    <row r="209" spans="1:11" outlineLevel="1" x14ac:dyDescent="0.25">
      <c r="A209" s="59"/>
      <c r="B209" s="131"/>
      <c r="C209" s="131"/>
      <c r="D209" s="131"/>
      <c r="E209" s="131"/>
      <c r="F209" s="131"/>
      <c r="G209" s="131"/>
      <c r="H209" s="131"/>
      <c r="I209" s="131"/>
      <c r="J209" s="131"/>
      <c r="K209" s="131"/>
    </row>
    <row r="210" spans="1:11" outlineLevel="1" x14ac:dyDescent="0.25">
      <c r="A210" s="59"/>
      <c r="B210" s="131"/>
      <c r="C210" s="131"/>
      <c r="D210" s="131"/>
      <c r="E210" s="131"/>
      <c r="F210" s="131"/>
      <c r="G210" s="131"/>
      <c r="H210" s="131"/>
      <c r="I210" s="131"/>
      <c r="J210" s="131"/>
      <c r="K210" s="131"/>
    </row>
    <row r="211" spans="1:11" outlineLevel="1" x14ac:dyDescent="0.25">
      <c r="A211" s="59"/>
      <c r="B211" s="131"/>
      <c r="C211" s="131"/>
      <c r="D211" s="131"/>
      <c r="E211" s="131"/>
      <c r="F211" s="131"/>
      <c r="G211" s="131"/>
      <c r="H211" s="131"/>
      <c r="I211" s="131"/>
      <c r="J211" s="131"/>
      <c r="K211" s="131"/>
    </row>
    <row r="212" spans="1:11" outlineLevel="1" x14ac:dyDescent="0.25">
      <c r="A212" s="59"/>
      <c r="B212" s="131"/>
      <c r="C212" s="131"/>
      <c r="D212" s="131"/>
      <c r="E212" s="131"/>
      <c r="F212" s="131"/>
      <c r="G212" s="131"/>
      <c r="H212" s="131"/>
      <c r="I212" s="131"/>
      <c r="J212" s="131"/>
      <c r="K212" s="131"/>
    </row>
    <row r="213" spans="1:11" outlineLevel="1" x14ac:dyDescent="0.25">
      <c r="A213" s="59"/>
      <c r="B213" s="131"/>
      <c r="C213" s="131"/>
      <c r="D213" s="131"/>
      <c r="E213" s="131"/>
      <c r="F213" s="131"/>
      <c r="G213" s="131"/>
      <c r="H213" s="131"/>
      <c r="I213" s="131"/>
      <c r="J213" s="131"/>
      <c r="K213" s="131"/>
    </row>
    <row r="214" spans="1:11" outlineLevel="1" x14ac:dyDescent="0.25">
      <c r="A214" s="59"/>
      <c r="B214" s="131"/>
      <c r="C214" s="131"/>
      <c r="D214" s="131"/>
      <c r="E214" s="131"/>
      <c r="F214" s="131"/>
      <c r="G214" s="131"/>
      <c r="H214" s="131"/>
      <c r="I214" s="131"/>
      <c r="J214" s="131"/>
      <c r="K214" s="131"/>
    </row>
    <row r="215" spans="1:11" outlineLevel="1" x14ac:dyDescent="0.25">
      <c r="A215" s="59"/>
      <c r="B215" s="131"/>
      <c r="C215" s="131"/>
      <c r="D215" s="131"/>
      <c r="E215" s="131"/>
      <c r="F215" s="131"/>
      <c r="G215" s="131"/>
      <c r="H215" s="131"/>
      <c r="I215" s="131"/>
      <c r="J215" s="131"/>
      <c r="K215" s="131"/>
    </row>
    <row r="216" spans="1:11" outlineLevel="1" x14ac:dyDescent="0.25">
      <c r="A216" s="59"/>
      <c r="B216" s="131"/>
      <c r="C216" s="131"/>
      <c r="D216" s="131"/>
      <c r="E216" s="131"/>
      <c r="F216" s="131"/>
      <c r="G216" s="131"/>
      <c r="H216" s="131"/>
      <c r="I216" s="131"/>
      <c r="J216" s="131"/>
      <c r="K216" s="131"/>
    </row>
    <row r="217" spans="1:11" outlineLevel="1" x14ac:dyDescent="0.25">
      <c r="A217" s="59"/>
      <c r="B217" s="131"/>
      <c r="C217" s="131"/>
      <c r="D217" s="131"/>
      <c r="E217" s="131"/>
      <c r="F217" s="131"/>
      <c r="G217" s="131"/>
      <c r="H217" s="131"/>
      <c r="I217" s="131"/>
      <c r="J217" s="131"/>
      <c r="K217" s="131"/>
    </row>
    <row r="218" spans="1:11" outlineLevel="1" x14ac:dyDescent="0.25">
      <c r="A218" s="59"/>
      <c r="B218" s="131"/>
      <c r="C218" s="131"/>
      <c r="D218" s="131"/>
      <c r="E218" s="131"/>
      <c r="F218" s="131"/>
      <c r="G218" s="131"/>
      <c r="H218" s="131"/>
      <c r="I218" s="131"/>
      <c r="J218" s="131"/>
      <c r="K218" s="131"/>
    </row>
    <row r="219" spans="1:11" outlineLevel="1" x14ac:dyDescent="0.25">
      <c r="A219" s="59"/>
      <c r="B219" s="131"/>
      <c r="C219" s="131"/>
      <c r="D219" s="131"/>
      <c r="E219" s="131"/>
      <c r="F219" s="131"/>
      <c r="G219" s="131"/>
      <c r="H219" s="131"/>
      <c r="I219" s="131"/>
      <c r="J219" s="131"/>
      <c r="K219" s="131"/>
    </row>
    <row r="220" spans="1:11" outlineLevel="1" x14ac:dyDescent="0.25">
      <c r="A220" s="59"/>
      <c r="B220" s="131"/>
      <c r="C220" s="131"/>
      <c r="D220" s="131"/>
      <c r="E220" s="131"/>
      <c r="F220" s="131"/>
      <c r="G220" s="131"/>
      <c r="H220" s="131"/>
      <c r="I220" s="131"/>
      <c r="J220" s="131"/>
      <c r="K220" s="131"/>
    </row>
    <row r="221" spans="1:11" outlineLevel="1" x14ac:dyDescent="0.25">
      <c r="A221" s="59"/>
      <c r="B221" s="131"/>
      <c r="C221" s="131"/>
      <c r="D221" s="131"/>
      <c r="E221" s="131"/>
      <c r="F221" s="131"/>
      <c r="G221" s="131"/>
      <c r="H221" s="131"/>
      <c r="I221" s="131"/>
      <c r="J221" s="131"/>
      <c r="K221" s="131"/>
    </row>
    <row r="222" spans="1:11" outlineLevel="1" x14ac:dyDescent="0.25">
      <c r="A222" s="59"/>
      <c r="B222" s="131"/>
      <c r="C222" s="131"/>
      <c r="D222" s="131"/>
      <c r="E222" s="131"/>
      <c r="F222" s="131"/>
      <c r="G222" s="131"/>
      <c r="H222" s="131"/>
      <c r="I222" s="131"/>
      <c r="J222" s="131"/>
      <c r="K222" s="131"/>
    </row>
    <row r="223" spans="1:11" outlineLevel="1" x14ac:dyDescent="0.25">
      <c r="A223" s="59"/>
      <c r="B223" s="131"/>
      <c r="C223" s="131"/>
      <c r="D223" s="131"/>
      <c r="E223" s="131"/>
      <c r="F223" s="131"/>
      <c r="G223" s="131"/>
      <c r="H223" s="131"/>
      <c r="I223" s="131"/>
      <c r="J223" s="131"/>
      <c r="K223" s="131"/>
    </row>
    <row r="224" spans="1:11" outlineLevel="1" x14ac:dyDescent="0.25">
      <c r="A224" s="59"/>
      <c r="B224" s="131"/>
      <c r="C224" s="131"/>
      <c r="D224" s="131"/>
      <c r="E224" s="131"/>
      <c r="F224" s="131"/>
      <c r="G224" s="131"/>
      <c r="H224" s="131"/>
      <c r="I224" s="131"/>
      <c r="J224" s="131"/>
      <c r="K224" s="131"/>
    </row>
    <row r="225" spans="1:11" outlineLevel="1" x14ac:dyDescent="0.25">
      <c r="A225" s="59"/>
      <c r="B225" s="131"/>
      <c r="C225" s="131"/>
      <c r="D225" s="131"/>
      <c r="E225" s="131"/>
      <c r="F225" s="131"/>
      <c r="G225" s="131"/>
      <c r="H225" s="131"/>
      <c r="I225" s="131"/>
      <c r="J225" s="131"/>
      <c r="K225" s="131"/>
    </row>
    <row r="226" spans="1:11" outlineLevel="1" x14ac:dyDescent="0.25">
      <c r="A226" s="59"/>
      <c r="B226" s="131"/>
      <c r="C226" s="131"/>
      <c r="D226" s="131"/>
      <c r="E226" s="131"/>
      <c r="F226" s="131"/>
      <c r="G226" s="131"/>
      <c r="H226" s="131"/>
      <c r="I226" s="131"/>
      <c r="J226" s="131"/>
      <c r="K226" s="131"/>
    </row>
    <row r="227" spans="1:11" outlineLevel="1" x14ac:dyDescent="0.25">
      <c r="A227" s="59"/>
      <c r="B227" s="131"/>
      <c r="C227" s="131"/>
      <c r="D227" s="131"/>
      <c r="E227" s="131"/>
      <c r="F227" s="131"/>
      <c r="G227" s="131"/>
      <c r="H227" s="131"/>
      <c r="I227" s="131"/>
      <c r="J227" s="131"/>
      <c r="K227" s="131"/>
    </row>
    <row r="228" spans="1:11" outlineLevel="1" x14ac:dyDescent="0.25">
      <c r="A228" s="59"/>
      <c r="B228" s="131"/>
      <c r="C228" s="131"/>
      <c r="D228" s="131"/>
      <c r="E228" s="131"/>
      <c r="F228" s="131"/>
      <c r="G228" s="131"/>
      <c r="H228" s="131"/>
      <c r="I228" s="131"/>
      <c r="J228" s="131"/>
      <c r="K228" s="131"/>
    </row>
    <row r="229" spans="1:11" outlineLevel="1" x14ac:dyDescent="0.25">
      <c r="A229" s="59"/>
      <c r="B229" s="131"/>
      <c r="C229" s="131"/>
      <c r="D229" s="131"/>
      <c r="E229" s="131"/>
      <c r="F229" s="131"/>
      <c r="G229" s="131"/>
      <c r="H229" s="131"/>
      <c r="I229" s="131"/>
      <c r="J229" s="131"/>
      <c r="K229" s="131"/>
    </row>
    <row r="230" spans="1:11" outlineLevel="1" x14ac:dyDescent="0.25">
      <c r="A230" s="59"/>
      <c r="B230" s="131"/>
      <c r="C230" s="131"/>
      <c r="D230" s="131"/>
      <c r="E230" s="131"/>
      <c r="F230" s="131"/>
      <c r="G230" s="131"/>
      <c r="H230" s="131"/>
      <c r="I230" s="131"/>
      <c r="J230" s="131"/>
      <c r="K230" s="131"/>
    </row>
    <row r="231" spans="1:11" outlineLevel="1" x14ac:dyDescent="0.25">
      <c r="A231" s="59"/>
      <c r="B231" s="131"/>
      <c r="C231" s="131"/>
      <c r="D231" s="131"/>
      <c r="E231" s="131"/>
      <c r="F231" s="131"/>
      <c r="G231" s="131"/>
      <c r="H231" s="131"/>
      <c r="I231" s="131"/>
      <c r="J231" s="131"/>
      <c r="K231" s="131"/>
    </row>
    <row r="232" spans="1:11" outlineLevel="1" x14ac:dyDescent="0.25">
      <c r="A232" s="59"/>
      <c r="B232" s="131"/>
      <c r="C232" s="131"/>
      <c r="D232" s="131"/>
      <c r="E232" s="131"/>
      <c r="F232" s="131"/>
      <c r="G232" s="131"/>
      <c r="H232" s="131"/>
      <c r="I232" s="131"/>
      <c r="J232" s="131"/>
      <c r="K232" s="131"/>
    </row>
    <row r="233" spans="1:11" outlineLevel="1" x14ac:dyDescent="0.25">
      <c r="A233" s="59"/>
      <c r="B233" s="131"/>
      <c r="C233" s="131"/>
      <c r="D233" s="131"/>
      <c r="E233" s="131"/>
      <c r="F233" s="131"/>
      <c r="G233" s="131"/>
      <c r="H233" s="131"/>
      <c r="I233" s="131"/>
      <c r="J233" s="131"/>
      <c r="K233" s="131"/>
    </row>
    <row r="234" spans="1:11" outlineLevel="1" x14ac:dyDescent="0.25">
      <c r="A234" s="59"/>
      <c r="B234" s="131"/>
      <c r="C234" s="131"/>
      <c r="D234" s="131"/>
      <c r="E234" s="131"/>
      <c r="F234" s="131"/>
      <c r="G234" s="131"/>
      <c r="H234" s="131"/>
      <c r="I234" s="131"/>
      <c r="J234" s="131"/>
      <c r="K234" s="131"/>
    </row>
    <row r="235" spans="1:11" outlineLevel="1" x14ac:dyDescent="0.25">
      <c r="A235" s="59"/>
      <c r="B235" s="131"/>
      <c r="C235" s="131"/>
      <c r="D235" s="131"/>
      <c r="E235" s="131"/>
      <c r="F235" s="131"/>
      <c r="G235" s="131"/>
      <c r="H235" s="131"/>
      <c r="I235" s="131"/>
      <c r="J235" s="131"/>
      <c r="K235" s="131"/>
    </row>
    <row r="236" spans="1:11" outlineLevel="1" x14ac:dyDescent="0.25">
      <c r="A236" s="59"/>
      <c r="B236" s="131"/>
      <c r="C236" s="131"/>
      <c r="D236" s="131"/>
      <c r="E236" s="131"/>
      <c r="F236" s="131"/>
      <c r="G236" s="131"/>
      <c r="H236" s="131"/>
      <c r="I236" s="131"/>
      <c r="J236" s="131"/>
      <c r="K236" s="131"/>
    </row>
    <row r="237" spans="1:11" outlineLevel="1" x14ac:dyDescent="0.25">
      <c r="A237" s="59"/>
      <c r="B237" s="131"/>
      <c r="C237" s="131"/>
      <c r="D237" s="131"/>
      <c r="E237" s="131"/>
      <c r="F237" s="131"/>
      <c r="G237" s="131"/>
      <c r="H237" s="131"/>
      <c r="I237" s="131"/>
      <c r="J237" s="131"/>
      <c r="K237" s="131"/>
    </row>
    <row r="238" spans="1:11" outlineLevel="1" x14ac:dyDescent="0.25">
      <c r="A238" s="59"/>
      <c r="B238" s="131"/>
      <c r="C238" s="131"/>
      <c r="D238" s="131"/>
      <c r="E238" s="131"/>
      <c r="F238" s="131"/>
      <c r="G238" s="131"/>
      <c r="H238" s="131"/>
      <c r="I238" s="131"/>
      <c r="J238" s="131"/>
      <c r="K238" s="131"/>
    </row>
    <row r="239" spans="1:11" outlineLevel="1" x14ac:dyDescent="0.25">
      <c r="A239" s="59"/>
      <c r="B239" s="131"/>
      <c r="C239" s="131"/>
      <c r="D239" s="131"/>
      <c r="E239" s="131"/>
      <c r="F239" s="131"/>
      <c r="G239" s="131"/>
      <c r="H239" s="131"/>
      <c r="I239" s="131"/>
      <c r="J239" s="131"/>
      <c r="K239" s="131"/>
    </row>
    <row r="240" spans="1:11" outlineLevel="1" x14ac:dyDescent="0.25">
      <c r="A240" s="59"/>
      <c r="B240" s="131"/>
      <c r="C240" s="131"/>
      <c r="D240" s="131"/>
      <c r="E240" s="131"/>
      <c r="F240" s="131"/>
      <c r="G240" s="131"/>
      <c r="H240" s="131"/>
      <c r="I240" s="131"/>
      <c r="J240" s="131"/>
      <c r="K240" s="131"/>
    </row>
    <row r="241" spans="1:11" outlineLevel="1" x14ac:dyDescent="0.25">
      <c r="A241" s="59"/>
      <c r="B241" s="131"/>
      <c r="C241" s="131"/>
      <c r="D241" s="131"/>
      <c r="E241" s="131"/>
      <c r="F241" s="131"/>
      <c r="G241" s="131"/>
      <c r="H241" s="131"/>
      <c r="I241" s="131"/>
      <c r="J241" s="131"/>
      <c r="K241" s="131"/>
    </row>
    <row r="242" spans="1:11" outlineLevel="1" x14ac:dyDescent="0.25">
      <c r="A242" s="59"/>
      <c r="B242" s="131"/>
      <c r="C242" s="131"/>
      <c r="D242" s="131"/>
      <c r="E242" s="131"/>
      <c r="F242" s="131"/>
      <c r="G242" s="131"/>
      <c r="H242" s="131"/>
      <c r="I242" s="131"/>
      <c r="J242" s="131"/>
      <c r="K242" s="131"/>
    </row>
    <row r="243" spans="1:11" outlineLevel="1" x14ac:dyDescent="0.25">
      <c r="A243" s="59"/>
      <c r="B243" s="131"/>
      <c r="C243" s="131"/>
      <c r="D243" s="131"/>
      <c r="E243" s="131"/>
      <c r="F243" s="131"/>
      <c r="G243" s="131"/>
      <c r="H243" s="131"/>
      <c r="I243" s="131"/>
      <c r="J243" s="131"/>
      <c r="K243" s="131"/>
    </row>
    <row r="244" spans="1:11" outlineLevel="1" x14ac:dyDescent="0.25">
      <c r="A244" s="59"/>
      <c r="B244" s="131"/>
      <c r="C244" s="131"/>
      <c r="D244" s="131"/>
      <c r="E244" s="131"/>
      <c r="F244" s="131"/>
      <c r="G244" s="131"/>
      <c r="H244" s="131"/>
      <c r="I244" s="131"/>
      <c r="J244" s="131"/>
      <c r="K244" s="131"/>
    </row>
    <row r="245" spans="1:11" outlineLevel="1" x14ac:dyDescent="0.25">
      <c r="A245" s="59"/>
      <c r="B245" s="131"/>
      <c r="C245" s="131"/>
      <c r="D245" s="131"/>
      <c r="E245" s="131"/>
      <c r="F245" s="131"/>
      <c r="G245" s="131"/>
      <c r="H245" s="131"/>
      <c r="I245" s="131"/>
      <c r="J245" s="131"/>
      <c r="K245" s="131"/>
    </row>
    <row r="246" spans="1:11" outlineLevel="1" x14ac:dyDescent="0.25">
      <c r="A246" s="59"/>
      <c r="B246" s="131"/>
      <c r="C246" s="131"/>
      <c r="D246" s="131"/>
      <c r="E246" s="131"/>
      <c r="F246" s="131"/>
      <c r="G246" s="131"/>
      <c r="H246" s="131"/>
      <c r="I246" s="131"/>
      <c r="J246" s="131"/>
      <c r="K246" s="131"/>
    </row>
    <row r="247" spans="1:11" outlineLevel="1" x14ac:dyDescent="0.25">
      <c r="A247" s="59"/>
      <c r="B247" s="131"/>
      <c r="C247" s="131"/>
      <c r="D247" s="131"/>
      <c r="E247" s="131"/>
      <c r="F247" s="131"/>
      <c r="G247" s="131"/>
      <c r="H247" s="131"/>
      <c r="I247" s="131"/>
      <c r="J247" s="131"/>
      <c r="K247" s="131"/>
    </row>
    <row r="248" spans="1:11" outlineLevel="1" x14ac:dyDescent="0.25">
      <c r="A248" s="59"/>
      <c r="B248" s="131"/>
      <c r="C248" s="131"/>
      <c r="D248" s="131"/>
      <c r="E248" s="131"/>
      <c r="F248" s="131"/>
      <c r="G248" s="131"/>
      <c r="H248" s="131"/>
      <c r="I248" s="131"/>
      <c r="J248" s="131"/>
      <c r="K248" s="131"/>
    </row>
    <row r="249" spans="1:11" outlineLevel="1" x14ac:dyDescent="0.25">
      <c r="A249" s="59"/>
      <c r="B249" s="131"/>
      <c r="C249" s="131"/>
      <c r="D249" s="131"/>
      <c r="E249" s="131"/>
      <c r="F249" s="131"/>
      <c r="G249" s="131"/>
      <c r="H249" s="131"/>
      <c r="I249" s="131"/>
      <c r="J249" s="131"/>
      <c r="K249" s="131"/>
    </row>
    <row r="250" spans="1:11" outlineLevel="1" x14ac:dyDescent="0.25">
      <c r="A250" s="59"/>
      <c r="B250" s="131"/>
      <c r="C250" s="131"/>
      <c r="D250" s="131"/>
      <c r="E250" s="131"/>
      <c r="F250" s="131"/>
      <c r="G250" s="131"/>
      <c r="H250" s="131"/>
      <c r="I250" s="131"/>
      <c r="J250" s="131"/>
      <c r="K250" s="131"/>
    </row>
    <row r="251" spans="1:11" outlineLevel="1" x14ac:dyDescent="0.25">
      <c r="A251" s="59"/>
      <c r="B251" s="131"/>
      <c r="C251" s="131"/>
      <c r="D251" s="131"/>
      <c r="E251" s="131"/>
      <c r="F251" s="131"/>
      <c r="G251" s="131"/>
      <c r="H251" s="131"/>
      <c r="I251" s="131"/>
      <c r="J251" s="131"/>
      <c r="K251" s="131"/>
    </row>
    <row r="252" spans="1:11" outlineLevel="1" x14ac:dyDescent="0.25">
      <c r="A252" s="59"/>
      <c r="B252" s="131"/>
      <c r="C252" s="131"/>
      <c r="D252" s="131"/>
      <c r="E252" s="131"/>
      <c r="F252" s="131"/>
      <c r="G252" s="131"/>
      <c r="H252" s="131"/>
      <c r="I252" s="131"/>
      <c r="J252" s="131"/>
      <c r="K252" s="131"/>
    </row>
    <row r="253" spans="1:11" outlineLevel="1" x14ac:dyDescent="0.25">
      <c r="A253" s="59"/>
      <c r="B253" s="131"/>
      <c r="C253" s="131"/>
      <c r="D253" s="131"/>
      <c r="E253" s="131"/>
      <c r="F253" s="131"/>
      <c r="G253" s="131"/>
      <c r="H253" s="131"/>
      <c r="I253" s="131"/>
      <c r="J253" s="131"/>
      <c r="K253" s="131"/>
    </row>
    <row r="254" spans="1:11" outlineLevel="1" x14ac:dyDescent="0.25">
      <c r="A254" s="59"/>
      <c r="B254" s="131"/>
      <c r="C254" s="131"/>
      <c r="D254" s="131"/>
      <c r="E254" s="131"/>
      <c r="F254" s="131"/>
      <c r="G254" s="131"/>
      <c r="H254" s="131"/>
      <c r="I254" s="131"/>
      <c r="J254" s="131"/>
      <c r="K254" s="131"/>
    </row>
    <row r="255" spans="1:11" outlineLevel="1" x14ac:dyDescent="0.25">
      <c r="A255" s="59"/>
      <c r="B255" s="131"/>
      <c r="C255" s="131"/>
      <c r="D255" s="131"/>
      <c r="E255" s="131"/>
      <c r="F255" s="131"/>
      <c r="G255" s="131"/>
      <c r="H255" s="131"/>
      <c r="I255" s="131"/>
      <c r="J255" s="131"/>
      <c r="K255" s="131"/>
    </row>
    <row r="256" spans="1:11" outlineLevel="1" x14ac:dyDescent="0.25">
      <c r="A256" s="59"/>
      <c r="B256" s="131"/>
      <c r="C256" s="131"/>
      <c r="D256" s="131"/>
      <c r="E256" s="131"/>
      <c r="F256" s="131"/>
      <c r="G256" s="131"/>
      <c r="H256" s="131"/>
      <c r="I256" s="131"/>
      <c r="J256" s="131"/>
      <c r="K256" s="131"/>
    </row>
    <row r="257" spans="1:11" outlineLevel="1" x14ac:dyDescent="0.25">
      <c r="A257" s="59"/>
      <c r="B257" s="131"/>
      <c r="C257" s="131"/>
      <c r="D257" s="131"/>
      <c r="E257" s="131"/>
      <c r="F257" s="131"/>
      <c r="G257" s="131"/>
      <c r="H257" s="131"/>
      <c r="I257" s="131"/>
      <c r="J257" s="131"/>
      <c r="K257" s="131"/>
    </row>
    <row r="258" spans="1:11" x14ac:dyDescent="0.25">
      <c r="A258" s="59"/>
      <c r="B258" s="131"/>
      <c r="C258" s="131"/>
      <c r="D258" s="131"/>
      <c r="E258" s="131"/>
      <c r="F258" s="131"/>
      <c r="G258" s="131"/>
      <c r="H258" s="131"/>
      <c r="I258" s="131"/>
      <c r="J258" s="131"/>
      <c r="K258" s="131"/>
    </row>
    <row r="259" spans="1:11" x14ac:dyDescent="0.25">
      <c r="A259" s="59"/>
      <c r="B259" s="131"/>
      <c r="C259" s="131"/>
      <c r="D259" s="131"/>
      <c r="E259" s="131"/>
      <c r="F259" s="131"/>
      <c r="G259" s="131"/>
      <c r="H259" s="131"/>
      <c r="I259" s="131"/>
      <c r="J259" s="131"/>
      <c r="K259" s="131"/>
    </row>
  </sheetData>
  <mergeCells count="2">
    <mergeCell ref="A1:K1"/>
    <mergeCell ref="E4:K5"/>
  </mergeCells>
  <printOptions headings="1" gridLines="1"/>
  <pageMargins left="0.70866141732283505" right="0.70866141732283505" top="0.74803149606299202" bottom="0.74803149606299202" header="0.31496062992126" footer="0.31496062992126"/>
  <pageSetup orientation="portrait" cellComments="atEnd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53639-E2C0-4533-A660-233D525341BF}">
  <dimension ref="A1:D65"/>
  <sheetViews>
    <sheetView workbookViewId="0">
      <selection activeCell="Q12" sqref="Q12"/>
    </sheetView>
  </sheetViews>
  <sheetFormatPr defaultColWidth="8.77734375" defaultRowHeight="13.2" x14ac:dyDescent="0.25"/>
  <cols>
    <col min="1" max="16384" width="8.77734375" style="102"/>
  </cols>
  <sheetData>
    <row r="1" spans="1:4" ht="16.8" thickBot="1" x14ac:dyDescent="0.5">
      <c r="A1" s="132" t="s">
        <v>25</v>
      </c>
    </row>
    <row r="2" spans="1:4" ht="13.8" thickBot="1" x14ac:dyDescent="0.3">
      <c r="A2" s="110"/>
      <c r="B2" s="112" t="s">
        <v>3</v>
      </c>
      <c r="C2" s="112" t="s">
        <v>4</v>
      </c>
      <c r="D2" s="113"/>
    </row>
    <row r="3" spans="1:4" ht="13.8" thickBot="1" x14ac:dyDescent="0.3">
      <c r="A3" s="133" t="str">
        <f ca="1">IFERROR(__xludf.DUMMYFUNCTION("GOOGLEFINANCE(""NYSE:BAC"", ""price"", DATE(2019,1,1), DATE(2019, 12, 31), ""DAILY"")"),"Date")</f>
        <v>Date</v>
      </c>
      <c r="B3" s="134" t="str">
        <f ca="1">IFERROR(__xludf.DUMMYFUNCTION("""COMPUTED_VALUE"""),"Close")</f>
        <v>Close</v>
      </c>
      <c r="C3" s="134" t="str">
        <f ca="1">IFERROR(__xludf.DUMMYFUNCTION("""COMPUTED_VALUE"""),"Close")</f>
        <v>Close</v>
      </c>
      <c r="D3" s="135"/>
    </row>
    <row r="4" spans="1:4" ht="13.8" thickBot="1" x14ac:dyDescent="0.3">
      <c r="A4" s="118">
        <v>44564.666666666664</v>
      </c>
      <c r="B4" s="115">
        <v>46.18</v>
      </c>
      <c r="C4" s="116">
        <f ca="1">IFERROR(__xludf.DUMMYFUNCTION("""COMPUTED_VALUE"""),55.66)</f>
        <v>55.66</v>
      </c>
    </row>
    <row r="5" spans="1:4" ht="13.8" thickBot="1" x14ac:dyDescent="0.3">
      <c r="A5" s="118">
        <v>44565.666666666664</v>
      </c>
      <c r="B5" s="115">
        <v>47.99</v>
      </c>
      <c r="C5" s="116">
        <f ca="1">IFERROR(__xludf.DUMMYFUNCTION("""COMPUTED_VALUE"""),56.44)</f>
        <v>56.44</v>
      </c>
    </row>
    <row r="6" spans="1:4" ht="13.8" thickBot="1" x14ac:dyDescent="0.3">
      <c r="A6" s="118">
        <v>44566.666666666664</v>
      </c>
      <c r="B6" s="115">
        <v>47.18</v>
      </c>
      <c r="C6" s="116">
        <f ca="1">IFERROR(__xludf.DUMMYFUNCTION("""COMPUTED_VALUE"""),56.44)</f>
        <v>56.44</v>
      </c>
    </row>
    <row r="7" spans="1:4" ht="13.8" thickBot="1" x14ac:dyDescent="0.3">
      <c r="A7" s="118">
        <v>44567.666666666664</v>
      </c>
      <c r="B7" s="115">
        <v>48.13</v>
      </c>
      <c r="C7" s="116">
        <f ca="1">IFERROR(__xludf.DUMMYFUNCTION("""COMPUTED_VALUE"""),57.25)</f>
        <v>57.25</v>
      </c>
    </row>
    <row r="8" spans="1:4" ht="13.8" thickBot="1" x14ac:dyDescent="0.3">
      <c r="A8" s="118">
        <v>44568.666666666664</v>
      </c>
      <c r="B8" s="115">
        <v>49.18</v>
      </c>
      <c r="C8" s="116">
        <f ca="1">IFERROR(__xludf.DUMMYFUNCTION("""COMPUTED_VALUE"""),58.53)</f>
        <v>58.53</v>
      </c>
    </row>
    <row r="9" spans="1:4" ht="13.8" thickBot="1" x14ac:dyDescent="0.3">
      <c r="A9" s="118">
        <v>44571.666666666664</v>
      </c>
      <c r="B9" s="115">
        <v>48.93</v>
      </c>
      <c r="C9" s="116">
        <f ca="1">IFERROR(__xludf.DUMMYFUNCTION("""COMPUTED_VALUE"""),58.18)</f>
        <v>58.18</v>
      </c>
    </row>
    <row r="10" spans="1:4" ht="13.8" thickBot="1" x14ac:dyDescent="0.3">
      <c r="A10" s="118">
        <v>44572.666666666664</v>
      </c>
      <c r="B10" s="115">
        <v>49.21</v>
      </c>
      <c r="C10" s="116">
        <f ca="1">IFERROR(__xludf.DUMMYFUNCTION("""COMPUTED_VALUE"""),58.65)</f>
        <v>58.65</v>
      </c>
    </row>
    <row r="11" spans="1:4" ht="13.8" thickBot="1" x14ac:dyDescent="0.3">
      <c r="A11" s="118">
        <v>44573.666666666664</v>
      </c>
      <c r="B11" s="115">
        <v>48.86</v>
      </c>
      <c r="C11" s="116">
        <f ca="1">IFERROR(__xludf.DUMMYFUNCTION("""COMPUTED_VALUE"""),58.93)</f>
        <v>58.93</v>
      </c>
    </row>
    <row r="12" spans="1:4" ht="13.8" thickBot="1" x14ac:dyDescent="0.3">
      <c r="A12" s="118">
        <v>44574.666666666664</v>
      </c>
      <c r="B12" s="115">
        <v>48.76</v>
      </c>
      <c r="C12" s="116">
        <f ca="1">IFERROR(__xludf.DUMMYFUNCTION("""COMPUTED_VALUE"""),58.98)</f>
        <v>58.98</v>
      </c>
    </row>
    <row r="13" spans="1:4" ht="13.8" thickBot="1" x14ac:dyDescent="0.3">
      <c r="A13" s="118">
        <v>44575.666666666664</v>
      </c>
      <c r="B13" s="115">
        <v>47.91</v>
      </c>
      <c r="C13" s="116">
        <f ca="1">IFERROR(__xludf.DUMMYFUNCTION("""COMPUTED_VALUE"""),57.71)</f>
        <v>57.71</v>
      </c>
    </row>
    <row r="14" spans="1:4" ht="13.8" thickBot="1" x14ac:dyDescent="0.3">
      <c r="A14" s="118">
        <v>44579.666666666664</v>
      </c>
      <c r="B14" s="115">
        <v>46.26</v>
      </c>
      <c r="C14" s="116">
        <f ca="1">IFERROR(__xludf.DUMMYFUNCTION("""COMPUTED_VALUE"""),58.76)</f>
        <v>58.76</v>
      </c>
    </row>
    <row r="15" spans="1:4" ht="13.8" thickBot="1" x14ac:dyDescent="0.3">
      <c r="A15" s="118">
        <v>44580.666666666664</v>
      </c>
      <c r="B15" s="115">
        <v>46.44</v>
      </c>
      <c r="C15" s="116">
        <f ca="1">IFERROR(__xludf.DUMMYFUNCTION("""COMPUTED_VALUE"""),57.94)</f>
        <v>57.94</v>
      </c>
    </row>
    <row r="16" spans="1:4" ht="13.8" thickBot="1" x14ac:dyDescent="0.3">
      <c r="A16" s="118">
        <v>44581.666666666664</v>
      </c>
      <c r="B16" s="115">
        <v>45.75</v>
      </c>
      <c r="C16" s="136">
        <f ca="1">IFERROR(__xludf.DUMMYFUNCTION("""COMPUTED_VALUE"""),57)</f>
        <v>57</v>
      </c>
    </row>
    <row r="17" spans="1:3" ht="13.8" thickBot="1" x14ac:dyDescent="0.3">
      <c r="A17" s="118">
        <v>44582.666666666664</v>
      </c>
      <c r="B17" s="115">
        <v>44.92</v>
      </c>
      <c r="C17" s="116">
        <f ca="1">IFERROR(__xludf.DUMMYFUNCTION("""COMPUTED_VALUE"""),57.52)</f>
        <v>57.52</v>
      </c>
    </row>
    <row r="18" spans="1:3" ht="13.8" thickBot="1" x14ac:dyDescent="0.3">
      <c r="A18" s="118">
        <v>44585.666666666664</v>
      </c>
      <c r="B18" s="115">
        <v>44.55</v>
      </c>
      <c r="C18" s="116">
        <f ca="1">IFERROR(__xludf.DUMMYFUNCTION("""COMPUTED_VALUE"""),56.58)</f>
        <v>56.58</v>
      </c>
    </row>
    <row r="19" spans="1:3" ht="13.8" thickBot="1" x14ac:dyDescent="0.3">
      <c r="A19" s="118">
        <v>44586.666666666664</v>
      </c>
      <c r="B19" s="115">
        <v>45.43</v>
      </c>
      <c r="C19" s="116">
        <f ca="1">IFERROR(__xludf.DUMMYFUNCTION("""COMPUTED_VALUE"""),54.02)</f>
        <v>54.02</v>
      </c>
    </row>
    <row r="20" spans="1:3" ht="13.8" thickBot="1" x14ac:dyDescent="0.3">
      <c r="A20" s="118">
        <v>44587.666666666664</v>
      </c>
      <c r="B20" s="115">
        <v>45.9</v>
      </c>
      <c r="C20" s="116">
        <f ca="1">IFERROR(__xludf.DUMMYFUNCTION("""COMPUTED_VALUE"""),55.75)</f>
        <v>55.75</v>
      </c>
    </row>
    <row r="21" spans="1:3" ht="13.8" thickBot="1" x14ac:dyDescent="0.3">
      <c r="A21" s="118">
        <v>44588.666666666664</v>
      </c>
      <c r="B21" s="115">
        <v>45.47</v>
      </c>
      <c r="C21" s="116">
        <f ca="1">IFERROR(__xludf.DUMMYFUNCTION("""COMPUTED_VALUE"""),58.02)</f>
        <v>58.02</v>
      </c>
    </row>
    <row r="22" spans="1:3" ht="13.8" thickBot="1" x14ac:dyDescent="0.3">
      <c r="A22" s="118">
        <v>44589.666666666664</v>
      </c>
      <c r="B22" s="115">
        <v>45.87</v>
      </c>
      <c r="C22" s="116">
        <f ca="1">IFERROR(__xludf.DUMMYFUNCTION("""COMPUTED_VALUE"""),58.34)</f>
        <v>58.34</v>
      </c>
    </row>
    <row r="23" spans="1:3" ht="13.8" thickBot="1" x14ac:dyDescent="0.3">
      <c r="A23" s="118">
        <v>44592.666666666664</v>
      </c>
      <c r="B23" s="115">
        <v>46.14</v>
      </c>
      <c r="C23" s="116">
        <f ca="1">IFERROR(__xludf.DUMMYFUNCTION("""COMPUTED_VALUE"""),57.18)</f>
        <v>57.18</v>
      </c>
    </row>
    <row r="24" spans="1:3" ht="13.8" thickBot="1" x14ac:dyDescent="0.3">
      <c r="A24" s="118">
        <v>44593.666666666664</v>
      </c>
      <c r="B24" s="115">
        <v>46.94</v>
      </c>
      <c r="C24" s="116">
        <f ca="1">IFERROR(__xludf.DUMMYFUNCTION("""COMPUTED_VALUE"""),57.34)</f>
        <v>57.34</v>
      </c>
    </row>
    <row r="25" spans="1:3" ht="13.8" thickBot="1" x14ac:dyDescent="0.3">
      <c r="A25" s="118">
        <v>44594.666666666664</v>
      </c>
      <c r="B25" s="115">
        <v>46.89</v>
      </c>
      <c r="C25" s="116">
        <f ca="1">IFERROR(__xludf.DUMMYFUNCTION("""COMPUTED_VALUE"""),58.59)</f>
        <v>58.59</v>
      </c>
    </row>
    <row r="26" spans="1:3" ht="13.8" thickBot="1" x14ac:dyDescent="0.3">
      <c r="A26" s="118">
        <v>44595.666666666664</v>
      </c>
      <c r="B26" s="115">
        <v>46.43</v>
      </c>
      <c r="C26" s="116">
        <f ca="1">IFERROR(__xludf.DUMMYFUNCTION("""COMPUTED_VALUE"""),58.07)</f>
        <v>58.07</v>
      </c>
    </row>
    <row r="27" spans="1:3" ht="13.8" thickBot="1" x14ac:dyDescent="0.3">
      <c r="A27" s="118">
        <v>44596.666666666664</v>
      </c>
      <c r="B27" s="115">
        <v>48.28</v>
      </c>
      <c r="C27" s="116">
        <f ca="1">IFERROR(__xludf.DUMMYFUNCTION("""COMPUTED_VALUE"""),57.77)</f>
        <v>57.77</v>
      </c>
    </row>
    <row r="28" spans="1:3" ht="13.8" thickBot="1" x14ac:dyDescent="0.3">
      <c r="A28" s="118">
        <v>44599.666666666664</v>
      </c>
      <c r="B28" s="115">
        <v>48.51</v>
      </c>
      <c r="C28" s="116">
        <f ca="1">IFERROR(__xludf.DUMMYFUNCTION("""COMPUTED_VALUE"""),56.97)</f>
        <v>56.97</v>
      </c>
    </row>
    <row r="29" spans="1:3" ht="13.8" thickBot="1" x14ac:dyDescent="0.3">
      <c r="A29" s="118">
        <v>44600.666666666664</v>
      </c>
      <c r="B29" s="115">
        <v>49.38</v>
      </c>
      <c r="C29" s="116">
        <f ca="1">IFERROR(__xludf.DUMMYFUNCTION("""COMPUTED_VALUE"""),57.7)</f>
        <v>57.7</v>
      </c>
    </row>
    <row r="30" spans="1:3" ht="13.8" thickBot="1" x14ac:dyDescent="0.3">
      <c r="A30" s="118">
        <v>44601.666666666664</v>
      </c>
      <c r="B30" s="115">
        <v>49.28</v>
      </c>
      <c r="C30" s="116">
        <f ca="1">IFERROR(__xludf.DUMMYFUNCTION("""COMPUTED_VALUE"""),58.68)</f>
        <v>58.68</v>
      </c>
    </row>
    <row r="31" spans="1:3" ht="13.8" thickBot="1" x14ac:dyDescent="0.3">
      <c r="A31" s="118">
        <v>44602.666666666664</v>
      </c>
      <c r="B31" s="115">
        <v>49.05</v>
      </c>
      <c r="C31" s="116">
        <f ca="1">IFERROR(__xludf.DUMMYFUNCTION("""COMPUTED_VALUE"""),59.2)</f>
        <v>59.2</v>
      </c>
    </row>
    <row r="32" spans="1:3" ht="13.8" thickBot="1" x14ac:dyDescent="0.3">
      <c r="A32" s="118">
        <v>44603.666666666664</v>
      </c>
      <c r="B32" s="115">
        <v>47.92</v>
      </c>
      <c r="C32" s="116">
        <f ca="1">IFERROR(__xludf.DUMMYFUNCTION("""COMPUTED_VALUE"""),59.25)</f>
        <v>59.25</v>
      </c>
    </row>
    <row r="33" spans="1:3" ht="13.8" thickBot="1" x14ac:dyDescent="0.3">
      <c r="A33" s="118">
        <v>44606.666666666664</v>
      </c>
      <c r="B33" s="115">
        <v>47.42</v>
      </c>
      <c r="C33" s="116">
        <f ca="1">IFERROR(__xludf.DUMMYFUNCTION("""COMPUTED_VALUE"""),60.52)</f>
        <v>60.52</v>
      </c>
    </row>
    <row r="34" spans="1:3" ht="13.8" thickBot="1" x14ac:dyDescent="0.3">
      <c r="A34" s="118">
        <v>44607.666666666664</v>
      </c>
      <c r="B34" s="115">
        <v>47.79</v>
      </c>
      <c r="C34" s="116">
        <f ca="1">IFERROR(__xludf.DUMMYFUNCTION("""COMPUTED_VALUE"""),58.62)</f>
        <v>58.62</v>
      </c>
    </row>
    <row r="35" spans="1:3" ht="13.8" thickBot="1" x14ac:dyDescent="0.3">
      <c r="A35" s="118">
        <v>44608.666666666664</v>
      </c>
      <c r="B35" s="115">
        <v>47.68</v>
      </c>
      <c r="C35" s="116">
        <f ca="1">IFERROR(__xludf.DUMMYFUNCTION("""COMPUTED_VALUE"""),59.02)</f>
        <v>59.02</v>
      </c>
    </row>
    <row r="36" spans="1:3" ht="13.8" thickBot="1" x14ac:dyDescent="0.3">
      <c r="A36" s="118">
        <v>44609.666666666664</v>
      </c>
      <c r="B36" s="115">
        <v>46.07</v>
      </c>
      <c r="C36" s="116">
        <f ca="1">IFERROR(__xludf.DUMMYFUNCTION("""COMPUTED_VALUE"""),58.81)</f>
        <v>58.81</v>
      </c>
    </row>
    <row r="37" spans="1:3" ht="13.8" thickBot="1" x14ac:dyDescent="0.3">
      <c r="A37" s="118">
        <v>44610.666666666664</v>
      </c>
      <c r="B37" s="115">
        <v>45.96</v>
      </c>
      <c r="C37" s="116">
        <f ca="1">IFERROR(__xludf.DUMMYFUNCTION("""COMPUTED_VALUE"""),57.7)</f>
        <v>57.7</v>
      </c>
    </row>
    <row r="38" spans="1:3" ht="13.8" thickBot="1" x14ac:dyDescent="0.3">
      <c r="A38" s="118">
        <v>44614.666666666664</v>
      </c>
      <c r="B38" s="115">
        <v>45.56</v>
      </c>
      <c r="C38" s="116">
        <f ca="1">IFERROR(__xludf.DUMMYFUNCTION("""COMPUTED_VALUE"""),56.57)</f>
        <v>56.57</v>
      </c>
    </row>
    <row r="39" spans="1:3" ht="13.8" thickBot="1" x14ac:dyDescent="0.3">
      <c r="A39" s="118">
        <v>44615.666666666664</v>
      </c>
      <c r="B39" s="115">
        <v>44.78</v>
      </c>
      <c r="C39" s="116">
        <f ca="1">IFERROR(__xludf.DUMMYFUNCTION("""COMPUTED_VALUE"""),56.36)</f>
        <v>56.36</v>
      </c>
    </row>
    <row r="40" spans="1:3" ht="13.8" thickBot="1" x14ac:dyDescent="0.3">
      <c r="A40" s="118">
        <v>44616.666666666664</v>
      </c>
      <c r="B40" s="115">
        <v>43.6</v>
      </c>
      <c r="C40" s="116">
        <f ca="1">IFERROR(__xludf.DUMMYFUNCTION("""COMPUTED_VALUE"""),56.34)</f>
        <v>56.34</v>
      </c>
    </row>
    <row r="41" spans="1:3" ht="13.8" thickBot="1" x14ac:dyDescent="0.3">
      <c r="A41" s="118">
        <v>44617.666666666664</v>
      </c>
      <c r="B41" s="115">
        <v>45.02</v>
      </c>
      <c r="C41" s="116">
        <f ca="1">IFERROR(__xludf.DUMMYFUNCTION("""COMPUTED_VALUE"""),54.17)</f>
        <v>54.17</v>
      </c>
    </row>
    <row r="42" spans="1:3" ht="13.8" thickBot="1" x14ac:dyDescent="0.3">
      <c r="A42" s="118">
        <v>44620.666666666664</v>
      </c>
      <c r="B42" s="115">
        <v>44.2</v>
      </c>
      <c r="C42" s="116">
        <f ca="1">IFERROR(__xludf.DUMMYFUNCTION("""COMPUTED_VALUE"""),55.45)</f>
        <v>55.45</v>
      </c>
    </row>
    <row r="43" spans="1:3" ht="13.8" thickBot="1" x14ac:dyDescent="0.3">
      <c r="A43" s="118">
        <v>44621.666666666664</v>
      </c>
      <c r="B43" s="115">
        <v>42.47</v>
      </c>
      <c r="C43" s="116">
        <f ca="1">IFERROR(__xludf.DUMMYFUNCTION("""COMPUTED_VALUE"""),53.43)</f>
        <v>53.43</v>
      </c>
    </row>
    <row r="44" spans="1:3" ht="13.8" thickBot="1" x14ac:dyDescent="0.3">
      <c r="A44" s="118">
        <v>44622.666666666664</v>
      </c>
      <c r="B44" s="115">
        <v>43.16</v>
      </c>
      <c r="C44" s="116">
        <f ca="1">IFERROR(__xludf.DUMMYFUNCTION("""COMPUTED_VALUE"""),52.3)</f>
        <v>52.3</v>
      </c>
    </row>
    <row r="45" spans="1:3" ht="13.8" thickBot="1" x14ac:dyDescent="0.3">
      <c r="A45" s="118">
        <v>44623.666666666664</v>
      </c>
      <c r="B45" s="115">
        <v>42.49</v>
      </c>
      <c r="C45" s="116">
        <f ca="1">IFERROR(__xludf.DUMMYFUNCTION("""COMPUTED_VALUE"""),52.88)</f>
        <v>52.88</v>
      </c>
    </row>
    <row r="46" spans="1:3" ht="13.8" thickBot="1" x14ac:dyDescent="0.3">
      <c r="A46" s="118">
        <v>44624.666666666664</v>
      </c>
      <c r="B46" s="115">
        <v>40.950000000000003</v>
      </c>
      <c r="C46" s="116">
        <f ca="1">IFERROR(__xludf.DUMMYFUNCTION("""COMPUTED_VALUE"""),51.87)</f>
        <v>51.87</v>
      </c>
    </row>
    <row r="47" spans="1:3" ht="13.8" thickBot="1" x14ac:dyDescent="0.3">
      <c r="A47" s="118">
        <v>44627.666666666664</v>
      </c>
      <c r="B47" s="115">
        <v>38.340000000000003</v>
      </c>
      <c r="C47" s="116">
        <f ca="1">IFERROR(__xludf.DUMMYFUNCTION("""COMPUTED_VALUE"""),51.35)</f>
        <v>51.35</v>
      </c>
    </row>
    <row r="48" spans="1:3" ht="13.8" thickBot="1" x14ac:dyDescent="0.3">
      <c r="A48" s="118">
        <v>44628.666666666664</v>
      </c>
      <c r="B48" s="115">
        <v>38.590000000000003</v>
      </c>
      <c r="C48" s="116">
        <f ca="1">IFERROR(__xludf.DUMMYFUNCTION("""COMPUTED_VALUE"""),51.12)</f>
        <v>51.12</v>
      </c>
    </row>
    <row r="49" spans="1:3" ht="13.8" thickBot="1" x14ac:dyDescent="0.3">
      <c r="A49" s="118">
        <v>44629.666666666664</v>
      </c>
      <c r="B49" s="115">
        <v>41.04</v>
      </c>
      <c r="C49" s="116">
        <f ca="1">IFERROR(__xludf.DUMMYFUNCTION("""COMPUTED_VALUE"""),50.56)</f>
        <v>50.56</v>
      </c>
    </row>
    <row r="50" spans="1:3" ht="13.8" thickBot="1" x14ac:dyDescent="0.3">
      <c r="A50" s="118">
        <v>44630.666666666664</v>
      </c>
      <c r="B50" s="115">
        <v>40.67</v>
      </c>
      <c r="C50" s="116">
        <f ca="1">IFERROR(__xludf.DUMMYFUNCTION("""COMPUTED_VALUE"""),50.84)</f>
        <v>50.84</v>
      </c>
    </row>
    <row r="51" spans="1:3" ht="13.8" thickBot="1" x14ac:dyDescent="0.3">
      <c r="A51" s="118">
        <v>44631.666666666664</v>
      </c>
      <c r="B51" s="115">
        <v>40.33</v>
      </c>
      <c r="C51" s="116">
        <f ca="1">IFERROR(__xludf.DUMMYFUNCTION("""COMPUTED_VALUE"""),49.43)</f>
        <v>49.43</v>
      </c>
    </row>
    <row r="52" spans="1:3" ht="13.8" thickBot="1" x14ac:dyDescent="0.3">
      <c r="A52" s="118">
        <v>44634.666666666664</v>
      </c>
      <c r="B52" s="115">
        <v>41.2</v>
      </c>
      <c r="C52" s="116">
        <f ca="1">IFERROR(__xludf.DUMMYFUNCTION("""COMPUTED_VALUE"""),50.13)</f>
        <v>50.13</v>
      </c>
    </row>
    <row r="53" spans="1:3" ht="13.8" thickBot="1" x14ac:dyDescent="0.3">
      <c r="A53" s="118">
        <v>44635.666666666664</v>
      </c>
      <c r="B53" s="115">
        <v>41.5</v>
      </c>
      <c r="C53" s="116">
        <f ca="1">IFERROR(__xludf.DUMMYFUNCTION("""COMPUTED_VALUE"""),50.03)</f>
        <v>50.03</v>
      </c>
    </row>
    <row r="54" spans="1:3" ht="13.8" thickBot="1" x14ac:dyDescent="0.3">
      <c r="A54" s="118">
        <v>44636.666666666664</v>
      </c>
      <c r="B54" s="115">
        <v>42.8</v>
      </c>
      <c r="C54" s="116">
        <f ca="1">IFERROR(__xludf.DUMMYFUNCTION("""COMPUTED_VALUE"""),49.88)</f>
        <v>49.88</v>
      </c>
    </row>
    <row r="55" spans="1:3" ht="13.8" thickBot="1" x14ac:dyDescent="0.3">
      <c r="A55" s="118">
        <v>44637.666666666664</v>
      </c>
      <c r="B55" s="115">
        <v>43.03</v>
      </c>
      <c r="C55" s="116">
        <f ca="1">IFERROR(__xludf.DUMMYFUNCTION("""COMPUTED_VALUE"""),51.86)</f>
        <v>51.86</v>
      </c>
    </row>
    <row r="56" spans="1:3" ht="13.8" thickBot="1" x14ac:dyDescent="0.3">
      <c r="A56" s="118">
        <v>44638.666666666664</v>
      </c>
      <c r="B56" s="115">
        <v>42.9</v>
      </c>
      <c r="C56" s="116">
        <f ca="1">IFERROR(__xludf.DUMMYFUNCTION("""COMPUTED_VALUE"""),51.12)</f>
        <v>51.12</v>
      </c>
    </row>
    <row r="57" spans="1:3" ht="13.8" thickBot="1" x14ac:dyDescent="0.3">
      <c r="A57" s="118">
        <v>44641.666666666664</v>
      </c>
      <c r="B57" s="115">
        <v>42.84</v>
      </c>
      <c r="C57" s="116">
        <f ca="1">IFERROR(__xludf.DUMMYFUNCTION("""COMPUTED_VALUE"""),51.66)</f>
        <v>51.66</v>
      </c>
    </row>
    <row r="58" spans="1:3" ht="13.8" thickBot="1" x14ac:dyDescent="0.3">
      <c r="A58" s="118">
        <v>44642.666666666664</v>
      </c>
      <c r="B58" s="115">
        <v>44.18</v>
      </c>
      <c r="C58" s="116">
        <f ca="1">IFERROR(__xludf.DUMMYFUNCTION("""COMPUTED_VALUE"""),51.67)</f>
        <v>51.67</v>
      </c>
    </row>
    <row r="59" spans="1:3" ht="13.8" thickBot="1" x14ac:dyDescent="0.3">
      <c r="A59" s="118">
        <v>44643.666666666664</v>
      </c>
      <c r="B59" s="115">
        <v>43.09</v>
      </c>
      <c r="C59" s="116">
        <f ca="1">IFERROR(__xludf.DUMMYFUNCTION("""COMPUTED_VALUE"""),52.17)</f>
        <v>52.17</v>
      </c>
    </row>
    <row r="60" spans="1:3" ht="13.8" thickBot="1" x14ac:dyDescent="0.3">
      <c r="A60" s="118">
        <v>44644.666666666664</v>
      </c>
      <c r="B60" s="115">
        <v>43.07</v>
      </c>
      <c r="C60" s="116">
        <f ca="1">IFERROR(__xludf.DUMMYFUNCTION("""COMPUTED_VALUE"""),51.38)</f>
        <v>51.38</v>
      </c>
    </row>
    <row r="61" spans="1:3" ht="13.8" thickBot="1" x14ac:dyDescent="0.3">
      <c r="A61" s="118">
        <v>44645.666666666664</v>
      </c>
      <c r="B61" s="115">
        <v>43.73</v>
      </c>
      <c r="C61" s="116">
        <f ca="1">IFERROR(__xludf.DUMMYFUNCTION("""COMPUTED_VALUE"""),51.28)</f>
        <v>51.28</v>
      </c>
    </row>
    <row r="62" spans="1:3" ht="13.8" thickBot="1" x14ac:dyDescent="0.3">
      <c r="A62" s="118">
        <v>44648.666666666664</v>
      </c>
      <c r="B62" s="115">
        <v>43.55</v>
      </c>
      <c r="C62" s="116">
        <f ca="1">IFERROR(__xludf.DUMMYFUNCTION("""COMPUTED_VALUE"""),51.7)</f>
        <v>51.7</v>
      </c>
    </row>
    <row r="63" spans="1:3" ht="13.8" thickBot="1" x14ac:dyDescent="0.3">
      <c r="A63" s="118">
        <v>44649.666666666664</v>
      </c>
      <c r="B63" s="115">
        <v>43.44</v>
      </c>
      <c r="C63" s="116">
        <f ca="1">IFERROR(__xludf.DUMMYFUNCTION("""COMPUTED_VALUE"""),50.56)</f>
        <v>50.56</v>
      </c>
    </row>
    <row r="64" spans="1:3" ht="13.8" thickBot="1" x14ac:dyDescent="0.3">
      <c r="A64" s="118">
        <v>44650.666666666664</v>
      </c>
      <c r="B64" s="115">
        <v>43</v>
      </c>
      <c r="C64" s="116">
        <f ca="1">IFERROR(__xludf.DUMMYFUNCTION("""COMPUTED_VALUE"""),51.07)</f>
        <v>51.07</v>
      </c>
    </row>
    <row r="65" spans="1:3" ht="13.8" thickBot="1" x14ac:dyDescent="0.3">
      <c r="A65" s="118">
        <v>44651.666666666664</v>
      </c>
      <c r="B65" s="115">
        <v>41.22</v>
      </c>
      <c r="C65" s="116">
        <f ca="1">IFERROR(__xludf.DUMMYFUNCTION("""COMPUTED_VALUE"""),49.59)</f>
        <v>49.59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2.1</vt:lpstr>
      <vt:lpstr>2.2.</vt:lpstr>
      <vt:lpstr>2.3.</vt:lpstr>
      <vt:lpstr>2.4.</vt:lpstr>
      <vt:lpstr>2.4.TestDecision2022Q1</vt:lpstr>
      <vt:lpstr>2.5.6. Build portfolio</vt:lpstr>
      <vt:lpstr>2019-2021</vt:lpstr>
      <vt:lpstr>7.BAC_2022_Q1</vt:lpstr>
      <vt:lpstr>7.CITI_2022Q1 </vt:lpstr>
      <vt:lpstr>7.CompareActual2022Q1</vt:lpstr>
      <vt:lpstr>'7.CITI_2022Q1 '!Delta_t</vt:lpstr>
      <vt:lpstr>'7.CITI_2022Q1 '!Mu</vt:lpstr>
      <vt:lpstr>'7.CITI_2022Q1 '!Sigma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singh</dc:creator>
  <cp:lastModifiedBy>pooja singh</cp:lastModifiedBy>
  <dcterms:created xsi:type="dcterms:W3CDTF">2022-05-09T04:34:11Z</dcterms:created>
  <dcterms:modified xsi:type="dcterms:W3CDTF">2022-05-09T04:34:11Z</dcterms:modified>
</cp:coreProperties>
</file>