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linhn\Desktop\"/>
    </mc:Choice>
  </mc:AlternateContent>
  <xr:revisionPtr revIDLastSave="0" documentId="13_ncr:1_{FE6D5EF7-64DF-414A-AB8F-608CA7A11245}" xr6:coauthVersionLast="47" xr6:coauthVersionMax="47" xr10:uidLastSave="{00000000-0000-0000-0000-000000000000}"/>
  <bookViews>
    <workbookView xWindow="828" yWindow="-108" windowWidth="22320" windowHeight="13176" xr2:uid="{00000000-000D-0000-FFFF-FFFF00000000}"/>
  </bookViews>
  <sheets>
    <sheet name="Bang luong NLD" sheetId="2" r:id="rId1"/>
    <sheet name="Bảng lương tính trên HTfast" sheetId="3" state="hidden" r:id="rId2"/>
    <sheet name="BS lương" sheetId="7" state="hidden" r:id="rId3"/>
    <sheet name="Them gio" sheetId="4" state="hidden" r:id="rId4"/>
    <sheet name="Luong vitri" sheetId="5" state="hidden" r:id="rId5"/>
    <sheet name="Lương KPI" sheetId="6" state="hidden" r:id="rId6"/>
    <sheet name="Sheet2" sheetId="9" state="hidden" r:id="rId7"/>
    <sheet name="Sheet4" sheetId="11" state="hidden" r:id="rId8"/>
  </sheets>
  <definedNames>
    <definedName name="_xlnm._FilterDatabase" localSheetId="0" hidden="1">'Bang luong NLD'!$A$7:$BC$202</definedName>
    <definedName name="_xlnm._FilterDatabase" localSheetId="4" hidden="1">'Luong vitri'!$B$5:$P$173</definedName>
    <definedName name="_xlnm.Print_Area" localSheetId="0">'Bang luong NLD'!$A$1:$BC$216</definedName>
    <definedName name="_xlnm.Print_Titles" localSheetId="0">'Bang luong NLD'!$7:$7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V193" i="9" l="1"/>
  <c r="W193" i="9"/>
  <c r="S193" i="9"/>
  <c r="O193" i="9"/>
  <c r="K193" i="9"/>
  <c r="J193" i="9"/>
  <c r="I193" i="9"/>
  <c r="H193" i="9"/>
  <c r="G193" i="9"/>
  <c r="AV192" i="9"/>
  <c r="W192" i="9"/>
  <c r="S192" i="9"/>
  <c r="O192" i="9"/>
  <c r="K192" i="9"/>
  <c r="J192" i="9"/>
  <c r="I192" i="9"/>
  <c r="H192" i="9"/>
  <c r="G192" i="9"/>
  <c r="AV191" i="9"/>
  <c r="W191" i="9"/>
  <c r="S191" i="9"/>
  <c r="O191" i="9"/>
  <c r="K191" i="9"/>
  <c r="J191" i="9"/>
  <c r="I191" i="9"/>
  <c r="H191" i="9"/>
  <c r="G191" i="9"/>
  <c r="AV190" i="9"/>
  <c r="W190" i="9"/>
  <c r="S190" i="9"/>
  <c r="O190" i="9"/>
  <c r="K190" i="9"/>
  <c r="J190" i="9"/>
  <c r="I190" i="9"/>
  <c r="H190" i="9"/>
  <c r="L190" i="9" s="1"/>
  <c r="M190" i="9" s="1"/>
  <c r="N190" i="9" s="1"/>
  <c r="G190" i="9"/>
  <c r="A190" i="9"/>
  <c r="A191" i="9" s="1"/>
  <c r="A192" i="9" s="1"/>
  <c r="A193" i="9" s="1"/>
  <c r="AV188" i="9"/>
  <c r="W188" i="9"/>
  <c r="S188" i="9"/>
  <c r="O188" i="9"/>
  <c r="K188" i="9"/>
  <c r="J188" i="9"/>
  <c r="I188" i="9"/>
  <c r="H188" i="9"/>
  <c r="G188" i="9"/>
  <c r="AU188" i="9" s="1"/>
  <c r="AV187" i="9"/>
  <c r="W187" i="9"/>
  <c r="S187" i="9"/>
  <c r="O187" i="9"/>
  <c r="K187" i="9"/>
  <c r="J187" i="9"/>
  <c r="I187" i="9"/>
  <c r="H187" i="9"/>
  <c r="G187" i="9"/>
  <c r="AV186" i="9"/>
  <c r="W186" i="9"/>
  <c r="S186" i="9"/>
  <c r="O186" i="9"/>
  <c r="K186" i="9"/>
  <c r="J186" i="9"/>
  <c r="I186" i="9"/>
  <c r="H186" i="9"/>
  <c r="G186" i="9"/>
  <c r="AV185" i="9"/>
  <c r="W185" i="9"/>
  <c r="S185" i="9"/>
  <c r="O185" i="9"/>
  <c r="K185" i="9"/>
  <c r="J185" i="9"/>
  <c r="I185" i="9"/>
  <c r="H185" i="9"/>
  <c r="L185" i="9" s="1"/>
  <c r="M185" i="9" s="1"/>
  <c r="N185" i="9" s="1"/>
  <c r="G185" i="9"/>
  <c r="AV184" i="9"/>
  <c r="W184" i="9"/>
  <c r="S184" i="9"/>
  <c r="O184" i="9"/>
  <c r="K184" i="9"/>
  <c r="J184" i="9"/>
  <c r="I184" i="9"/>
  <c r="H184" i="9"/>
  <c r="G184" i="9"/>
  <c r="AV183" i="9"/>
  <c r="W183" i="9"/>
  <c r="S183" i="9"/>
  <c r="O183" i="9"/>
  <c r="K183" i="9"/>
  <c r="J183" i="9"/>
  <c r="I183" i="9"/>
  <c r="H183" i="9"/>
  <c r="G183" i="9"/>
  <c r="AV182" i="9"/>
  <c r="W182" i="9"/>
  <c r="S182" i="9"/>
  <c r="O182" i="9"/>
  <c r="K182" i="9"/>
  <c r="J182" i="9"/>
  <c r="I182" i="9"/>
  <c r="H182" i="9"/>
  <c r="G182" i="9"/>
  <c r="AV181" i="9"/>
  <c r="W181" i="9"/>
  <c r="S181" i="9"/>
  <c r="O181" i="9"/>
  <c r="K181" i="9"/>
  <c r="J181" i="9"/>
  <c r="I181" i="9"/>
  <c r="H181" i="9"/>
  <c r="L181" i="9" s="1"/>
  <c r="M181" i="9" s="1"/>
  <c r="N181" i="9" s="1"/>
  <c r="G181" i="9"/>
  <c r="AV180" i="9"/>
  <c r="W180" i="9"/>
  <c r="S180" i="9"/>
  <c r="O180" i="9"/>
  <c r="K180" i="9"/>
  <c r="J180" i="9"/>
  <c r="I180" i="9"/>
  <c r="H180" i="9"/>
  <c r="G180" i="9"/>
  <c r="AV179" i="9"/>
  <c r="W179" i="9"/>
  <c r="S179" i="9"/>
  <c r="O179" i="9"/>
  <c r="K179" i="9"/>
  <c r="J179" i="9"/>
  <c r="I179" i="9"/>
  <c r="H179" i="9"/>
  <c r="G179" i="9"/>
  <c r="AV178" i="9"/>
  <c r="W178" i="9"/>
  <c r="S178" i="9"/>
  <c r="O178" i="9"/>
  <c r="K178" i="9"/>
  <c r="J178" i="9"/>
  <c r="I178" i="9"/>
  <c r="H178" i="9"/>
  <c r="G178" i="9"/>
  <c r="AV177" i="9"/>
  <c r="W177" i="9"/>
  <c r="S177" i="9"/>
  <c r="O177" i="9"/>
  <c r="K177" i="9"/>
  <c r="J177" i="9"/>
  <c r="I177" i="9"/>
  <c r="H177" i="9"/>
  <c r="L177" i="9" s="1"/>
  <c r="M177" i="9" s="1"/>
  <c r="N177" i="9" s="1"/>
  <c r="G177" i="9"/>
  <c r="AV176" i="9"/>
  <c r="W176" i="9"/>
  <c r="S176" i="9"/>
  <c r="O176" i="9"/>
  <c r="K176" i="9"/>
  <c r="J176" i="9"/>
  <c r="I176" i="9"/>
  <c r="H176" i="9"/>
  <c r="G176" i="9"/>
  <c r="AV175" i="9"/>
  <c r="W175" i="9"/>
  <c r="S175" i="9"/>
  <c r="O175" i="9"/>
  <c r="K175" i="9"/>
  <c r="J175" i="9"/>
  <c r="I175" i="9"/>
  <c r="H175" i="9"/>
  <c r="G175" i="9"/>
  <c r="AV174" i="9"/>
  <c r="W174" i="9"/>
  <c r="S174" i="9"/>
  <c r="O174" i="9"/>
  <c r="K174" i="9"/>
  <c r="J174" i="9"/>
  <c r="I174" i="9"/>
  <c r="H174" i="9"/>
  <c r="G174" i="9"/>
  <c r="AV173" i="9"/>
  <c r="W173" i="9"/>
  <c r="S173" i="9"/>
  <c r="O173" i="9"/>
  <c r="K173" i="9"/>
  <c r="J173" i="9"/>
  <c r="I173" i="9"/>
  <c r="H173" i="9"/>
  <c r="L173" i="9" s="1"/>
  <c r="M173" i="9" s="1"/>
  <c r="N173" i="9" s="1"/>
  <c r="G173" i="9"/>
  <c r="AV172" i="9"/>
  <c r="W172" i="9"/>
  <c r="S172" i="9"/>
  <c r="O172" i="9"/>
  <c r="K172" i="9"/>
  <c r="J172" i="9"/>
  <c r="I172" i="9"/>
  <c r="H172" i="9"/>
  <c r="G172" i="9"/>
  <c r="AV171" i="9"/>
  <c r="W171" i="9"/>
  <c r="S171" i="9"/>
  <c r="O171" i="9"/>
  <c r="K171" i="9"/>
  <c r="J171" i="9"/>
  <c r="N171" i="9" s="1"/>
  <c r="I171" i="9"/>
  <c r="H171" i="9"/>
  <c r="L171" i="9" s="1"/>
  <c r="M171" i="9" s="1"/>
  <c r="G171" i="9"/>
  <c r="AV170" i="9"/>
  <c r="W170" i="9"/>
  <c r="S170" i="9"/>
  <c r="O170" i="9"/>
  <c r="K170" i="9"/>
  <c r="J170" i="9"/>
  <c r="I170" i="9"/>
  <c r="H170" i="9"/>
  <c r="L170" i="9" s="1"/>
  <c r="M170" i="9" s="1"/>
  <c r="G170" i="9"/>
  <c r="AV169" i="9"/>
  <c r="W169" i="9"/>
  <c r="S169" i="9"/>
  <c r="O169" i="9"/>
  <c r="K169" i="9"/>
  <c r="J169" i="9"/>
  <c r="I169" i="9"/>
  <c r="H169" i="9"/>
  <c r="G169" i="9"/>
  <c r="AV168" i="9"/>
  <c r="W168" i="9"/>
  <c r="S168" i="9"/>
  <c r="O168" i="9"/>
  <c r="K168" i="9"/>
  <c r="J168" i="9"/>
  <c r="I168" i="9"/>
  <c r="H168" i="9"/>
  <c r="L168" i="9" s="1"/>
  <c r="M168" i="9" s="1"/>
  <c r="N168" i="9" s="1"/>
  <c r="G168" i="9"/>
  <c r="AV167" i="9"/>
  <c r="W167" i="9"/>
  <c r="S167" i="9"/>
  <c r="O167" i="9"/>
  <c r="K167" i="9"/>
  <c r="J167" i="9"/>
  <c r="I167" i="9"/>
  <c r="H167" i="9"/>
  <c r="G167" i="9"/>
  <c r="AV166" i="9"/>
  <c r="W166" i="9"/>
  <c r="S166" i="9"/>
  <c r="O166" i="9"/>
  <c r="K166" i="9"/>
  <c r="J166" i="9"/>
  <c r="I166" i="9"/>
  <c r="H166" i="9"/>
  <c r="G166" i="9"/>
  <c r="AV165" i="9"/>
  <c r="W165" i="9"/>
  <c r="S165" i="9"/>
  <c r="O165" i="9"/>
  <c r="K165" i="9"/>
  <c r="J165" i="9"/>
  <c r="I165" i="9"/>
  <c r="H165" i="9"/>
  <c r="G165" i="9"/>
  <c r="AV164" i="9"/>
  <c r="W164" i="9"/>
  <c r="S164" i="9"/>
  <c r="O164" i="9"/>
  <c r="K164" i="9"/>
  <c r="J164" i="9"/>
  <c r="I164" i="9"/>
  <c r="H164" i="9"/>
  <c r="L164" i="9" s="1"/>
  <c r="M164" i="9" s="1"/>
  <c r="N164" i="9" s="1"/>
  <c r="G164" i="9"/>
  <c r="AV163" i="9"/>
  <c r="W163" i="9"/>
  <c r="S163" i="9"/>
  <c r="O163" i="9"/>
  <c r="K163" i="9"/>
  <c r="J163" i="9"/>
  <c r="I163" i="9"/>
  <c r="H163" i="9"/>
  <c r="G163" i="9"/>
  <c r="AV162" i="9"/>
  <c r="AU162" i="9"/>
  <c r="W162" i="9"/>
  <c r="S162" i="9"/>
  <c r="O162" i="9"/>
  <c r="K162" i="9"/>
  <c r="J162" i="9"/>
  <c r="I162" i="9"/>
  <c r="H162" i="9"/>
  <c r="G162" i="9"/>
  <c r="AV161" i="9"/>
  <c r="W161" i="9"/>
  <c r="S161" i="9"/>
  <c r="O161" i="9"/>
  <c r="K161" i="9"/>
  <c r="J161" i="9"/>
  <c r="I161" i="9"/>
  <c r="H161" i="9"/>
  <c r="G161" i="9"/>
  <c r="A161" i="9"/>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V154" i="9"/>
  <c r="W154" i="9"/>
  <c r="S154" i="9"/>
  <c r="O154" i="9"/>
  <c r="K154" i="9"/>
  <c r="J154" i="9"/>
  <c r="I154" i="9"/>
  <c r="H154" i="9"/>
  <c r="L154" i="9" s="1"/>
  <c r="M154" i="9" s="1"/>
  <c r="N154" i="9" s="1"/>
  <c r="G154" i="9"/>
  <c r="AV153" i="9"/>
  <c r="W153" i="9"/>
  <c r="S153" i="9"/>
  <c r="O153" i="9"/>
  <c r="K153" i="9"/>
  <c r="J153" i="9"/>
  <c r="I153" i="9"/>
  <c r="H153" i="9"/>
  <c r="G153" i="9"/>
  <c r="AV152" i="9"/>
  <c r="W152" i="9"/>
  <c r="S152" i="9"/>
  <c r="O152" i="9"/>
  <c r="K152" i="9"/>
  <c r="J152" i="9"/>
  <c r="I152" i="9"/>
  <c r="H152" i="9"/>
  <c r="G152" i="9"/>
  <c r="AV151" i="9"/>
  <c r="W151" i="9"/>
  <c r="S151" i="9"/>
  <c r="O151" i="9"/>
  <c r="K151" i="9"/>
  <c r="J151" i="9"/>
  <c r="N151" i="9" s="1"/>
  <c r="I151" i="9"/>
  <c r="H151" i="9"/>
  <c r="L151" i="9" s="1"/>
  <c r="M151" i="9" s="1"/>
  <c r="G151" i="9"/>
  <c r="AV150" i="9"/>
  <c r="W150" i="9"/>
  <c r="S150" i="9"/>
  <c r="O150" i="9"/>
  <c r="K150" i="9"/>
  <c r="J150" i="9"/>
  <c r="I150" i="9"/>
  <c r="H150" i="9"/>
  <c r="L150" i="9" s="1"/>
  <c r="M150" i="9" s="1"/>
  <c r="G150" i="9"/>
  <c r="AV149" i="9"/>
  <c r="W149" i="9"/>
  <c r="S149" i="9"/>
  <c r="O149" i="9"/>
  <c r="K149" i="9"/>
  <c r="J149" i="9"/>
  <c r="I149" i="9"/>
  <c r="H149" i="9"/>
  <c r="G149" i="9"/>
  <c r="AV148" i="9"/>
  <c r="W148" i="9"/>
  <c r="S148" i="9"/>
  <c r="O148" i="9"/>
  <c r="K148" i="9"/>
  <c r="J148" i="9"/>
  <c r="I148" i="9"/>
  <c r="H148" i="9"/>
  <c r="G148" i="9"/>
  <c r="AV147" i="9"/>
  <c r="W147" i="9"/>
  <c r="S147" i="9"/>
  <c r="O147" i="9"/>
  <c r="K147" i="9"/>
  <c r="J147" i="9"/>
  <c r="N147" i="9" s="1"/>
  <c r="I147" i="9"/>
  <c r="H147" i="9"/>
  <c r="L147" i="9" s="1"/>
  <c r="M147" i="9" s="1"/>
  <c r="G147" i="9"/>
  <c r="AV146" i="9"/>
  <c r="W146" i="9"/>
  <c r="S146" i="9"/>
  <c r="O146" i="9"/>
  <c r="K146" i="9"/>
  <c r="J146" i="9"/>
  <c r="I146" i="9"/>
  <c r="H146" i="9"/>
  <c r="L146" i="9" s="1"/>
  <c r="M146" i="9" s="1"/>
  <c r="G146" i="9"/>
  <c r="AV145" i="9"/>
  <c r="W145" i="9"/>
  <c r="S145" i="9"/>
  <c r="O145" i="9"/>
  <c r="K145" i="9"/>
  <c r="J145" i="9"/>
  <c r="I145" i="9"/>
  <c r="H145" i="9"/>
  <c r="G145" i="9"/>
  <c r="AV144" i="9"/>
  <c r="W144" i="9"/>
  <c r="S144" i="9"/>
  <c r="O144" i="9"/>
  <c r="K144" i="9"/>
  <c r="J144" i="9"/>
  <c r="I144" i="9"/>
  <c r="H144" i="9"/>
  <c r="G144" i="9"/>
  <c r="AV143" i="9"/>
  <c r="W143" i="9"/>
  <c r="S143" i="9"/>
  <c r="O143" i="9"/>
  <c r="K143" i="9"/>
  <c r="J143" i="9"/>
  <c r="N143" i="9" s="1"/>
  <c r="I143" i="9"/>
  <c r="H143" i="9"/>
  <c r="L143" i="9" s="1"/>
  <c r="M143" i="9" s="1"/>
  <c r="G143" i="9"/>
  <c r="AV142" i="9"/>
  <c r="W142" i="9"/>
  <c r="S142" i="9"/>
  <c r="O142" i="9"/>
  <c r="K142" i="9"/>
  <c r="J142" i="9"/>
  <c r="I142" i="9"/>
  <c r="H142" i="9"/>
  <c r="L142" i="9" s="1"/>
  <c r="M142" i="9" s="1"/>
  <c r="G142" i="9"/>
  <c r="AV141" i="9"/>
  <c r="W141" i="9"/>
  <c r="S141" i="9"/>
  <c r="O141" i="9"/>
  <c r="K141" i="9"/>
  <c r="J141" i="9"/>
  <c r="I141" i="9"/>
  <c r="H141" i="9"/>
  <c r="G141" i="9"/>
  <c r="AV140" i="9"/>
  <c r="W140" i="9"/>
  <c r="S140" i="9"/>
  <c r="O140" i="9"/>
  <c r="K140" i="9"/>
  <c r="J140" i="9"/>
  <c r="I140" i="9"/>
  <c r="H140" i="9"/>
  <c r="G140" i="9"/>
  <c r="AV139" i="9"/>
  <c r="W139" i="9"/>
  <c r="S139" i="9"/>
  <c r="O139" i="9"/>
  <c r="K139" i="9"/>
  <c r="J139" i="9"/>
  <c r="N139" i="9" s="1"/>
  <c r="I139" i="9"/>
  <c r="H139" i="9"/>
  <c r="L139" i="9" s="1"/>
  <c r="M139" i="9" s="1"/>
  <c r="G139" i="9"/>
  <c r="AV138" i="9"/>
  <c r="W138" i="9"/>
  <c r="S138" i="9"/>
  <c r="O138" i="9"/>
  <c r="K138" i="9"/>
  <c r="J138" i="9"/>
  <c r="I138" i="9"/>
  <c r="H138" i="9"/>
  <c r="L138" i="9" s="1"/>
  <c r="M138" i="9" s="1"/>
  <c r="G138" i="9"/>
  <c r="AV137" i="9"/>
  <c r="W137" i="9"/>
  <c r="S137" i="9"/>
  <c r="O137" i="9"/>
  <c r="K137" i="9"/>
  <c r="J137" i="9"/>
  <c r="I137" i="9"/>
  <c r="H137" i="9"/>
  <c r="G137" i="9"/>
  <c r="AV136" i="9"/>
  <c r="W136" i="9"/>
  <c r="S136" i="9"/>
  <c r="O136" i="9"/>
  <c r="K136" i="9"/>
  <c r="J136" i="9"/>
  <c r="I136" i="9"/>
  <c r="H136" i="9"/>
  <c r="G136" i="9"/>
  <c r="AV135" i="9"/>
  <c r="W135" i="9"/>
  <c r="S135" i="9"/>
  <c r="O135" i="9"/>
  <c r="K135" i="9"/>
  <c r="J135" i="9"/>
  <c r="N135" i="9" s="1"/>
  <c r="I135" i="9"/>
  <c r="H135" i="9"/>
  <c r="L135" i="9" s="1"/>
  <c r="M135" i="9" s="1"/>
  <c r="G135" i="9"/>
  <c r="AV134" i="9"/>
  <c r="W134" i="9"/>
  <c r="S134" i="9"/>
  <c r="O134" i="9"/>
  <c r="K134" i="9"/>
  <c r="J134" i="9"/>
  <c r="I134" i="9"/>
  <c r="H134" i="9"/>
  <c r="G134" i="9"/>
  <c r="AV133" i="9"/>
  <c r="W133" i="9"/>
  <c r="S133" i="9"/>
  <c r="O133" i="9"/>
  <c r="K133" i="9"/>
  <c r="J133" i="9"/>
  <c r="I133" i="9"/>
  <c r="H133" i="9"/>
  <c r="G133" i="9"/>
  <c r="AV132" i="9"/>
  <c r="W132" i="9"/>
  <c r="S132" i="9"/>
  <c r="O132" i="9"/>
  <c r="K132" i="9"/>
  <c r="J132" i="9"/>
  <c r="I132" i="9"/>
  <c r="H132" i="9"/>
  <c r="G132" i="9"/>
  <c r="AV131" i="9"/>
  <c r="W131" i="9"/>
  <c r="S131" i="9"/>
  <c r="O131" i="9"/>
  <c r="K131" i="9"/>
  <c r="J131" i="9"/>
  <c r="N131" i="9" s="1"/>
  <c r="I131" i="9"/>
  <c r="H131" i="9"/>
  <c r="L131" i="9" s="1"/>
  <c r="M131" i="9" s="1"/>
  <c r="G131" i="9"/>
  <c r="AV130" i="9"/>
  <c r="W130" i="9"/>
  <c r="S130" i="9"/>
  <c r="O130" i="9"/>
  <c r="K130" i="9"/>
  <c r="J130" i="9"/>
  <c r="I130" i="9"/>
  <c r="H130" i="9"/>
  <c r="G130" i="9"/>
  <c r="AV129" i="9"/>
  <c r="W129" i="9"/>
  <c r="S129" i="9"/>
  <c r="O129" i="9"/>
  <c r="K129" i="9"/>
  <c r="J129" i="9"/>
  <c r="I129" i="9"/>
  <c r="H129" i="9"/>
  <c r="G129" i="9"/>
  <c r="AV128" i="9"/>
  <c r="W128" i="9"/>
  <c r="S128" i="9"/>
  <c r="O128" i="9"/>
  <c r="K128" i="9"/>
  <c r="J128" i="9"/>
  <c r="I128" i="9"/>
  <c r="H128" i="9"/>
  <c r="G128" i="9"/>
  <c r="AV127" i="9"/>
  <c r="W127" i="9"/>
  <c r="S127" i="9"/>
  <c r="O127" i="9"/>
  <c r="K127" i="9"/>
  <c r="J127" i="9"/>
  <c r="N127" i="9" s="1"/>
  <c r="I127" i="9"/>
  <c r="H127" i="9"/>
  <c r="L127" i="9" s="1"/>
  <c r="M127" i="9" s="1"/>
  <c r="G127" i="9"/>
  <c r="AV126" i="9"/>
  <c r="W126" i="9"/>
  <c r="S126" i="9"/>
  <c r="O126" i="9"/>
  <c r="K126" i="9"/>
  <c r="J126" i="9"/>
  <c r="I126" i="9"/>
  <c r="H126" i="9"/>
  <c r="G126" i="9"/>
  <c r="AV125" i="9"/>
  <c r="W125" i="9"/>
  <c r="S125" i="9"/>
  <c r="O125" i="9"/>
  <c r="K125" i="9"/>
  <c r="J125" i="9"/>
  <c r="I125" i="9"/>
  <c r="H125" i="9"/>
  <c r="G125" i="9"/>
  <c r="AV124" i="9"/>
  <c r="W124" i="9"/>
  <c r="S124" i="9"/>
  <c r="O124" i="9"/>
  <c r="K124" i="9"/>
  <c r="J124" i="9"/>
  <c r="I124" i="9"/>
  <c r="H124" i="9"/>
  <c r="G124" i="9"/>
  <c r="AV123" i="9"/>
  <c r="W123" i="9"/>
  <c r="S123" i="9"/>
  <c r="O123" i="9"/>
  <c r="K123" i="9"/>
  <c r="J123" i="9"/>
  <c r="N123" i="9" s="1"/>
  <c r="I123" i="9"/>
  <c r="H123" i="9"/>
  <c r="L123" i="9" s="1"/>
  <c r="M123" i="9" s="1"/>
  <c r="G123" i="9"/>
  <c r="AV122" i="9"/>
  <c r="W122" i="9"/>
  <c r="S122" i="9"/>
  <c r="O122" i="9"/>
  <c r="K122" i="9"/>
  <c r="J122" i="9"/>
  <c r="I122" i="9"/>
  <c r="H122" i="9"/>
  <c r="G122" i="9"/>
  <c r="AV121" i="9"/>
  <c r="W121" i="9"/>
  <c r="S121" i="9"/>
  <c r="O121" i="9"/>
  <c r="K121" i="9"/>
  <c r="J121" i="9"/>
  <c r="I121" i="9"/>
  <c r="H121" i="9"/>
  <c r="G121" i="9"/>
  <c r="AV120" i="9"/>
  <c r="W120" i="9"/>
  <c r="S120" i="9"/>
  <c r="O120" i="9"/>
  <c r="K120" i="9"/>
  <c r="J120" i="9"/>
  <c r="I120" i="9"/>
  <c r="H120" i="9"/>
  <c r="G120" i="9"/>
  <c r="AV119" i="9"/>
  <c r="W119" i="9"/>
  <c r="S119" i="9"/>
  <c r="O119" i="9"/>
  <c r="K119" i="9"/>
  <c r="J119" i="9"/>
  <c r="N119" i="9" s="1"/>
  <c r="I119" i="9"/>
  <c r="H119" i="9"/>
  <c r="L119" i="9" s="1"/>
  <c r="M119" i="9" s="1"/>
  <c r="G119" i="9"/>
  <c r="AV118" i="9"/>
  <c r="W118" i="9"/>
  <c r="S118" i="9"/>
  <c r="O118" i="9"/>
  <c r="K118" i="9"/>
  <c r="J118" i="9"/>
  <c r="I118" i="9"/>
  <c r="H118" i="9"/>
  <c r="G118" i="9"/>
  <c r="AV117" i="9"/>
  <c r="W117" i="9"/>
  <c r="S117" i="9"/>
  <c r="O117" i="9"/>
  <c r="K117" i="9"/>
  <c r="J117" i="9"/>
  <c r="I117" i="9"/>
  <c r="H117" i="9"/>
  <c r="G117" i="9"/>
  <c r="AV116" i="9"/>
  <c r="W116" i="9"/>
  <c r="S116" i="9"/>
  <c r="O116" i="9"/>
  <c r="K116" i="9"/>
  <c r="J116" i="9"/>
  <c r="I116" i="9"/>
  <c r="H116" i="9"/>
  <c r="G116" i="9"/>
  <c r="AV115" i="9"/>
  <c r="W115" i="9"/>
  <c r="S115" i="9"/>
  <c r="O115" i="9"/>
  <c r="K115" i="9"/>
  <c r="J115" i="9"/>
  <c r="N115" i="9" s="1"/>
  <c r="I115" i="9"/>
  <c r="H115" i="9"/>
  <c r="L115" i="9" s="1"/>
  <c r="M115" i="9" s="1"/>
  <c r="G115" i="9"/>
  <c r="AV114" i="9"/>
  <c r="W114" i="9"/>
  <c r="S114" i="9"/>
  <c r="O114" i="9"/>
  <c r="K114" i="9"/>
  <c r="J114" i="9"/>
  <c r="I114" i="9"/>
  <c r="H114" i="9"/>
  <c r="G114" i="9"/>
  <c r="AV113" i="9"/>
  <c r="W113" i="9"/>
  <c r="S113" i="9"/>
  <c r="O113" i="9"/>
  <c r="K113" i="9"/>
  <c r="J113" i="9"/>
  <c r="I113" i="9"/>
  <c r="H113" i="9"/>
  <c r="G113" i="9"/>
  <c r="AV112" i="9"/>
  <c r="W112" i="9"/>
  <c r="S112" i="9"/>
  <c r="O112" i="9"/>
  <c r="K112" i="9"/>
  <c r="J112" i="9"/>
  <c r="I112" i="9"/>
  <c r="H112" i="9"/>
  <c r="G112" i="9"/>
  <c r="AV111" i="9"/>
  <c r="W111" i="9"/>
  <c r="S111" i="9"/>
  <c r="O111" i="9"/>
  <c r="K111" i="9"/>
  <c r="J111" i="9"/>
  <c r="I111" i="9"/>
  <c r="H111" i="9"/>
  <c r="L111" i="9" s="1"/>
  <c r="M111" i="9" s="1"/>
  <c r="N111" i="9" s="1"/>
  <c r="G111" i="9"/>
  <c r="AV110" i="9"/>
  <c r="W110" i="9"/>
  <c r="S110" i="9"/>
  <c r="O110" i="9"/>
  <c r="K110" i="9"/>
  <c r="J110" i="9"/>
  <c r="I110" i="9"/>
  <c r="H110" i="9"/>
  <c r="G110" i="9"/>
  <c r="AV109" i="9"/>
  <c r="W109" i="9"/>
  <c r="S109" i="9"/>
  <c r="O109" i="9"/>
  <c r="K109" i="9"/>
  <c r="J109" i="9"/>
  <c r="I109" i="9"/>
  <c r="H109" i="9"/>
  <c r="G109" i="9"/>
  <c r="AV108" i="9"/>
  <c r="W108" i="9"/>
  <c r="S108" i="9"/>
  <c r="O108" i="9"/>
  <c r="K108" i="9"/>
  <c r="J108" i="9"/>
  <c r="I108" i="9"/>
  <c r="H108" i="9"/>
  <c r="G108" i="9"/>
  <c r="AV107" i="9"/>
  <c r="W107" i="9"/>
  <c r="S107" i="9"/>
  <c r="O107" i="9"/>
  <c r="K107" i="9"/>
  <c r="J107" i="9"/>
  <c r="I107" i="9"/>
  <c r="H107" i="9"/>
  <c r="G107" i="9"/>
  <c r="AV106" i="9"/>
  <c r="W106" i="9"/>
  <c r="S106" i="9"/>
  <c r="O106" i="9"/>
  <c r="K106" i="9"/>
  <c r="J106" i="9"/>
  <c r="I106" i="9"/>
  <c r="H106" i="9"/>
  <c r="G106" i="9"/>
  <c r="AV105" i="9"/>
  <c r="W105" i="9"/>
  <c r="S105" i="9"/>
  <c r="O105" i="9"/>
  <c r="K105" i="9"/>
  <c r="J105" i="9"/>
  <c r="I105" i="9"/>
  <c r="H105" i="9"/>
  <c r="G105" i="9"/>
  <c r="AV104" i="9"/>
  <c r="W104" i="9"/>
  <c r="S104" i="9"/>
  <c r="O104" i="9"/>
  <c r="K104" i="9"/>
  <c r="J104" i="9"/>
  <c r="I104" i="9"/>
  <c r="H104" i="9"/>
  <c r="G104" i="9"/>
  <c r="AV103" i="9"/>
  <c r="W103" i="9"/>
  <c r="S103" i="9"/>
  <c r="O103" i="9"/>
  <c r="K103" i="9"/>
  <c r="J103" i="9"/>
  <c r="N103" i="9" s="1"/>
  <c r="R103" i="9" s="1"/>
  <c r="I103" i="9"/>
  <c r="H103" i="9"/>
  <c r="L103" i="9" s="1"/>
  <c r="M103" i="9" s="1"/>
  <c r="G103" i="9"/>
  <c r="AV102" i="9"/>
  <c r="W102" i="9"/>
  <c r="S102" i="9"/>
  <c r="O102" i="9"/>
  <c r="K102" i="9"/>
  <c r="J102" i="9"/>
  <c r="I102" i="9"/>
  <c r="H102" i="9"/>
  <c r="G102" i="9"/>
  <c r="AV101" i="9"/>
  <c r="W101" i="9"/>
  <c r="S101" i="9"/>
  <c r="O101" i="9"/>
  <c r="K101" i="9"/>
  <c r="J101" i="9"/>
  <c r="I101" i="9"/>
  <c r="H101" i="9"/>
  <c r="G101" i="9"/>
  <c r="AV100" i="9"/>
  <c r="W100" i="9"/>
  <c r="S100" i="9"/>
  <c r="O100" i="9"/>
  <c r="K100" i="9"/>
  <c r="J100" i="9"/>
  <c r="I100" i="9"/>
  <c r="H100" i="9"/>
  <c r="G100" i="9"/>
  <c r="AV99" i="9"/>
  <c r="W99" i="9"/>
  <c r="S99" i="9"/>
  <c r="O99" i="9"/>
  <c r="K99" i="9"/>
  <c r="J99" i="9"/>
  <c r="N99" i="9" s="1"/>
  <c r="I99" i="9"/>
  <c r="H99" i="9"/>
  <c r="L99" i="9" s="1"/>
  <c r="M99" i="9" s="1"/>
  <c r="G99" i="9"/>
  <c r="AV98" i="9"/>
  <c r="W98" i="9"/>
  <c r="S98" i="9"/>
  <c r="O98" i="9"/>
  <c r="K98" i="9"/>
  <c r="J98" i="9"/>
  <c r="I98" i="9"/>
  <c r="H98" i="9"/>
  <c r="G98" i="9"/>
  <c r="AV97" i="9"/>
  <c r="W97" i="9"/>
  <c r="S97" i="9"/>
  <c r="O97" i="9"/>
  <c r="K97" i="9"/>
  <c r="J97" i="9"/>
  <c r="I97" i="9"/>
  <c r="H97" i="9"/>
  <c r="G97" i="9"/>
  <c r="AV96" i="9"/>
  <c r="AU96" i="9"/>
  <c r="W96" i="9"/>
  <c r="S96" i="9"/>
  <c r="O96" i="9"/>
  <c r="K96" i="9"/>
  <c r="J96" i="9"/>
  <c r="I96" i="9"/>
  <c r="H96" i="9"/>
  <c r="G96" i="9"/>
  <c r="AV95" i="9"/>
  <c r="W95" i="9"/>
  <c r="S95" i="9"/>
  <c r="O95" i="9"/>
  <c r="K95" i="9"/>
  <c r="J95" i="9"/>
  <c r="I95" i="9"/>
  <c r="H95" i="9"/>
  <c r="L95" i="9" s="1"/>
  <c r="M95" i="9" s="1"/>
  <c r="N95" i="9" s="1"/>
  <c r="G95" i="9"/>
  <c r="AU95" i="9" s="1"/>
  <c r="AV94" i="9"/>
  <c r="W94" i="9"/>
  <c r="S94" i="9"/>
  <c r="O94" i="9"/>
  <c r="K94" i="9"/>
  <c r="J94" i="9"/>
  <c r="I94" i="9"/>
  <c r="H94" i="9"/>
  <c r="G94" i="9"/>
  <c r="AV93" i="9"/>
  <c r="W93" i="9"/>
  <c r="S93" i="9"/>
  <c r="O93" i="9"/>
  <c r="K93" i="9"/>
  <c r="J93" i="9"/>
  <c r="I93" i="9"/>
  <c r="H93" i="9"/>
  <c r="G93" i="9"/>
  <c r="AV92" i="9"/>
  <c r="W92" i="9"/>
  <c r="S92" i="9"/>
  <c r="O92" i="9"/>
  <c r="K92" i="9"/>
  <c r="J92" i="9"/>
  <c r="I92" i="9"/>
  <c r="H92" i="9"/>
  <c r="G92" i="9"/>
  <c r="AV91" i="9"/>
  <c r="W91" i="9"/>
  <c r="S91" i="9"/>
  <c r="O91" i="9"/>
  <c r="K91" i="9"/>
  <c r="J91" i="9"/>
  <c r="I91" i="9"/>
  <c r="H91" i="9"/>
  <c r="L91" i="9" s="1"/>
  <c r="M91" i="9" s="1"/>
  <c r="N91" i="9" s="1"/>
  <c r="G91" i="9"/>
  <c r="AV90" i="9"/>
  <c r="W90" i="9"/>
  <c r="S90" i="9"/>
  <c r="O90" i="9"/>
  <c r="K90" i="9"/>
  <c r="J90" i="9"/>
  <c r="I90" i="9"/>
  <c r="H90" i="9"/>
  <c r="G90" i="9"/>
  <c r="AV89" i="9"/>
  <c r="W89" i="9"/>
  <c r="S89" i="9"/>
  <c r="O89" i="9"/>
  <c r="K89" i="9"/>
  <c r="J89" i="9"/>
  <c r="I89" i="9"/>
  <c r="H89" i="9"/>
  <c r="G89" i="9"/>
  <c r="AV88" i="9"/>
  <c r="W88" i="9"/>
  <c r="S88" i="9"/>
  <c r="O88" i="9"/>
  <c r="K88" i="9"/>
  <c r="J88" i="9"/>
  <c r="I88" i="9"/>
  <c r="H88" i="9"/>
  <c r="G88" i="9"/>
  <c r="AV87" i="9"/>
  <c r="W87" i="9"/>
  <c r="S87" i="9"/>
  <c r="O87" i="9"/>
  <c r="K87" i="9"/>
  <c r="J87" i="9"/>
  <c r="I87" i="9"/>
  <c r="H87" i="9"/>
  <c r="L87" i="9" s="1"/>
  <c r="M87" i="9" s="1"/>
  <c r="N87" i="9" s="1"/>
  <c r="G87" i="9"/>
  <c r="AV86" i="9"/>
  <c r="W86" i="9"/>
  <c r="S86" i="9"/>
  <c r="O86" i="9"/>
  <c r="K86" i="9"/>
  <c r="J86" i="9"/>
  <c r="I86" i="9"/>
  <c r="H86" i="9"/>
  <c r="G86" i="9"/>
  <c r="AV85" i="9"/>
  <c r="W85" i="9"/>
  <c r="S85" i="9"/>
  <c r="O85" i="9"/>
  <c r="K85" i="9"/>
  <c r="J85" i="9"/>
  <c r="I85" i="9"/>
  <c r="H85" i="9"/>
  <c r="G85" i="9"/>
  <c r="AV84" i="9"/>
  <c r="W84" i="9"/>
  <c r="S84" i="9"/>
  <c r="O84" i="9"/>
  <c r="K84" i="9"/>
  <c r="J84" i="9"/>
  <c r="I84" i="9"/>
  <c r="H84" i="9"/>
  <c r="G84" i="9"/>
  <c r="AV83" i="9"/>
  <c r="W83" i="9"/>
  <c r="S83" i="9"/>
  <c r="O83" i="9"/>
  <c r="K83" i="9"/>
  <c r="J83" i="9"/>
  <c r="I83" i="9"/>
  <c r="H83" i="9"/>
  <c r="L83" i="9" s="1"/>
  <c r="M83" i="9" s="1"/>
  <c r="N83" i="9" s="1"/>
  <c r="G83" i="9"/>
  <c r="AV82" i="9"/>
  <c r="W82" i="9"/>
  <c r="S82" i="9"/>
  <c r="O82" i="9"/>
  <c r="K82" i="9"/>
  <c r="J82" i="9"/>
  <c r="I82" i="9"/>
  <c r="H82" i="9"/>
  <c r="G82" i="9"/>
  <c r="AV81" i="9"/>
  <c r="W81" i="9"/>
  <c r="S81" i="9"/>
  <c r="O81" i="9"/>
  <c r="K81" i="9"/>
  <c r="J81" i="9"/>
  <c r="I81" i="9"/>
  <c r="H81" i="9"/>
  <c r="G81" i="9"/>
  <c r="AV80" i="9"/>
  <c r="W80" i="9"/>
  <c r="S80" i="9"/>
  <c r="O80" i="9"/>
  <c r="K80" i="9"/>
  <c r="J80" i="9"/>
  <c r="I80" i="9"/>
  <c r="H80" i="9"/>
  <c r="G80" i="9"/>
  <c r="AV79" i="9"/>
  <c r="W79" i="9"/>
  <c r="S79" i="9"/>
  <c r="O79" i="9"/>
  <c r="K79" i="9"/>
  <c r="J79" i="9"/>
  <c r="I79" i="9"/>
  <c r="H79" i="9"/>
  <c r="L79" i="9" s="1"/>
  <c r="M79" i="9" s="1"/>
  <c r="N79" i="9" s="1"/>
  <c r="G79" i="9"/>
  <c r="AV78" i="9"/>
  <c r="W78" i="9"/>
  <c r="S78" i="9"/>
  <c r="O78" i="9"/>
  <c r="K78" i="9"/>
  <c r="J78" i="9"/>
  <c r="I78" i="9"/>
  <c r="H78" i="9"/>
  <c r="G78" i="9"/>
  <c r="AV77" i="9"/>
  <c r="W77" i="9"/>
  <c r="S77" i="9"/>
  <c r="O77" i="9"/>
  <c r="K77" i="9"/>
  <c r="J77" i="9"/>
  <c r="I77" i="9"/>
  <c r="H77" i="9"/>
  <c r="G77" i="9"/>
  <c r="AV76" i="9"/>
  <c r="W76" i="9"/>
  <c r="S76" i="9"/>
  <c r="O76" i="9"/>
  <c r="K76" i="9"/>
  <c r="J76" i="9"/>
  <c r="I76" i="9"/>
  <c r="H76" i="9"/>
  <c r="G76" i="9"/>
  <c r="AV75" i="9"/>
  <c r="W75" i="9"/>
  <c r="S75" i="9"/>
  <c r="O75" i="9"/>
  <c r="K75" i="9"/>
  <c r="J75" i="9"/>
  <c r="I75" i="9"/>
  <c r="H75" i="9"/>
  <c r="L75" i="9" s="1"/>
  <c r="M75" i="9" s="1"/>
  <c r="N75" i="9" s="1"/>
  <c r="G75" i="9"/>
  <c r="AV74" i="9"/>
  <c r="W74" i="9"/>
  <c r="S74" i="9"/>
  <c r="O74" i="9"/>
  <c r="K74" i="9"/>
  <c r="J74" i="9"/>
  <c r="I74" i="9"/>
  <c r="H74" i="9"/>
  <c r="G74" i="9"/>
  <c r="AV73" i="9"/>
  <c r="W73" i="9"/>
  <c r="S73" i="9"/>
  <c r="O73" i="9"/>
  <c r="K73" i="9"/>
  <c r="J73" i="9"/>
  <c r="I73" i="9"/>
  <c r="H73" i="9"/>
  <c r="G73" i="9"/>
  <c r="AV72" i="9"/>
  <c r="W72" i="9"/>
  <c r="S72" i="9"/>
  <c r="O72" i="9"/>
  <c r="K72" i="9"/>
  <c r="J72" i="9"/>
  <c r="I72" i="9"/>
  <c r="H72" i="9"/>
  <c r="G72" i="9"/>
  <c r="AV71" i="9"/>
  <c r="W71" i="9"/>
  <c r="S71" i="9"/>
  <c r="O71" i="9"/>
  <c r="K71" i="9"/>
  <c r="J71" i="9"/>
  <c r="I71" i="9"/>
  <c r="H71" i="9"/>
  <c r="G71" i="9"/>
  <c r="AV70" i="9"/>
  <c r="W70" i="9"/>
  <c r="S70" i="9"/>
  <c r="O70" i="9"/>
  <c r="K70" i="9"/>
  <c r="J70" i="9"/>
  <c r="I70" i="9"/>
  <c r="H70" i="9"/>
  <c r="L70" i="9" s="1"/>
  <c r="M70" i="9" s="1"/>
  <c r="N70" i="9" s="1"/>
  <c r="G70" i="9"/>
  <c r="AV69" i="9"/>
  <c r="W69" i="9"/>
  <c r="S69" i="9"/>
  <c r="O69" i="9"/>
  <c r="K69" i="9"/>
  <c r="J69" i="9"/>
  <c r="I69" i="9"/>
  <c r="H69" i="9"/>
  <c r="G69" i="9"/>
  <c r="AV68" i="9"/>
  <c r="W68" i="9"/>
  <c r="S68" i="9"/>
  <c r="O68" i="9"/>
  <c r="K68" i="9"/>
  <c r="J68" i="9"/>
  <c r="I68" i="9"/>
  <c r="H68" i="9"/>
  <c r="L68" i="9" s="1"/>
  <c r="M68" i="9" s="1"/>
  <c r="G68" i="9"/>
  <c r="AV67" i="9"/>
  <c r="W67" i="9"/>
  <c r="S67" i="9"/>
  <c r="O67" i="9"/>
  <c r="K67" i="9"/>
  <c r="J67" i="9"/>
  <c r="I67" i="9"/>
  <c r="H67" i="9"/>
  <c r="L67" i="9" s="1"/>
  <c r="M67" i="9" s="1"/>
  <c r="N67" i="9" s="1"/>
  <c r="G67" i="9"/>
  <c r="AV66" i="9"/>
  <c r="W66" i="9"/>
  <c r="S66" i="9"/>
  <c r="O66" i="9"/>
  <c r="K66" i="9"/>
  <c r="J66" i="9"/>
  <c r="I66" i="9"/>
  <c r="H66" i="9"/>
  <c r="G66" i="9"/>
  <c r="AV65" i="9"/>
  <c r="W65" i="9"/>
  <c r="S65" i="9"/>
  <c r="O65" i="9"/>
  <c r="K65" i="9"/>
  <c r="J65" i="9"/>
  <c r="I65" i="9"/>
  <c r="H65" i="9"/>
  <c r="G65" i="9"/>
  <c r="AV64" i="9"/>
  <c r="W64" i="9"/>
  <c r="S64" i="9"/>
  <c r="O64" i="9"/>
  <c r="K64" i="9"/>
  <c r="J64" i="9"/>
  <c r="I64" i="9"/>
  <c r="H64" i="9"/>
  <c r="L64" i="9" s="1"/>
  <c r="M64" i="9" s="1"/>
  <c r="G64" i="9"/>
  <c r="AV63" i="9"/>
  <c r="W63" i="9"/>
  <c r="S63" i="9"/>
  <c r="O63" i="9"/>
  <c r="K63" i="9"/>
  <c r="J63" i="9"/>
  <c r="I63" i="9"/>
  <c r="H63" i="9"/>
  <c r="L63" i="9" s="1"/>
  <c r="M63" i="9" s="1"/>
  <c r="N63" i="9" s="1"/>
  <c r="G63" i="9"/>
  <c r="AV62" i="9"/>
  <c r="W62" i="9"/>
  <c r="S62" i="9"/>
  <c r="O62" i="9"/>
  <c r="K62" i="9"/>
  <c r="J62" i="9"/>
  <c r="I62" i="9"/>
  <c r="H62" i="9"/>
  <c r="G62" i="9"/>
  <c r="AV61" i="9"/>
  <c r="W61" i="9"/>
  <c r="S61" i="9"/>
  <c r="O61" i="9"/>
  <c r="K61" i="9"/>
  <c r="J61" i="9"/>
  <c r="I61" i="9"/>
  <c r="H61" i="9"/>
  <c r="G61" i="9"/>
  <c r="AV60" i="9"/>
  <c r="W60" i="9"/>
  <c r="S60" i="9"/>
  <c r="O60" i="9"/>
  <c r="K60" i="9"/>
  <c r="J60" i="9"/>
  <c r="I60" i="9"/>
  <c r="H60" i="9"/>
  <c r="L60" i="9" s="1"/>
  <c r="M60" i="9" s="1"/>
  <c r="G60" i="9"/>
  <c r="AV59" i="9"/>
  <c r="W59" i="9"/>
  <c r="S59" i="9"/>
  <c r="O59" i="9"/>
  <c r="K59" i="9"/>
  <c r="J59" i="9"/>
  <c r="N59" i="9" s="1"/>
  <c r="I59" i="9"/>
  <c r="H59" i="9"/>
  <c r="L59" i="9" s="1"/>
  <c r="M59" i="9" s="1"/>
  <c r="G59" i="9"/>
  <c r="AV58" i="9"/>
  <c r="W58" i="9"/>
  <c r="S58" i="9"/>
  <c r="O58" i="9"/>
  <c r="K58" i="9"/>
  <c r="J58" i="9"/>
  <c r="I58" i="9"/>
  <c r="H58" i="9"/>
  <c r="G58" i="9"/>
  <c r="AV57" i="9"/>
  <c r="W57" i="9"/>
  <c r="S57" i="9"/>
  <c r="O57" i="9"/>
  <c r="K57" i="9"/>
  <c r="J57" i="9"/>
  <c r="I57" i="9"/>
  <c r="H57" i="9"/>
  <c r="G57" i="9"/>
  <c r="AV56" i="9"/>
  <c r="W56" i="9"/>
  <c r="S56" i="9"/>
  <c r="O56" i="9"/>
  <c r="K56" i="9"/>
  <c r="J56" i="9"/>
  <c r="I56" i="9"/>
  <c r="H56" i="9"/>
  <c r="L56" i="9" s="1"/>
  <c r="M56" i="9" s="1"/>
  <c r="G56" i="9"/>
  <c r="AV55" i="9"/>
  <c r="W55" i="9"/>
  <c r="S55" i="9"/>
  <c r="O55" i="9"/>
  <c r="K55" i="9"/>
  <c r="J55" i="9"/>
  <c r="N55" i="9" s="1"/>
  <c r="I55" i="9"/>
  <c r="H55" i="9"/>
  <c r="L55" i="9" s="1"/>
  <c r="M55" i="9" s="1"/>
  <c r="G55" i="9"/>
  <c r="AV54" i="9"/>
  <c r="W54" i="9"/>
  <c r="S54" i="9"/>
  <c r="O54" i="9"/>
  <c r="K54" i="9"/>
  <c r="J54" i="9"/>
  <c r="I54" i="9"/>
  <c r="H54" i="9"/>
  <c r="G54" i="9"/>
  <c r="AV53" i="9"/>
  <c r="W53" i="9"/>
  <c r="S53" i="9"/>
  <c r="O53" i="9"/>
  <c r="K53" i="9"/>
  <c r="J53" i="9"/>
  <c r="I53" i="9"/>
  <c r="H53" i="9"/>
  <c r="G53" i="9"/>
  <c r="AV52" i="9"/>
  <c r="W52" i="9"/>
  <c r="S52" i="9"/>
  <c r="O52" i="9"/>
  <c r="K52" i="9"/>
  <c r="J52" i="9"/>
  <c r="I52" i="9"/>
  <c r="H52" i="9"/>
  <c r="L52" i="9" s="1"/>
  <c r="M52" i="9" s="1"/>
  <c r="G52" i="9"/>
  <c r="AV51" i="9"/>
  <c r="W51" i="9"/>
  <c r="S51" i="9"/>
  <c r="O51" i="9"/>
  <c r="K51" i="9"/>
  <c r="J51" i="9"/>
  <c r="N51" i="9" s="1"/>
  <c r="I51" i="9"/>
  <c r="H51" i="9"/>
  <c r="L51" i="9" s="1"/>
  <c r="M51" i="9" s="1"/>
  <c r="G51" i="9"/>
  <c r="AV50" i="9"/>
  <c r="W50" i="9"/>
  <c r="S50" i="9"/>
  <c r="O50" i="9"/>
  <c r="K50" i="9"/>
  <c r="J50" i="9"/>
  <c r="I50" i="9"/>
  <c r="H50" i="9"/>
  <c r="G50" i="9"/>
  <c r="AV49" i="9"/>
  <c r="W49" i="9"/>
  <c r="S49" i="9"/>
  <c r="O49" i="9"/>
  <c r="K49" i="9"/>
  <c r="J49" i="9"/>
  <c r="I49" i="9"/>
  <c r="H49" i="9"/>
  <c r="G49" i="9"/>
  <c r="AV48" i="9"/>
  <c r="W48" i="9"/>
  <c r="S48" i="9"/>
  <c r="O48" i="9"/>
  <c r="K48" i="9"/>
  <c r="J48" i="9"/>
  <c r="I48" i="9"/>
  <c r="N48" i="9" s="1"/>
  <c r="H48" i="9"/>
  <c r="L48" i="9" s="1"/>
  <c r="M48" i="9" s="1"/>
  <c r="G48" i="9"/>
  <c r="AV47" i="9"/>
  <c r="W47" i="9"/>
  <c r="S47" i="9"/>
  <c r="O47" i="9"/>
  <c r="K47" i="9"/>
  <c r="J47" i="9"/>
  <c r="I47" i="9"/>
  <c r="H47" i="9"/>
  <c r="G47" i="9"/>
  <c r="AV46" i="9"/>
  <c r="W46" i="9"/>
  <c r="S46" i="9"/>
  <c r="O46" i="9"/>
  <c r="K46" i="9"/>
  <c r="J46" i="9"/>
  <c r="I46" i="9"/>
  <c r="H46" i="9"/>
  <c r="G46" i="9"/>
  <c r="AV45" i="9"/>
  <c r="W45" i="9"/>
  <c r="S45" i="9"/>
  <c r="O45" i="9"/>
  <c r="K45" i="9"/>
  <c r="J45" i="9"/>
  <c r="I45" i="9"/>
  <c r="H45" i="9"/>
  <c r="G45" i="9"/>
  <c r="AV44" i="9"/>
  <c r="W44" i="9"/>
  <c r="S44" i="9"/>
  <c r="O44" i="9"/>
  <c r="K44" i="9"/>
  <c r="J44" i="9"/>
  <c r="I44" i="9"/>
  <c r="N44" i="9" s="1"/>
  <c r="H44" i="9"/>
  <c r="L44" i="9" s="1"/>
  <c r="M44" i="9" s="1"/>
  <c r="G44" i="9"/>
  <c r="AV43" i="9"/>
  <c r="W43" i="9"/>
  <c r="S43" i="9"/>
  <c r="O43" i="9"/>
  <c r="K43" i="9"/>
  <c r="J43" i="9"/>
  <c r="I43" i="9"/>
  <c r="H43" i="9"/>
  <c r="G43" i="9"/>
  <c r="AV42" i="9"/>
  <c r="W42" i="9"/>
  <c r="S42" i="9"/>
  <c r="O42" i="9"/>
  <c r="K42" i="9"/>
  <c r="J42" i="9"/>
  <c r="I42" i="9"/>
  <c r="H42" i="9"/>
  <c r="G42" i="9"/>
  <c r="AV41" i="9"/>
  <c r="W41" i="9"/>
  <c r="S41" i="9"/>
  <c r="O41" i="9"/>
  <c r="K41" i="9"/>
  <c r="J41" i="9"/>
  <c r="I41" i="9"/>
  <c r="G41" i="9"/>
  <c r="AV40" i="9"/>
  <c r="W40" i="9"/>
  <c r="S40" i="9"/>
  <c r="O40" i="9"/>
  <c r="K40" i="9"/>
  <c r="J40" i="9"/>
  <c r="I40" i="9"/>
  <c r="N40" i="9" s="1"/>
  <c r="R40" i="9" s="1"/>
  <c r="H40" i="9"/>
  <c r="L40" i="9" s="1"/>
  <c r="M40" i="9" s="1"/>
  <c r="G40" i="9"/>
  <c r="AV39" i="9"/>
  <c r="W39" i="9"/>
  <c r="S39" i="9"/>
  <c r="O39" i="9"/>
  <c r="K39" i="9"/>
  <c r="J39" i="9"/>
  <c r="I39" i="9"/>
  <c r="H39" i="9"/>
  <c r="G39" i="9"/>
  <c r="AV38" i="9"/>
  <c r="W38" i="9"/>
  <c r="S38" i="9"/>
  <c r="O38" i="9"/>
  <c r="K38" i="9"/>
  <c r="J38" i="9"/>
  <c r="I38" i="9"/>
  <c r="H38" i="9"/>
  <c r="G38" i="9"/>
  <c r="AV37" i="9"/>
  <c r="W37" i="9"/>
  <c r="S37" i="9"/>
  <c r="O37" i="9"/>
  <c r="K37" i="9"/>
  <c r="J37" i="9"/>
  <c r="I37" i="9"/>
  <c r="H37" i="9"/>
  <c r="G37" i="9"/>
  <c r="AV36" i="9"/>
  <c r="W36" i="9"/>
  <c r="S36" i="9"/>
  <c r="O36" i="9"/>
  <c r="K36" i="9"/>
  <c r="J36" i="9"/>
  <c r="I36" i="9"/>
  <c r="H36" i="9"/>
  <c r="L36" i="9" s="1"/>
  <c r="M36" i="9" s="1"/>
  <c r="G36" i="9"/>
  <c r="AV35" i="9"/>
  <c r="W35" i="9"/>
  <c r="S35" i="9"/>
  <c r="O35" i="9"/>
  <c r="K35" i="9"/>
  <c r="J35" i="9"/>
  <c r="I35" i="9"/>
  <c r="H35" i="9"/>
  <c r="G35" i="9"/>
  <c r="AV34" i="9"/>
  <c r="W34" i="9"/>
  <c r="S34" i="9"/>
  <c r="O34" i="9"/>
  <c r="K34" i="9"/>
  <c r="J34" i="9"/>
  <c r="I34" i="9"/>
  <c r="H34" i="9"/>
  <c r="G34" i="9"/>
  <c r="AV33" i="9"/>
  <c r="W33" i="9"/>
  <c r="S33" i="9"/>
  <c r="O33" i="9"/>
  <c r="K33" i="9"/>
  <c r="J33" i="9"/>
  <c r="I33" i="9"/>
  <c r="H33" i="9"/>
  <c r="L33" i="9" s="1"/>
  <c r="M33" i="9" s="1"/>
  <c r="G33" i="9"/>
  <c r="AV32" i="9"/>
  <c r="W32" i="9"/>
  <c r="S32" i="9"/>
  <c r="O32" i="9"/>
  <c r="K32" i="9"/>
  <c r="J32" i="9"/>
  <c r="I32" i="9"/>
  <c r="H32" i="9"/>
  <c r="L32" i="9" s="1"/>
  <c r="M32" i="9" s="1"/>
  <c r="G32" i="9"/>
  <c r="AV31" i="9"/>
  <c r="W31" i="9"/>
  <c r="S31" i="9"/>
  <c r="O31" i="9"/>
  <c r="K31" i="9"/>
  <c r="J31" i="9"/>
  <c r="I31" i="9"/>
  <c r="N31" i="9" s="1"/>
  <c r="H31" i="9"/>
  <c r="L31" i="9" s="1"/>
  <c r="M31" i="9" s="1"/>
  <c r="G31" i="9"/>
  <c r="AV30" i="9"/>
  <c r="W30" i="9"/>
  <c r="S30" i="9"/>
  <c r="O30" i="9"/>
  <c r="K30" i="9"/>
  <c r="J30" i="9"/>
  <c r="I30" i="9"/>
  <c r="H30" i="9"/>
  <c r="G30" i="9"/>
  <c r="AV29" i="9"/>
  <c r="W29" i="9"/>
  <c r="S29" i="9"/>
  <c r="O29" i="9"/>
  <c r="K29" i="9"/>
  <c r="J29" i="9"/>
  <c r="I29" i="9"/>
  <c r="H29" i="9"/>
  <c r="L29" i="9" s="1"/>
  <c r="M29" i="9" s="1"/>
  <c r="G29" i="9"/>
  <c r="AV28" i="9"/>
  <c r="W28" i="9"/>
  <c r="S28" i="9"/>
  <c r="O28" i="9"/>
  <c r="K28" i="9"/>
  <c r="J28" i="9"/>
  <c r="I28" i="9"/>
  <c r="H28" i="9"/>
  <c r="L28" i="9" s="1"/>
  <c r="M28" i="9" s="1"/>
  <c r="G28" i="9"/>
  <c r="AV27" i="9"/>
  <c r="W27" i="9"/>
  <c r="S27" i="9"/>
  <c r="O27" i="9"/>
  <c r="K27" i="9"/>
  <c r="J27" i="9"/>
  <c r="I27" i="9"/>
  <c r="H27" i="9"/>
  <c r="G27" i="9"/>
  <c r="AV26" i="9"/>
  <c r="W26" i="9"/>
  <c r="S26" i="9"/>
  <c r="O26" i="9"/>
  <c r="K26" i="9"/>
  <c r="J26" i="9"/>
  <c r="I26" i="9"/>
  <c r="H26" i="9"/>
  <c r="G26" i="9"/>
  <c r="AV25" i="9"/>
  <c r="W25" i="9"/>
  <c r="S25" i="9"/>
  <c r="O25" i="9"/>
  <c r="K25" i="9"/>
  <c r="J25" i="9"/>
  <c r="I25" i="9"/>
  <c r="H25" i="9"/>
  <c r="L25" i="9" s="1"/>
  <c r="M25" i="9" s="1"/>
  <c r="G25" i="9"/>
  <c r="AV24" i="9"/>
  <c r="W24" i="9"/>
  <c r="S24" i="9"/>
  <c r="O24" i="9"/>
  <c r="K24" i="9"/>
  <c r="J24" i="9"/>
  <c r="I24" i="9"/>
  <c r="H24" i="9"/>
  <c r="L24" i="9" s="1"/>
  <c r="M24" i="9" s="1"/>
  <c r="G24" i="9"/>
  <c r="A24" i="9"/>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V18" i="9"/>
  <c r="W18" i="9"/>
  <c r="S18" i="9"/>
  <c r="O18" i="9"/>
  <c r="K18" i="9"/>
  <c r="J18" i="9"/>
  <c r="I18" i="9"/>
  <c r="H18" i="9"/>
  <c r="G18" i="9"/>
  <c r="AV17" i="9"/>
  <c r="W17" i="9"/>
  <c r="S17" i="9"/>
  <c r="O17" i="9"/>
  <c r="K17" i="9"/>
  <c r="J17" i="9"/>
  <c r="I17" i="9"/>
  <c r="H17" i="9"/>
  <c r="G17" i="9"/>
  <c r="AV16" i="9"/>
  <c r="W16" i="9"/>
  <c r="S16" i="9"/>
  <c r="O16" i="9"/>
  <c r="K16" i="9"/>
  <c r="J16" i="9"/>
  <c r="I16" i="9"/>
  <c r="N16" i="9" s="1"/>
  <c r="R16" i="9" s="1"/>
  <c r="H16" i="9"/>
  <c r="L16" i="9" s="1"/>
  <c r="M16" i="9" s="1"/>
  <c r="G16" i="9"/>
  <c r="AV15" i="9"/>
  <c r="W15" i="9"/>
  <c r="S15" i="9"/>
  <c r="O15" i="9"/>
  <c r="K15" i="9"/>
  <c r="J15" i="9"/>
  <c r="J11" i="9" s="1"/>
  <c r="J194" i="9" s="1"/>
  <c r="I15" i="9"/>
  <c r="H15" i="9"/>
  <c r="L15" i="9" s="1"/>
  <c r="M15" i="9" s="1"/>
  <c r="G15" i="9"/>
  <c r="AV14" i="9"/>
  <c r="W14" i="9"/>
  <c r="S14" i="9"/>
  <c r="S11" i="9" s="1"/>
  <c r="O14" i="9"/>
  <c r="O11" i="9" s="1"/>
  <c r="O194" i="9" s="1"/>
  <c r="K14" i="9"/>
  <c r="K11" i="9" s="1"/>
  <c r="K194" i="9" s="1"/>
  <c r="J14" i="9"/>
  <c r="I14" i="9"/>
  <c r="H14" i="9"/>
  <c r="G14" i="9"/>
  <c r="G11" i="9" s="1"/>
  <c r="G194" i="9" s="1"/>
  <c r="AV13" i="9"/>
  <c r="AV11" i="9" s="1"/>
  <c r="AV194" i="9" s="1"/>
  <c r="W13" i="9"/>
  <c r="W11" i="9" s="1"/>
  <c r="S13" i="9"/>
  <c r="O13" i="9"/>
  <c r="K13" i="9"/>
  <c r="J13" i="9"/>
  <c r="I13" i="9"/>
  <c r="H13" i="9"/>
  <c r="H11" i="9" s="1"/>
  <c r="H194" i="9" s="1"/>
  <c r="G13" i="9"/>
  <c r="A13" i="9"/>
  <c r="A14" i="9" s="1"/>
  <c r="A15" i="9" s="1"/>
  <c r="A16" i="9" s="1"/>
  <c r="A17" i="9" s="1"/>
  <c r="A18" i="9" s="1"/>
  <c r="AW11" i="9"/>
  <c r="AW194" i="9" s="1"/>
  <c r="AW195" i="9" s="1"/>
  <c r="AT11" i="9"/>
  <c r="AS11" i="9"/>
  <c r="AS194" i="9" s="1"/>
  <c r="AQ11" i="9"/>
  <c r="AO11" i="9"/>
  <c r="AO194" i="9" s="1"/>
  <c r="AN11" i="9"/>
  <c r="AM11" i="9"/>
  <c r="AL11" i="9"/>
  <c r="AK11" i="9"/>
  <c r="AK194" i="9" s="1"/>
  <c r="AJ11" i="9"/>
  <c r="AI11" i="9"/>
  <c r="AH11" i="9"/>
  <c r="AG11" i="9"/>
  <c r="AG194" i="9" s="1"/>
  <c r="AF11" i="9"/>
  <c r="AE11" i="9"/>
  <c r="AD11" i="9"/>
  <c r="AC11" i="9"/>
  <c r="AC194" i="9" s="1"/>
  <c r="AB11" i="9"/>
  <c r="Z11" i="9"/>
  <c r="Y11" i="9"/>
  <c r="Y194" i="9" s="1"/>
  <c r="X11" i="9"/>
  <c r="V11" i="9"/>
  <c r="U11" i="9"/>
  <c r="U194" i="9" s="1"/>
  <c r="T11" i="9"/>
  <c r="I11" i="9"/>
  <c r="I194" i="9" s="1"/>
  <c r="AV10" i="9"/>
  <c r="W10" i="9"/>
  <c r="S10" i="9"/>
  <c r="Q10" i="9"/>
  <c r="Q6" i="9" s="1"/>
  <c r="AV9" i="9"/>
  <c r="W9" i="9"/>
  <c r="S9" i="9"/>
  <c r="Q9" i="9"/>
  <c r="AV8" i="9"/>
  <c r="W8" i="9"/>
  <c r="S8" i="9"/>
  <c r="Q8" i="9"/>
  <c r="AV7" i="9"/>
  <c r="W7" i="9"/>
  <c r="W6" i="9" s="1"/>
  <c r="S7" i="9"/>
  <c r="S6" i="9" s="1"/>
  <c r="Q7" i="9"/>
  <c r="AV6" i="9"/>
  <c r="AT6" i="9"/>
  <c r="AS6" i="9"/>
  <c r="AQ6" i="9"/>
  <c r="AO6" i="9"/>
  <c r="AN6" i="9"/>
  <c r="AM6" i="9"/>
  <c r="AL6" i="9"/>
  <c r="AK6" i="9"/>
  <c r="AJ6" i="9"/>
  <c r="AI6" i="9"/>
  <c r="AH6" i="9"/>
  <c r="AG6" i="9"/>
  <c r="AF6" i="9"/>
  <c r="AE6" i="9"/>
  <c r="AD6" i="9"/>
  <c r="AC6" i="9"/>
  <c r="AB6" i="9"/>
  <c r="Z6" i="9"/>
  <c r="Y6" i="9"/>
  <c r="X6" i="9"/>
  <c r="V6" i="9"/>
  <c r="U6" i="9"/>
  <c r="T6" i="9"/>
  <c r="O6" i="9"/>
  <c r="N6" i="9"/>
  <c r="M6" i="9"/>
  <c r="L6" i="9"/>
  <c r="K6" i="9"/>
  <c r="I6" i="9"/>
  <c r="H6" i="9"/>
  <c r="G6" i="9"/>
  <c r="Z5" i="9"/>
  <c r="AD5" i="9" s="1"/>
  <c r="AH5" i="9" s="1"/>
  <c r="AL5" i="9" s="1"/>
  <c r="Y5" i="9"/>
  <c r="AC5" i="9" s="1"/>
  <c r="AG5" i="9" s="1"/>
  <c r="AK5" i="9" s="1"/>
  <c r="AO5" i="9" s="1"/>
  <c r="X5" i="9"/>
  <c r="AB5" i="9" s="1"/>
  <c r="AF5" i="9" s="1"/>
  <c r="AJ5" i="9" s="1"/>
  <c r="AN5" i="9" s="1"/>
  <c r="W5" i="9"/>
  <c r="AA5" i="9" s="1"/>
  <c r="AE5" i="9" s="1"/>
  <c r="AI5" i="9" s="1"/>
  <c r="AM5" i="9" s="1"/>
  <c r="M5" i="9"/>
  <c r="N5" i="9" s="1"/>
  <c r="O5" i="9" s="1"/>
  <c r="P5" i="9" s="1"/>
  <c r="Q5" i="9" s="1"/>
  <c r="K191" i="5"/>
  <c r="K189" i="5"/>
  <c r="K188" i="5"/>
  <c r="J174" i="4"/>
  <c r="F174" i="4"/>
  <c r="E174"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174" i="4" s="1"/>
  <c r="L189" i="7"/>
  <c r="I189" i="7"/>
  <c r="M188" i="7"/>
  <c r="K188" i="7"/>
  <c r="Q28" i="9" s="1"/>
  <c r="J188" i="7"/>
  <c r="P28" i="9" s="1"/>
  <c r="G188" i="7"/>
  <c r="F188" i="7"/>
  <c r="M187" i="7"/>
  <c r="K187" i="7"/>
  <c r="Q91" i="9" s="1"/>
  <c r="G187" i="7"/>
  <c r="F187" i="7"/>
  <c r="J187" i="7" s="1"/>
  <c r="P91" i="9" s="1"/>
  <c r="M186" i="7"/>
  <c r="G186" i="7"/>
  <c r="K186" i="7" s="1"/>
  <c r="Q62" i="9" s="1"/>
  <c r="F186" i="7"/>
  <c r="J186" i="7" s="1"/>
  <c r="P62" i="9" s="1"/>
  <c r="M185" i="7"/>
  <c r="J185" i="7"/>
  <c r="P153" i="9" s="1"/>
  <c r="G185" i="7"/>
  <c r="K185" i="7" s="1"/>
  <c r="Q153" i="9" s="1"/>
  <c r="F185" i="7"/>
  <c r="M184" i="7"/>
  <c r="K184" i="7"/>
  <c r="Q166" i="9" s="1"/>
  <c r="J184" i="7"/>
  <c r="P166" i="9" s="1"/>
  <c r="G184" i="7"/>
  <c r="F184" i="7"/>
  <c r="M183" i="7"/>
  <c r="K183" i="7"/>
  <c r="Q49" i="9" s="1"/>
  <c r="G183" i="7"/>
  <c r="F183" i="7"/>
  <c r="J183" i="7" s="1"/>
  <c r="P49" i="9" s="1"/>
  <c r="M182" i="7"/>
  <c r="J182" i="7"/>
  <c r="P26" i="9" s="1"/>
  <c r="H182" i="7"/>
  <c r="H189" i="7" s="1"/>
  <c r="G182" i="7"/>
  <c r="K182" i="7" s="1"/>
  <c r="Q26" i="9" s="1"/>
  <c r="F182" i="7"/>
  <c r="M181" i="7"/>
  <c r="K181" i="7"/>
  <c r="Q27" i="9" s="1"/>
  <c r="J181" i="7"/>
  <c r="P27" i="9" s="1"/>
  <c r="G181" i="7"/>
  <c r="F181" i="7"/>
  <c r="M180" i="7"/>
  <c r="K180" i="7"/>
  <c r="Q188" i="9" s="1"/>
  <c r="G180" i="7"/>
  <c r="F180" i="7"/>
  <c r="J180" i="7" s="1"/>
  <c r="P188" i="9" s="1"/>
  <c r="M179" i="7"/>
  <c r="G179" i="7"/>
  <c r="K179" i="7" s="1"/>
  <c r="Q34" i="9" s="1"/>
  <c r="F179" i="7"/>
  <c r="J179" i="7" s="1"/>
  <c r="P34" i="9" s="1"/>
  <c r="M178" i="7"/>
  <c r="J178" i="7"/>
  <c r="P169" i="9" s="1"/>
  <c r="G178" i="7"/>
  <c r="K178" i="7" s="1"/>
  <c r="Q169" i="9" s="1"/>
  <c r="F178" i="7"/>
  <c r="M177" i="7"/>
  <c r="K177" i="7"/>
  <c r="Q129" i="9" s="1"/>
  <c r="J177" i="7"/>
  <c r="P129" i="9" s="1"/>
  <c r="G177" i="7"/>
  <c r="F177" i="7"/>
  <c r="M176" i="7"/>
  <c r="K176" i="7"/>
  <c r="Q51" i="9" s="1"/>
  <c r="G176" i="7"/>
  <c r="F176" i="7"/>
  <c r="J176" i="7" s="1"/>
  <c r="P51" i="9" s="1"/>
  <c r="M175" i="7"/>
  <c r="G175" i="7"/>
  <c r="K175" i="7" s="1"/>
  <c r="Q149" i="9" s="1"/>
  <c r="F175" i="7"/>
  <c r="J175" i="7" s="1"/>
  <c r="P149" i="9" s="1"/>
  <c r="M174" i="7"/>
  <c r="J174" i="7"/>
  <c r="P81" i="9" s="1"/>
  <c r="G174" i="7"/>
  <c r="K174" i="7" s="1"/>
  <c r="Q81" i="9" s="1"/>
  <c r="F174" i="7"/>
  <c r="M173" i="7"/>
  <c r="K173" i="7"/>
  <c r="Q89" i="9" s="1"/>
  <c r="J173" i="7"/>
  <c r="P89" i="9" s="1"/>
  <c r="G173" i="7"/>
  <c r="F173" i="7"/>
  <c r="M172" i="7"/>
  <c r="K172" i="7"/>
  <c r="Q170" i="9" s="1"/>
  <c r="G172" i="7"/>
  <c r="F172" i="7"/>
  <c r="J172" i="7" s="1"/>
  <c r="P170" i="9" s="1"/>
  <c r="M171" i="7"/>
  <c r="G171" i="7"/>
  <c r="K171" i="7" s="1"/>
  <c r="Q134" i="9" s="1"/>
  <c r="F171" i="7"/>
  <c r="J171" i="7" s="1"/>
  <c r="P134" i="9" s="1"/>
  <c r="M170" i="7"/>
  <c r="J170" i="7"/>
  <c r="G170" i="7"/>
  <c r="K170" i="7" s="1"/>
  <c r="F170" i="7"/>
  <c r="M169" i="7"/>
  <c r="K169" i="7"/>
  <c r="Q190" i="9" s="1"/>
  <c r="J169" i="7"/>
  <c r="P190" i="9" s="1"/>
  <c r="G169" i="7"/>
  <c r="F169" i="7"/>
  <c r="M168" i="7"/>
  <c r="K168" i="7"/>
  <c r="Q163" i="9" s="1"/>
  <c r="G168" i="7"/>
  <c r="F168" i="7"/>
  <c r="J168" i="7" s="1"/>
  <c r="P163" i="9" s="1"/>
  <c r="M167" i="7"/>
  <c r="G167" i="7"/>
  <c r="K167" i="7" s="1"/>
  <c r="Q146" i="9" s="1"/>
  <c r="F167" i="7"/>
  <c r="J167" i="7" s="1"/>
  <c r="P146" i="9" s="1"/>
  <c r="M166" i="7"/>
  <c r="J166" i="7"/>
  <c r="P46" i="9" s="1"/>
  <c r="G166" i="7"/>
  <c r="K166" i="7" s="1"/>
  <c r="Q46" i="9" s="1"/>
  <c r="F166" i="7"/>
  <c r="M165" i="7"/>
  <c r="K165" i="7"/>
  <c r="Q142" i="9" s="1"/>
  <c r="J165" i="7"/>
  <c r="P142" i="9" s="1"/>
  <c r="G165" i="7"/>
  <c r="F165" i="7"/>
  <c r="M164" i="7"/>
  <c r="K164" i="7"/>
  <c r="Q50" i="9" s="1"/>
  <c r="G164" i="7"/>
  <c r="F164" i="7"/>
  <c r="J164" i="7" s="1"/>
  <c r="P50" i="9" s="1"/>
  <c r="M163" i="7"/>
  <c r="G163" i="7"/>
  <c r="K163" i="7" s="1"/>
  <c r="Q72" i="9" s="1"/>
  <c r="F163" i="7"/>
  <c r="J163" i="7" s="1"/>
  <c r="P72" i="9" s="1"/>
  <c r="M162" i="7"/>
  <c r="J162" i="7"/>
  <c r="P76" i="9" s="1"/>
  <c r="G162" i="7"/>
  <c r="K162" i="7" s="1"/>
  <c r="Q76" i="9" s="1"/>
  <c r="F162" i="7"/>
  <c r="M161" i="7"/>
  <c r="K161" i="7"/>
  <c r="Q103" i="9" s="1"/>
  <c r="J161" i="7"/>
  <c r="P103" i="9" s="1"/>
  <c r="G161" i="7"/>
  <c r="F161" i="7"/>
  <c r="M160" i="7"/>
  <c r="K160" i="7"/>
  <c r="Q140" i="9" s="1"/>
  <c r="G160" i="7"/>
  <c r="F160" i="7"/>
  <c r="J160" i="7" s="1"/>
  <c r="P140" i="9" s="1"/>
  <c r="M159" i="7"/>
  <c r="G159" i="7"/>
  <c r="K159" i="7" s="1"/>
  <c r="Q109" i="9" s="1"/>
  <c r="F159" i="7"/>
  <c r="J159" i="7" s="1"/>
  <c r="P109" i="9" s="1"/>
  <c r="M158" i="7"/>
  <c r="J158" i="7"/>
  <c r="P35" i="9" s="1"/>
  <c r="G158" i="7"/>
  <c r="K158" i="7" s="1"/>
  <c r="Q35" i="9" s="1"/>
  <c r="F158" i="7"/>
  <c r="M157" i="7"/>
  <c r="K157" i="7"/>
  <c r="Q116" i="9" s="1"/>
  <c r="J157" i="7"/>
  <c r="P116" i="9" s="1"/>
  <c r="G157" i="7"/>
  <c r="F157" i="7"/>
  <c r="M156" i="7"/>
  <c r="K156" i="7"/>
  <c r="Q177" i="9" s="1"/>
  <c r="G156" i="7"/>
  <c r="F156" i="7"/>
  <c r="J156" i="7" s="1"/>
  <c r="P177" i="9" s="1"/>
  <c r="M155" i="7"/>
  <c r="G155" i="7"/>
  <c r="K155" i="7" s="1"/>
  <c r="Q63" i="9" s="1"/>
  <c r="F155" i="7"/>
  <c r="J155" i="7" s="1"/>
  <c r="P63" i="9" s="1"/>
  <c r="M154" i="7"/>
  <c r="J154" i="7"/>
  <c r="P67" i="9" s="1"/>
  <c r="G154" i="7"/>
  <c r="K154" i="7" s="1"/>
  <c r="Q67" i="9" s="1"/>
  <c r="F154" i="7"/>
  <c r="M153" i="7"/>
  <c r="K153" i="7"/>
  <c r="Q90" i="9" s="1"/>
  <c r="J153" i="7"/>
  <c r="P90" i="9" s="1"/>
  <c r="G153" i="7"/>
  <c r="F153" i="7"/>
  <c r="M152" i="7"/>
  <c r="K152" i="7"/>
  <c r="Q97" i="9" s="1"/>
  <c r="G152" i="7"/>
  <c r="F152" i="7"/>
  <c r="J152" i="7" s="1"/>
  <c r="P97" i="9" s="1"/>
  <c r="M151" i="7"/>
  <c r="G151" i="7"/>
  <c r="K151" i="7" s="1"/>
  <c r="F151" i="7"/>
  <c r="J151" i="7" s="1"/>
  <c r="J150" i="7"/>
  <c r="P119" i="9" s="1"/>
  <c r="G150" i="7"/>
  <c r="K150" i="7" s="1"/>
  <c r="Q119" i="9" s="1"/>
  <c r="F150" i="7"/>
  <c r="E150" i="7"/>
  <c r="M150" i="7" s="1"/>
  <c r="K149" i="7"/>
  <c r="Q53" i="9" s="1"/>
  <c r="G149" i="7"/>
  <c r="F149" i="7"/>
  <c r="E149" i="7"/>
  <c r="J149" i="7" s="1"/>
  <c r="P53" i="9" s="1"/>
  <c r="J148" i="7"/>
  <c r="P107" i="9" s="1"/>
  <c r="G148" i="7"/>
  <c r="K148" i="7" s="1"/>
  <c r="Q107" i="9" s="1"/>
  <c r="F148" i="7"/>
  <c r="E148" i="7"/>
  <c r="M148" i="7" s="1"/>
  <c r="K147" i="7"/>
  <c r="Q44" i="9" s="1"/>
  <c r="G147" i="7"/>
  <c r="F147" i="7"/>
  <c r="E147" i="7"/>
  <c r="J147" i="7" s="1"/>
  <c r="P44" i="9" s="1"/>
  <c r="J146" i="7"/>
  <c r="P83" i="9" s="1"/>
  <c r="G146" i="7"/>
  <c r="K146" i="7" s="1"/>
  <c r="Q83" i="9" s="1"/>
  <c r="F146" i="7"/>
  <c r="E146" i="7"/>
  <c r="M146" i="7" s="1"/>
  <c r="K145" i="7"/>
  <c r="Q139" i="9" s="1"/>
  <c r="G145" i="7"/>
  <c r="F145" i="7"/>
  <c r="E145" i="7"/>
  <c r="J145" i="7" s="1"/>
  <c r="P139" i="9" s="1"/>
  <c r="J144" i="7"/>
  <c r="P39" i="9" s="1"/>
  <c r="G144" i="7"/>
  <c r="K144" i="7" s="1"/>
  <c r="Q39" i="9" s="1"/>
  <c r="F144" i="7"/>
  <c r="E144" i="7"/>
  <c r="M144" i="7" s="1"/>
  <c r="K143" i="7"/>
  <c r="Q45" i="9" s="1"/>
  <c r="G143" i="7"/>
  <c r="F143" i="7"/>
  <c r="E143" i="7"/>
  <c r="J143" i="7" s="1"/>
  <c r="P45" i="9" s="1"/>
  <c r="J142" i="7"/>
  <c r="P173" i="9" s="1"/>
  <c r="G142" i="7"/>
  <c r="K142" i="7" s="1"/>
  <c r="Q173" i="9" s="1"/>
  <c r="F142" i="7"/>
  <c r="E142" i="7"/>
  <c r="M142" i="7" s="1"/>
  <c r="K141" i="7"/>
  <c r="Q87" i="9" s="1"/>
  <c r="G141" i="7"/>
  <c r="F141" i="7"/>
  <c r="E141" i="7"/>
  <c r="J141" i="7" s="1"/>
  <c r="P87" i="9" s="1"/>
  <c r="J140" i="7"/>
  <c r="P33" i="9" s="1"/>
  <c r="G140" i="7"/>
  <c r="K140" i="7" s="1"/>
  <c r="Q33" i="9" s="1"/>
  <c r="F140" i="7"/>
  <c r="E140" i="7"/>
  <c r="M140" i="7" s="1"/>
  <c r="K139" i="7"/>
  <c r="Q105" i="9" s="1"/>
  <c r="G139" i="7"/>
  <c r="F139" i="7"/>
  <c r="E139" i="7"/>
  <c r="J139" i="7" s="1"/>
  <c r="P105" i="9" s="1"/>
  <c r="J138" i="7"/>
  <c r="P93" i="9" s="1"/>
  <c r="G138" i="7"/>
  <c r="K138" i="7" s="1"/>
  <c r="Q93" i="9" s="1"/>
  <c r="F138" i="7"/>
  <c r="E138" i="7"/>
  <c r="M138" i="7" s="1"/>
  <c r="K137" i="7"/>
  <c r="Q145" i="9" s="1"/>
  <c r="G137" i="7"/>
  <c r="F137" i="7"/>
  <c r="E137" i="7"/>
  <c r="J136" i="7"/>
  <c r="P185" i="9" s="1"/>
  <c r="G136" i="7"/>
  <c r="K136" i="7" s="1"/>
  <c r="Q185" i="9" s="1"/>
  <c r="F136" i="7"/>
  <c r="E136" i="7"/>
  <c r="M136" i="7" s="1"/>
  <c r="K135" i="7"/>
  <c r="Q54" i="9" s="1"/>
  <c r="G135" i="7"/>
  <c r="F135" i="7"/>
  <c r="E135" i="7"/>
  <c r="J134" i="7"/>
  <c r="P126" i="9" s="1"/>
  <c r="G134" i="7"/>
  <c r="K134" i="7" s="1"/>
  <c r="Q126" i="9" s="1"/>
  <c r="F134" i="7"/>
  <c r="E134" i="7"/>
  <c r="M134" i="7" s="1"/>
  <c r="K133" i="7"/>
  <c r="Q141" i="9" s="1"/>
  <c r="G133" i="7"/>
  <c r="F133" i="7"/>
  <c r="E133" i="7"/>
  <c r="J132" i="7"/>
  <c r="P86" i="9" s="1"/>
  <c r="G132" i="7"/>
  <c r="K132" i="7" s="1"/>
  <c r="Q86" i="9" s="1"/>
  <c r="F132" i="7"/>
  <c r="E132" i="7"/>
  <c r="M132" i="7" s="1"/>
  <c r="K131" i="7"/>
  <c r="Q154" i="9" s="1"/>
  <c r="G131" i="7"/>
  <c r="F131" i="7"/>
  <c r="E131" i="7"/>
  <c r="J130" i="7"/>
  <c r="P92" i="9" s="1"/>
  <c r="G130" i="7"/>
  <c r="K130" i="7" s="1"/>
  <c r="Q92" i="9" s="1"/>
  <c r="F130" i="7"/>
  <c r="E130" i="7"/>
  <c r="M130" i="7" s="1"/>
  <c r="K129" i="7"/>
  <c r="Q138" i="9" s="1"/>
  <c r="G129" i="7"/>
  <c r="F129" i="7"/>
  <c r="E129" i="7"/>
  <c r="J128" i="7"/>
  <c r="P151" i="9" s="1"/>
  <c r="G128" i="7"/>
  <c r="K128" i="7" s="1"/>
  <c r="Q151" i="9" s="1"/>
  <c r="F128" i="7"/>
  <c r="E128" i="7"/>
  <c r="M128" i="7" s="1"/>
  <c r="K127" i="7"/>
  <c r="Q74" i="9" s="1"/>
  <c r="G127" i="7"/>
  <c r="F127" i="7"/>
  <c r="E127" i="7"/>
  <c r="J126" i="7"/>
  <c r="P172" i="9" s="1"/>
  <c r="G126" i="7"/>
  <c r="K126" i="7" s="1"/>
  <c r="Q172" i="9" s="1"/>
  <c r="F126" i="7"/>
  <c r="E126" i="7"/>
  <c r="M126" i="7" s="1"/>
  <c r="K125" i="7"/>
  <c r="Q114" i="9" s="1"/>
  <c r="G125" i="7"/>
  <c r="F125" i="7"/>
  <c r="E125" i="7"/>
  <c r="J124" i="7"/>
  <c r="P183" i="9" s="1"/>
  <c r="G124" i="7"/>
  <c r="K124" i="7" s="1"/>
  <c r="Q183" i="9" s="1"/>
  <c r="F124" i="7"/>
  <c r="E124" i="7"/>
  <c r="M124" i="7" s="1"/>
  <c r="M123" i="7"/>
  <c r="K123" i="7"/>
  <c r="G123" i="7"/>
  <c r="F123" i="7"/>
  <c r="J123" i="7" s="1"/>
  <c r="M122" i="7"/>
  <c r="G122" i="7"/>
  <c r="K122" i="7" s="1"/>
  <c r="Q79" i="9" s="1"/>
  <c r="F122" i="7"/>
  <c r="J122" i="7" s="1"/>
  <c r="P79" i="9" s="1"/>
  <c r="E122" i="7"/>
  <c r="K121" i="7"/>
  <c r="Q94" i="9" s="1"/>
  <c r="J121" i="7"/>
  <c r="P94" i="9" s="1"/>
  <c r="G121" i="7"/>
  <c r="F121" i="7"/>
  <c r="E121" i="7"/>
  <c r="M121" i="7" s="1"/>
  <c r="M120" i="7"/>
  <c r="G120" i="7"/>
  <c r="K120" i="7" s="1"/>
  <c r="Q55" i="9" s="1"/>
  <c r="F120" i="7"/>
  <c r="J120" i="7" s="1"/>
  <c r="P55" i="9" s="1"/>
  <c r="E120" i="7"/>
  <c r="K119" i="7"/>
  <c r="Q13" i="9" s="1"/>
  <c r="J119" i="7"/>
  <c r="P13" i="9" s="1"/>
  <c r="G119" i="7"/>
  <c r="F119" i="7"/>
  <c r="E119" i="7"/>
  <c r="M119" i="7" s="1"/>
  <c r="M118" i="7"/>
  <c r="G118" i="7"/>
  <c r="K118" i="7" s="1"/>
  <c r="Q164" i="9" s="1"/>
  <c r="F118" i="7"/>
  <c r="J118" i="7" s="1"/>
  <c r="P164" i="9" s="1"/>
  <c r="E118" i="7"/>
  <c r="K117" i="7"/>
  <c r="Q186" i="9" s="1"/>
  <c r="J117" i="7"/>
  <c r="P186" i="9" s="1"/>
  <c r="G117" i="7"/>
  <c r="F117" i="7"/>
  <c r="E117" i="7"/>
  <c r="M117" i="7" s="1"/>
  <c r="M116" i="7"/>
  <c r="G116" i="7"/>
  <c r="K116" i="7" s="1"/>
  <c r="Q117" i="9" s="1"/>
  <c r="F116" i="7"/>
  <c r="J116" i="7" s="1"/>
  <c r="P117" i="9" s="1"/>
  <c r="E116" i="7"/>
  <c r="K115" i="7"/>
  <c r="Q108" i="9" s="1"/>
  <c r="J115" i="7"/>
  <c r="P108" i="9" s="1"/>
  <c r="G115" i="7"/>
  <c r="F115" i="7"/>
  <c r="E115" i="7"/>
  <c r="M115" i="7" s="1"/>
  <c r="M114" i="7"/>
  <c r="G114" i="7"/>
  <c r="K114" i="7" s="1"/>
  <c r="Q18" i="9" s="1"/>
  <c r="F114" i="7"/>
  <c r="J114" i="7" s="1"/>
  <c r="P18" i="9" s="1"/>
  <c r="E114" i="7"/>
  <c r="K113" i="7"/>
  <c r="Q113" i="9" s="1"/>
  <c r="J113" i="7"/>
  <c r="P113" i="9" s="1"/>
  <c r="G113" i="7"/>
  <c r="F113" i="7"/>
  <c r="E113" i="7"/>
  <c r="M113" i="7" s="1"/>
  <c r="M112" i="7"/>
  <c r="G112" i="7"/>
  <c r="K112" i="7" s="1"/>
  <c r="Q37" i="9" s="1"/>
  <c r="F112" i="7"/>
  <c r="J112" i="7" s="1"/>
  <c r="P37" i="9" s="1"/>
  <c r="E112" i="7"/>
  <c r="K111" i="7"/>
  <c r="Q167" i="9" s="1"/>
  <c r="J111" i="7"/>
  <c r="P167" i="9" s="1"/>
  <c r="G111" i="7"/>
  <c r="F111" i="7"/>
  <c r="E111" i="7"/>
  <c r="M111" i="7" s="1"/>
  <c r="M110" i="7"/>
  <c r="G110" i="7"/>
  <c r="K110" i="7" s="1"/>
  <c r="Q136" i="9" s="1"/>
  <c r="F110" i="7"/>
  <c r="J110" i="7" s="1"/>
  <c r="P136" i="9" s="1"/>
  <c r="E110" i="7"/>
  <c r="K109" i="7"/>
  <c r="Q65" i="9" s="1"/>
  <c r="J109" i="7"/>
  <c r="P65" i="9" s="1"/>
  <c r="G109" i="7"/>
  <c r="F109" i="7"/>
  <c r="E109" i="7"/>
  <c r="M109" i="7" s="1"/>
  <c r="M108" i="7"/>
  <c r="G108" i="7"/>
  <c r="K108" i="7" s="1"/>
  <c r="Q192" i="9" s="1"/>
  <c r="F108" i="7"/>
  <c r="J108" i="7" s="1"/>
  <c r="P192" i="9" s="1"/>
  <c r="E108" i="7"/>
  <c r="K107" i="7"/>
  <c r="Q101" i="9" s="1"/>
  <c r="J107" i="7"/>
  <c r="P101" i="9" s="1"/>
  <c r="G107" i="7"/>
  <c r="F107" i="7"/>
  <c r="E107" i="7"/>
  <c r="M107" i="7" s="1"/>
  <c r="M106" i="7"/>
  <c r="G106" i="7"/>
  <c r="K106" i="7" s="1"/>
  <c r="Q131" i="9" s="1"/>
  <c r="F106" i="7"/>
  <c r="J106" i="7" s="1"/>
  <c r="P131" i="9" s="1"/>
  <c r="E106" i="7"/>
  <c r="K105" i="7"/>
  <c r="Q100" i="9" s="1"/>
  <c r="G105" i="7"/>
  <c r="F105" i="7"/>
  <c r="E105" i="7"/>
  <c r="M105" i="7" s="1"/>
  <c r="M104" i="7"/>
  <c r="G104" i="7"/>
  <c r="K104" i="7" s="1"/>
  <c r="F104" i="7"/>
  <c r="J104" i="7" s="1"/>
  <c r="J103" i="7"/>
  <c r="P15" i="9" s="1"/>
  <c r="G103" i="7"/>
  <c r="K103" i="7" s="1"/>
  <c r="Q15" i="9" s="1"/>
  <c r="F103" i="7"/>
  <c r="E103" i="7"/>
  <c r="M103" i="7" s="1"/>
  <c r="K102" i="7"/>
  <c r="Q178" i="9" s="1"/>
  <c r="G102" i="7"/>
  <c r="F102" i="7"/>
  <c r="E102" i="7"/>
  <c r="J102" i="7" s="1"/>
  <c r="P178" i="9" s="1"/>
  <c r="J101" i="7"/>
  <c r="P77" i="9" s="1"/>
  <c r="G101" i="7"/>
  <c r="K101" i="7" s="1"/>
  <c r="Q77" i="9" s="1"/>
  <c r="F101" i="7"/>
  <c r="E101" i="7"/>
  <c r="M101" i="7" s="1"/>
  <c r="K100" i="7"/>
  <c r="Q99" i="9" s="1"/>
  <c r="G100" i="7"/>
  <c r="F100" i="7"/>
  <c r="E100" i="7"/>
  <c r="J99" i="7"/>
  <c r="P174" i="9" s="1"/>
  <c r="G99" i="7"/>
  <c r="K99" i="7" s="1"/>
  <c r="Q174" i="9" s="1"/>
  <c r="F99" i="7"/>
  <c r="E99" i="7"/>
  <c r="M99" i="7" s="1"/>
  <c r="K98" i="7"/>
  <c r="Q43" i="9" s="1"/>
  <c r="G98" i="7"/>
  <c r="F98" i="7"/>
  <c r="E98" i="7"/>
  <c r="J97" i="7"/>
  <c r="P176" i="9" s="1"/>
  <c r="G97" i="7"/>
  <c r="K97" i="7" s="1"/>
  <c r="Q176" i="9" s="1"/>
  <c r="F97" i="7"/>
  <c r="E97" i="7"/>
  <c r="M97" i="7" s="1"/>
  <c r="K96" i="7"/>
  <c r="Q165" i="9" s="1"/>
  <c r="G96" i="7"/>
  <c r="F96" i="7"/>
  <c r="E96" i="7"/>
  <c r="J96" i="7" s="1"/>
  <c r="P165" i="9" s="1"/>
  <c r="J95" i="7"/>
  <c r="P184" i="9" s="1"/>
  <c r="G95" i="7"/>
  <c r="K95" i="7" s="1"/>
  <c r="Q184" i="9" s="1"/>
  <c r="F95" i="7"/>
  <c r="E95" i="7"/>
  <c r="M95" i="7" s="1"/>
  <c r="K94" i="7"/>
  <c r="Q70" i="9" s="1"/>
  <c r="G94" i="7"/>
  <c r="F94" i="7"/>
  <c r="E94" i="7"/>
  <c r="J94" i="7" s="1"/>
  <c r="P70" i="9" s="1"/>
  <c r="J93" i="7"/>
  <c r="P60" i="9" s="1"/>
  <c r="G93" i="7"/>
  <c r="K93" i="7" s="1"/>
  <c r="Q60" i="9" s="1"/>
  <c r="F93" i="7"/>
  <c r="E93" i="7"/>
  <c r="M93" i="7" s="1"/>
  <c r="K92" i="7"/>
  <c r="Q71" i="9" s="1"/>
  <c r="G92" i="7"/>
  <c r="F92" i="7"/>
  <c r="E92" i="7"/>
  <c r="J91" i="7"/>
  <c r="P14" i="9" s="1"/>
  <c r="G91" i="7"/>
  <c r="K91" i="7" s="1"/>
  <c r="Q14" i="9" s="1"/>
  <c r="F91" i="7"/>
  <c r="E91" i="7"/>
  <c r="M91" i="7" s="1"/>
  <c r="K90" i="7"/>
  <c r="Q182" i="9" s="1"/>
  <c r="G90" i="7"/>
  <c r="F90" i="7"/>
  <c r="E90" i="7"/>
  <c r="J89" i="7"/>
  <c r="P121" i="9" s="1"/>
  <c r="G89" i="7"/>
  <c r="K89" i="7" s="1"/>
  <c r="Q121" i="9" s="1"/>
  <c r="F89" i="7"/>
  <c r="E89" i="7"/>
  <c r="M89" i="7" s="1"/>
  <c r="K88" i="7"/>
  <c r="Q104" i="9" s="1"/>
  <c r="G88" i="7"/>
  <c r="F88" i="7"/>
  <c r="E88" i="7"/>
  <c r="J88" i="7" s="1"/>
  <c r="P104" i="9" s="1"/>
  <c r="J87" i="7"/>
  <c r="P47" i="9" s="1"/>
  <c r="G87" i="7"/>
  <c r="K87" i="7" s="1"/>
  <c r="Q47" i="9" s="1"/>
  <c r="F87" i="7"/>
  <c r="E87" i="7"/>
  <c r="M87" i="7" s="1"/>
  <c r="M86" i="7"/>
  <c r="K86" i="7"/>
  <c r="G86" i="7"/>
  <c r="F86" i="7"/>
  <c r="J86" i="7" s="1"/>
  <c r="M85" i="7"/>
  <c r="G85" i="7"/>
  <c r="K85" i="7" s="1"/>
  <c r="Q80" i="9" s="1"/>
  <c r="F85" i="7"/>
  <c r="J85" i="7" s="1"/>
  <c r="P80" i="9" s="1"/>
  <c r="E85" i="7"/>
  <c r="K84" i="7"/>
  <c r="Q17" i="9" s="1"/>
  <c r="G84" i="7"/>
  <c r="F84" i="7"/>
  <c r="E84" i="7"/>
  <c r="M84" i="7" s="1"/>
  <c r="M83" i="7"/>
  <c r="G83" i="7"/>
  <c r="K83" i="7" s="1"/>
  <c r="Q123" i="9" s="1"/>
  <c r="F83" i="7"/>
  <c r="J83" i="7" s="1"/>
  <c r="P123" i="9" s="1"/>
  <c r="E83" i="7"/>
  <c r="K82" i="7"/>
  <c r="Q58" i="9" s="1"/>
  <c r="G82" i="7"/>
  <c r="F82" i="7"/>
  <c r="E82" i="7"/>
  <c r="M82" i="7" s="1"/>
  <c r="M81" i="7"/>
  <c r="G81" i="7"/>
  <c r="K81" i="7" s="1"/>
  <c r="Q57" i="9" s="1"/>
  <c r="F81" i="7"/>
  <c r="J81" i="7" s="1"/>
  <c r="P57" i="9" s="1"/>
  <c r="E81" i="7"/>
  <c r="K80" i="7"/>
  <c r="Q168" i="9" s="1"/>
  <c r="J80" i="7"/>
  <c r="P168" i="9" s="1"/>
  <c r="G80" i="7"/>
  <c r="F80" i="7"/>
  <c r="E80" i="7"/>
  <c r="M80" i="7" s="1"/>
  <c r="M79" i="7"/>
  <c r="G79" i="7"/>
  <c r="K79" i="7" s="1"/>
  <c r="Q110" i="9" s="1"/>
  <c r="F79" i="7"/>
  <c r="J79" i="7" s="1"/>
  <c r="P110" i="9" s="1"/>
  <c r="E79" i="7"/>
  <c r="K78" i="7"/>
  <c r="Q111" i="9" s="1"/>
  <c r="J78" i="7"/>
  <c r="P111" i="9" s="1"/>
  <c r="G78" i="7"/>
  <c r="F78" i="7"/>
  <c r="E78" i="7"/>
  <c r="M78" i="7" s="1"/>
  <c r="M77" i="7"/>
  <c r="G77" i="7"/>
  <c r="K77" i="7" s="1"/>
  <c r="Q42" i="9" s="1"/>
  <c r="F77" i="7"/>
  <c r="J77" i="7" s="1"/>
  <c r="P42" i="9" s="1"/>
  <c r="E77" i="7"/>
  <c r="K76" i="7"/>
  <c r="Q32" i="9" s="1"/>
  <c r="G76" i="7"/>
  <c r="F76" i="7"/>
  <c r="E76" i="7"/>
  <c r="M76" i="7" s="1"/>
  <c r="M75" i="7"/>
  <c r="G75" i="7"/>
  <c r="K75" i="7" s="1"/>
  <c r="Q38" i="9" s="1"/>
  <c r="F75" i="7"/>
  <c r="J75" i="7" s="1"/>
  <c r="P38" i="9" s="1"/>
  <c r="E75" i="7"/>
  <c r="K74" i="7"/>
  <c r="Q68" i="9" s="1"/>
  <c r="G74" i="7"/>
  <c r="F74" i="7"/>
  <c r="E74" i="7"/>
  <c r="M74" i="7" s="1"/>
  <c r="M73" i="7"/>
  <c r="G73" i="7"/>
  <c r="K73" i="7" s="1"/>
  <c r="Q82" i="9" s="1"/>
  <c r="F73" i="7"/>
  <c r="J73" i="7" s="1"/>
  <c r="P82" i="9" s="1"/>
  <c r="E73" i="7"/>
  <c r="K72" i="7"/>
  <c r="Q133" i="9" s="1"/>
  <c r="J72" i="7"/>
  <c r="P133" i="9" s="1"/>
  <c r="G72" i="7"/>
  <c r="F72" i="7"/>
  <c r="E72" i="7"/>
  <c r="M72" i="7" s="1"/>
  <c r="M71" i="7"/>
  <c r="G71" i="7"/>
  <c r="K71" i="7" s="1"/>
  <c r="F71" i="7"/>
  <c r="J71" i="7" s="1"/>
  <c r="M70" i="7"/>
  <c r="J70" i="7"/>
  <c r="P64" i="9" s="1"/>
  <c r="G70" i="7"/>
  <c r="K70" i="7" s="1"/>
  <c r="Q64" i="9" s="1"/>
  <c r="F70" i="7"/>
  <c r="M69" i="7"/>
  <c r="K69" i="7"/>
  <c r="Q41" i="9" s="1"/>
  <c r="J69" i="7"/>
  <c r="P41" i="9" s="1"/>
  <c r="G69" i="7"/>
  <c r="F69" i="7"/>
  <c r="M68" i="7"/>
  <c r="K68" i="7"/>
  <c r="Q59" i="9" s="1"/>
  <c r="G68" i="7"/>
  <c r="F68" i="7"/>
  <c r="J68" i="7" s="1"/>
  <c r="P59" i="9" s="1"/>
  <c r="M67" i="7"/>
  <c r="G67" i="7"/>
  <c r="K67" i="7" s="1"/>
  <c r="Q96" i="9" s="1"/>
  <c r="F67" i="7"/>
  <c r="J67" i="7" s="1"/>
  <c r="P96" i="9" s="1"/>
  <c r="M66" i="7"/>
  <c r="J66" i="7"/>
  <c r="P102" i="9" s="1"/>
  <c r="G66" i="7"/>
  <c r="K66" i="7" s="1"/>
  <c r="Q102" i="9" s="1"/>
  <c r="F66" i="7"/>
  <c r="M65" i="7"/>
  <c r="K65" i="7"/>
  <c r="Q132" i="9" s="1"/>
  <c r="J65" i="7"/>
  <c r="P132" i="9" s="1"/>
  <c r="G65" i="7"/>
  <c r="F65" i="7"/>
  <c r="M64" i="7"/>
  <c r="K64" i="7"/>
  <c r="Q181" i="9" s="1"/>
  <c r="G64" i="7"/>
  <c r="F64" i="7"/>
  <c r="J64" i="7" s="1"/>
  <c r="P181" i="9" s="1"/>
  <c r="M63" i="7"/>
  <c r="G63" i="7"/>
  <c r="K63" i="7" s="1"/>
  <c r="F63" i="7"/>
  <c r="J63" i="7" s="1"/>
  <c r="M62" i="7"/>
  <c r="J62" i="7"/>
  <c r="P179" i="9" s="1"/>
  <c r="G62" i="7"/>
  <c r="K62" i="7" s="1"/>
  <c r="Q179" i="9" s="1"/>
  <c r="F62" i="7"/>
  <c r="K61" i="7"/>
  <c r="Q69" i="9" s="1"/>
  <c r="J61" i="7"/>
  <c r="P69" i="9" s="1"/>
  <c r="G61" i="7"/>
  <c r="F61" i="7"/>
  <c r="E61" i="7"/>
  <c r="M61" i="7" s="1"/>
  <c r="M60" i="7"/>
  <c r="G60" i="7"/>
  <c r="K60" i="7" s="1"/>
  <c r="Q66" i="9" s="1"/>
  <c r="F60" i="7"/>
  <c r="J60" i="7" s="1"/>
  <c r="P66" i="9" s="1"/>
  <c r="M59" i="7"/>
  <c r="J59" i="7"/>
  <c r="P36" i="9" s="1"/>
  <c r="G59" i="7"/>
  <c r="K59" i="7" s="1"/>
  <c r="Q36" i="9" s="1"/>
  <c r="F59" i="7"/>
  <c r="M58" i="7"/>
  <c r="K58" i="7"/>
  <c r="Q187" i="9" s="1"/>
  <c r="J58" i="7"/>
  <c r="P187" i="9" s="1"/>
  <c r="G58" i="7"/>
  <c r="F58" i="7"/>
  <c r="M57" i="7"/>
  <c r="K57" i="7"/>
  <c r="Q48" i="9" s="1"/>
  <c r="G57" i="7"/>
  <c r="F57" i="7"/>
  <c r="J57" i="7" s="1"/>
  <c r="P48" i="9" s="1"/>
  <c r="M56" i="7"/>
  <c r="G56" i="7"/>
  <c r="K56" i="7" s="1"/>
  <c r="Q120" i="9" s="1"/>
  <c r="F56" i="7"/>
  <c r="J56" i="7" s="1"/>
  <c r="P120" i="9" s="1"/>
  <c r="M55" i="7"/>
  <c r="J55" i="7"/>
  <c r="P29" i="9" s="1"/>
  <c r="G55" i="7"/>
  <c r="K55" i="7" s="1"/>
  <c r="Q29" i="9" s="1"/>
  <c r="F55" i="7"/>
  <c r="M54" i="7"/>
  <c r="K54" i="7"/>
  <c r="Q88" i="9" s="1"/>
  <c r="J54" i="7"/>
  <c r="P88" i="9" s="1"/>
  <c r="G54" i="7"/>
  <c r="F54" i="7"/>
  <c r="M53" i="7"/>
  <c r="K53" i="7"/>
  <c r="G53" i="7"/>
  <c r="F53" i="7"/>
  <c r="J53" i="7" s="1"/>
  <c r="M52" i="7"/>
  <c r="G52" i="7"/>
  <c r="K52" i="7" s="1"/>
  <c r="Q130" i="9" s="1"/>
  <c r="F52" i="7"/>
  <c r="J52" i="7" s="1"/>
  <c r="P130" i="9" s="1"/>
  <c r="M51" i="7"/>
  <c r="J51" i="7"/>
  <c r="P118" i="9" s="1"/>
  <c r="G51" i="7"/>
  <c r="K51" i="7" s="1"/>
  <c r="Q118" i="9" s="1"/>
  <c r="F51" i="7"/>
  <c r="M50" i="7"/>
  <c r="K50" i="7"/>
  <c r="Q143" i="9" s="1"/>
  <c r="J50" i="7"/>
  <c r="P143" i="9" s="1"/>
  <c r="G50" i="7"/>
  <c r="F50" i="7"/>
  <c r="M49" i="7"/>
  <c r="K49" i="7"/>
  <c r="Q98" i="9" s="1"/>
  <c r="G49" i="7"/>
  <c r="F49" i="7"/>
  <c r="J49" i="7" s="1"/>
  <c r="P98" i="9" s="1"/>
  <c r="M48" i="7"/>
  <c r="G48" i="7"/>
  <c r="K48" i="7" s="1"/>
  <c r="Q128" i="9" s="1"/>
  <c r="F48" i="7"/>
  <c r="J48" i="7" s="1"/>
  <c r="P128" i="9" s="1"/>
  <c r="M47" i="7"/>
  <c r="J47" i="7"/>
  <c r="P180" i="9" s="1"/>
  <c r="G47" i="7"/>
  <c r="K47" i="7" s="1"/>
  <c r="Q180" i="9" s="1"/>
  <c r="F47" i="7"/>
  <c r="M46" i="7"/>
  <c r="K46" i="7"/>
  <c r="Q24" i="9" s="1"/>
  <c r="J46" i="7"/>
  <c r="P24" i="9" s="1"/>
  <c r="G46" i="7"/>
  <c r="F46" i="7"/>
  <c r="M45" i="7"/>
  <c r="K45" i="7"/>
  <c r="G45" i="7"/>
  <c r="F45" i="7"/>
  <c r="J45" i="7" s="1"/>
  <c r="M44" i="7"/>
  <c r="G44" i="7"/>
  <c r="K44" i="7" s="1"/>
  <c r="Q78" i="9" s="1"/>
  <c r="F44" i="7"/>
  <c r="J44" i="7" s="1"/>
  <c r="P78" i="9" s="1"/>
  <c r="E44" i="7"/>
  <c r="M43" i="7"/>
  <c r="K43" i="7"/>
  <c r="Q95" i="9" s="1"/>
  <c r="J43" i="7"/>
  <c r="P95" i="9" s="1"/>
  <c r="G43" i="7"/>
  <c r="F43" i="7"/>
  <c r="K42" i="7"/>
  <c r="Q73" i="9" s="1"/>
  <c r="G42" i="7"/>
  <c r="F42" i="7"/>
  <c r="E42" i="7"/>
  <c r="J42" i="7" s="1"/>
  <c r="P73" i="9" s="1"/>
  <c r="J41" i="7"/>
  <c r="P52" i="9" s="1"/>
  <c r="G41" i="7"/>
  <c r="K41" i="7" s="1"/>
  <c r="Q52" i="9" s="1"/>
  <c r="F41" i="7"/>
  <c r="E41" i="7"/>
  <c r="M41" i="7" s="1"/>
  <c r="K40" i="7"/>
  <c r="Q148" i="9" s="1"/>
  <c r="G40" i="7"/>
  <c r="F40" i="7"/>
  <c r="E40" i="7"/>
  <c r="J39" i="7"/>
  <c r="P150" i="9" s="1"/>
  <c r="G39" i="7"/>
  <c r="K39" i="7" s="1"/>
  <c r="Q150" i="9" s="1"/>
  <c r="F39" i="7"/>
  <c r="E39" i="7"/>
  <c r="M39" i="7" s="1"/>
  <c r="K38" i="7"/>
  <c r="Q147" i="9" s="1"/>
  <c r="G38" i="7"/>
  <c r="F38" i="7"/>
  <c r="E38" i="7"/>
  <c r="J37" i="7"/>
  <c r="P191" i="9" s="1"/>
  <c r="G37" i="7"/>
  <c r="K37" i="7" s="1"/>
  <c r="Q191" i="9" s="1"/>
  <c r="F37" i="7"/>
  <c r="E37" i="7"/>
  <c r="M37" i="7" s="1"/>
  <c r="M36" i="7"/>
  <c r="K36" i="7"/>
  <c r="G36" i="7"/>
  <c r="F36" i="7"/>
  <c r="J36" i="7" s="1"/>
  <c r="M35" i="7"/>
  <c r="G35" i="7"/>
  <c r="K35" i="7" s="1"/>
  <c r="Q25" i="9" s="1"/>
  <c r="F35" i="7"/>
  <c r="J35" i="7" s="1"/>
  <c r="P25" i="9" s="1"/>
  <c r="M34" i="7"/>
  <c r="J34" i="7"/>
  <c r="P161" i="9" s="1"/>
  <c r="G34" i="7"/>
  <c r="K34" i="7" s="1"/>
  <c r="Q161" i="9" s="1"/>
  <c r="F34" i="7"/>
  <c r="M33" i="7"/>
  <c r="K33" i="7"/>
  <c r="Q135" i="9" s="1"/>
  <c r="J33" i="7"/>
  <c r="P135" i="9" s="1"/>
  <c r="G33" i="7"/>
  <c r="F33" i="7"/>
  <c r="M32" i="7"/>
  <c r="K32" i="7"/>
  <c r="Q124" i="9" s="1"/>
  <c r="G32" i="7"/>
  <c r="F32" i="7"/>
  <c r="J32" i="7" s="1"/>
  <c r="P124" i="9" s="1"/>
  <c r="M31" i="7"/>
  <c r="G31" i="7"/>
  <c r="K31" i="7" s="1"/>
  <c r="Q127" i="9" s="1"/>
  <c r="F31" i="7"/>
  <c r="J31" i="7" s="1"/>
  <c r="P127" i="9" s="1"/>
  <c r="M30" i="7"/>
  <c r="J30" i="7"/>
  <c r="P125" i="9" s="1"/>
  <c r="G30" i="7"/>
  <c r="K30" i="7" s="1"/>
  <c r="Q125" i="9" s="1"/>
  <c r="F30" i="7"/>
  <c r="M29" i="7"/>
  <c r="K29" i="7"/>
  <c r="Q31" i="9" s="1"/>
  <c r="J29" i="7"/>
  <c r="P31" i="9" s="1"/>
  <c r="G29" i="7"/>
  <c r="F29" i="7"/>
  <c r="M28" i="7"/>
  <c r="K28" i="7"/>
  <c r="Q85" i="9" s="1"/>
  <c r="G28" i="7"/>
  <c r="F28" i="7"/>
  <c r="J28" i="7" s="1"/>
  <c r="P85" i="9" s="1"/>
  <c r="M27" i="7"/>
  <c r="G27" i="7"/>
  <c r="K27" i="7" s="1"/>
  <c r="F27" i="7"/>
  <c r="J27" i="7" s="1"/>
  <c r="M26" i="7"/>
  <c r="J26" i="7"/>
  <c r="P162" i="9" s="1"/>
  <c r="G26" i="7"/>
  <c r="K26" i="7" s="1"/>
  <c r="Q162" i="9" s="1"/>
  <c r="F26" i="7"/>
  <c r="M25" i="7"/>
  <c r="K25" i="7"/>
  <c r="Q115" i="9" s="1"/>
  <c r="J25" i="7"/>
  <c r="P115" i="9" s="1"/>
  <c r="G25" i="7"/>
  <c r="F25" i="7"/>
  <c r="K24" i="7"/>
  <c r="Q61" i="9" s="1"/>
  <c r="G24" i="7"/>
  <c r="F24" i="7"/>
  <c r="E24" i="7"/>
  <c r="M23" i="7"/>
  <c r="J23" i="7"/>
  <c r="P40" i="9" s="1"/>
  <c r="G23" i="7"/>
  <c r="K23" i="7" s="1"/>
  <c r="Q40" i="9" s="1"/>
  <c r="F23" i="7"/>
  <c r="M22" i="7"/>
  <c r="K22" i="7"/>
  <c r="Q75" i="9" s="1"/>
  <c r="J22" i="7"/>
  <c r="P75" i="9" s="1"/>
  <c r="G22" i="7"/>
  <c r="F22" i="7"/>
  <c r="M21" i="7"/>
  <c r="K21" i="7"/>
  <c r="Q112" i="9" s="1"/>
  <c r="G21" i="7"/>
  <c r="F21" i="7"/>
  <c r="J21" i="7" s="1"/>
  <c r="P112" i="9" s="1"/>
  <c r="M20" i="7"/>
  <c r="G20" i="7"/>
  <c r="K20" i="7" s="1"/>
  <c r="Q171" i="9" s="1"/>
  <c r="F20" i="7"/>
  <c r="J20" i="7" s="1"/>
  <c r="P171" i="9" s="1"/>
  <c r="R171" i="9" s="1"/>
  <c r="M19" i="7"/>
  <c r="J19" i="7"/>
  <c r="G19" i="7"/>
  <c r="K19" i="7" s="1"/>
  <c r="F19" i="7"/>
  <c r="M18" i="7"/>
  <c r="K18" i="7"/>
  <c r="Q144" i="9" s="1"/>
  <c r="J18" i="7"/>
  <c r="P144" i="9" s="1"/>
  <c r="G18" i="7"/>
  <c r="F18" i="7"/>
  <c r="M17" i="7"/>
  <c r="K17" i="7"/>
  <c r="Q56" i="9" s="1"/>
  <c r="G17" i="7"/>
  <c r="F17" i="7"/>
  <c r="J17" i="7" s="1"/>
  <c r="P56" i="9" s="1"/>
  <c r="M16" i="7"/>
  <c r="G16" i="7"/>
  <c r="K16" i="7" s="1"/>
  <c r="Q16" i="9" s="1"/>
  <c r="F16" i="7"/>
  <c r="J16" i="7" s="1"/>
  <c r="P16" i="9" s="1"/>
  <c r="M15" i="7"/>
  <c r="J15" i="7"/>
  <c r="P175" i="9" s="1"/>
  <c r="G15" i="7"/>
  <c r="K15" i="7" s="1"/>
  <c r="Q175" i="9" s="1"/>
  <c r="F15" i="7"/>
  <c r="M14" i="7"/>
  <c r="K14" i="7"/>
  <c r="Q30" i="9" s="1"/>
  <c r="J14" i="7"/>
  <c r="P30" i="9" s="1"/>
  <c r="G14" i="7"/>
  <c r="F14" i="7"/>
  <c r="M13" i="7"/>
  <c r="K13" i="7"/>
  <c r="Q152" i="9" s="1"/>
  <c r="G13" i="7"/>
  <c r="F13" i="7"/>
  <c r="J13" i="7" s="1"/>
  <c r="P152" i="9" s="1"/>
  <c r="M12" i="7"/>
  <c r="G12" i="7"/>
  <c r="K12" i="7" s="1"/>
  <c r="Q193" i="9" s="1"/>
  <c r="F12" i="7"/>
  <c r="J12" i="7" s="1"/>
  <c r="P193" i="9" s="1"/>
  <c r="M11" i="7"/>
  <c r="J11" i="7"/>
  <c r="P137" i="9" s="1"/>
  <c r="G11" i="7"/>
  <c r="K11" i="7" s="1"/>
  <c r="Q137" i="9" s="1"/>
  <c r="F11" i="7"/>
  <c r="M10" i="7"/>
  <c r="K10" i="7"/>
  <c r="Q84" i="9" s="1"/>
  <c r="J10" i="7"/>
  <c r="P84" i="9" s="1"/>
  <c r="G10" i="7"/>
  <c r="F10" i="7"/>
  <c r="M9" i="7"/>
  <c r="K9" i="7"/>
  <c r="Q122" i="9" s="1"/>
  <c r="G9" i="7"/>
  <c r="F9" i="7"/>
  <c r="J9" i="7" s="1"/>
  <c r="P122" i="9" s="1"/>
  <c r="M8" i="7"/>
  <c r="G8" i="7"/>
  <c r="F8" i="7"/>
  <c r="M7" i="7"/>
  <c r="K7" i="7"/>
  <c r="J7" i="7"/>
  <c r="P10" i="9" s="1"/>
  <c r="R10" i="9" s="1"/>
  <c r="M6" i="7"/>
  <c r="K6" i="7"/>
  <c r="J6" i="7"/>
  <c r="M5" i="7"/>
  <c r="K5" i="7"/>
  <c r="J5" i="7"/>
  <c r="M4" i="7"/>
  <c r="J4" i="7"/>
  <c r="P9" i="9" s="1"/>
  <c r="R9" i="9" s="1"/>
  <c r="M3" i="7"/>
  <c r="J3" i="7"/>
  <c r="P8" i="9" s="1"/>
  <c r="R8" i="9" s="1"/>
  <c r="M2" i="7"/>
  <c r="J2" i="7"/>
  <c r="H74" i="3"/>
  <c r="H41" i="9" s="1"/>
  <c r="X5" i="3"/>
  <c r="AB5" i="3" s="1"/>
  <c r="AF5" i="3" s="1"/>
  <c r="AJ5" i="3" s="1"/>
  <c r="W5" i="3"/>
  <c r="AA5" i="3" s="1"/>
  <c r="AE5" i="3" s="1"/>
  <c r="AI5" i="3" s="1"/>
  <c r="AM5" i="3" s="1"/>
  <c r="V5" i="3"/>
  <c r="Z5" i="3" s="1"/>
  <c r="AD5" i="3" s="1"/>
  <c r="AH5" i="3" s="1"/>
  <c r="AL5" i="3" s="1"/>
  <c r="U5" i="3"/>
  <c r="Y5" i="3" s="1"/>
  <c r="AC5" i="3" s="1"/>
  <c r="AG5" i="3" s="1"/>
  <c r="AK5" i="3" s="1"/>
  <c r="I5" i="3"/>
  <c r="J5" i="3" s="1"/>
  <c r="K5" i="3" s="1"/>
  <c r="L5" i="3" s="1"/>
  <c r="M5" i="3" s="1"/>
  <c r="N5" i="3" s="1"/>
  <c r="O5" i="3" s="1"/>
  <c r="BD200" i="2"/>
  <c r="AZ200" i="2"/>
  <c r="BA29" i="2"/>
  <c r="AB29" i="2"/>
  <c r="X29" i="2"/>
  <c r="V29" i="2"/>
  <c r="U29" i="2"/>
  <c r="T29" i="2"/>
  <c r="L29" i="2"/>
  <c r="K29" i="2"/>
  <c r="J29" i="2"/>
  <c r="H29" i="2"/>
  <c r="G29" i="2"/>
  <c r="A29" i="2"/>
  <c r="BA28" i="2"/>
  <c r="BA27" i="2"/>
  <c r="AB27" i="2"/>
  <c r="X27" i="2"/>
  <c r="V27" i="2"/>
  <c r="U27" i="2"/>
  <c r="T27" i="2"/>
  <c r="L27" i="2"/>
  <c r="K27" i="2"/>
  <c r="J27" i="2"/>
  <c r="H27" i="2"/>
  <c r="G27" i="2"/>
  <c r="BA26" i="2"/>
  <c r="AB26" i="2"/>
  <c r="X26" i="2"/>
  <c r="V26" i="2"/>
  <c r="T26" i="2"/>
  <c r="T15" i="2" s="1"/>
  <c r="T199" i="2" s="1"/>
  <c r="L26" i="2"/>
  <c r="K26" i="2"/>
  <c r="J26" i="2"/>
  <c r="H26" i="2"/>
  <c r="M26" i="2" s="1"/>
  <c r="G26" i="2"/>
  <c r="A26" i="2"/>
  <c r="A27" i="2" s="1"/>
  <c r="BB15" i="2"/>
  <c r="BB199" i="2" s="1"/>
  <c r="BB200" i="2" s="1"/>
  <c r="AY15" i="2"/>
  <c r="AX15" i="2"/>
  <c r="AV15" i="2"/>
  <c r="AT15" i="2"/>
  <c r="AS15" i="2"/>
  <c r="AR15" i="2"/>
  <c r="AQ15" i="2"/>
  <c r="AP15" i="2"/>
  <c r="AO15" i="2"/>
  <c r="AN15" i="2"/>
  <c r="AM15" i="2"/>
  <c r="AL15" i="2"/>
  <c r="AK15" i="2"/>
  <c r="AJ15" i="2"/>
  <c r="AI15" i="2"/>
  <c r="AH15" i="2"/>
  <c r="AG15" i="2"/>
  <c r="AE15" i="2"/>
  <c r="AD15" i="2"/>
  <c r="AC15" i="2"/>
  <c r="AB15" i="2"/>
  <c r="AA15" i="2"/>
  <c r="Z15" i="2"/>
  <c r="Y15" i="2"/>
  <c r="X15" i="2"/>
  <c r="L15" i="2"/>
  <c r="G15" i="2"/>
  <c r="BA14" i="2"/>
  <c r="BA10" i="2" s="1"/>
  <c r="AB14" i="2"/>
  <c r="X14" i="2"/>
  <c r="X10" i="2" s="1"/>
  <c r="V14" i="2"/>
  <c r="U14" i="2"/>
  <c r="G14" i="2"/>
  <c r="G10" i="2" s="1"/>
  <c r="AY10" i="2"/>
  <c r="AX10" i="2"/>
  <c r="AV10" i="2"/>
  <c r="AT10" i="2"/>
  <c r="AS10" i="2"/>
  <c r="AR10" i="2"/>
  <c r="AQ10" i="2"/>
  <c r="AP10" i="2"/>
  <c r="AO10" i="2"/>
  <c r="AN10" i="2"/>
  <c r="AM10" i="2"/>
  <c r="AL10" i="2"/>
  <c r="AK10" i="2"/>
  <c r="AJ10" i="2"/>
  <c r="AI10" i="2"/>
  <c r="AH10" i="2"/>
  <c r="AG10" i="2"/>
  <c r="AE10" i="2"/>
  <c r="AD10" i="2"/>
  <c r="AC10" i="2"/>
  <c r="AB10" i="2"/>
  <c r="AA10" i="2"/>
  <c r="Z10" i="2"/>
  <c r="Y10" i="2"/>
  <c r="V10" i="2"/>
  <c r="T10" i="2"/>
  <c r="S10" i="2"/>
  <c r="N10" i="2"/>
  <c r="M10" i="2"/>
  <c r="L10" i="2"/>
  <c r="J10" i="2"/>
  <c r="H10" i="2"/>
  <c r="AE8" i="2"/>
  <c r="AI8" i="2" s="1"/>
  <c r="AM8" i="2" s="1"/>
  <c r="AQ8" i="2" s="1"/>
  <c r="AD8" i="2"/>
  <c r="AH8" i="2" s="1"/>
  <c r="AL8" i="2" s="1"/>
  <c r="AP8" i="2" s="1"/>
  <c r="AT8" i="2" s="1"/>
  <c r="AC8" i="2"/>
  <c r="AG8" i="2" s="1"/>
  <c r="AK8" i="2" s="1"/>
  <c r="AO8" i="2" s="1"/>
  <c r="AS8" i="2" s="1"/>
  <c r="AB8" i="2"/>
  <c r="AF8" i="2" s="1"/>
  <c r="AJ8" i="2" s="1"/>
  <c r="AN8" i="2" s="1"/>
  <c r="AR8" i="2" s="1"/>
  <c r="T8" i="2"/>
  <c r="U8" i="2" s="1"/>
  <c r="V8" i="2" s="1"/>
  <c r="S8" i="2"/>
  <c r="N8" i="2"/>
  <c r="AG199" i="2" l="1"/>
  <c r="H15" i="2"/>
  <c r="H199" i="2" s="1"/>
  <c r="Y199" i="2"/>
  <c r="AC199" i="2"/>
  <c r="AH199" i="2"/>
  <c r="AL199" i="2"/>
  <c r="AP199" i="2"/>
  <c r="AT199" i="2"/>
  <c r="J15" i="2"/>
  <c r="J199" i="2" s="1"/>
  <c r="V15" i="2"/>
  <c r="V199" i="2" s="1"/>
  <c r="AB199" i="2"/>
  <c r="AO199" i="2"/>
  <c r="AS199" i="2"/>
  <c r="AY199" i="2"/>
  <c r="L199" i="2"/>
  <c r="Z199" i="2"/>
  <c r="AD199" i="2"/>
  <c r="AI199" i="2"/>
  <c r="AM199" i="2"/>
  <c r="AQ199" i="2"/>
  <c r="AV199" i="2"/>
  <c r="K15" i="2"/>
  <c r="K199" i="2" s="1"/>
  <c r="M27" i="2"/>
  <c r="N27" i="2" s="1"/>
  <c r="AK199" i="2"/>
  <c r="W14" i="2"/>
  <c r="AA199" i="2"/>
  <c r="AE199" i="2"/>
  <c r="AJ199" i="2"/>
  <c r="AN199" i="2"/>
  <c r="AR199" i="2"/>
  <c r="AX199" i="2"/>
  <c r="BA15" i="2"/>
  <c r="BA199" i="2" s="1"/>
  <c r="AF14" i="2"/>
  <c r="W10" i="2"/>
  <c r="S27" i="2"/>
  <c r="W27" i="2" s="1"/>
  <c r="G199" i="2"/>
  <c r="X199" i="2"/>
  <c r="X200" i="2" s="1"/>
  <c r="N26" i="2"/>
  <c r="N15" i="2" s="1"/>
  <c r="N199" i="2" s="1"/>
  <c r="AA8" i="9"/>
  <c r="AP8" i="9" s="1"/>
  <c r="AR8" i="9" s="1"/>
  <c r="M94" i="7"/>
  <c r="M102" i="7"/>
  <c r="M42" i="7"/>
  <c r="AR16" i="9"/>
  <c r="AA16" i="9"/>
  <c r="AP16" i="9" s="1"/>
  <c r="R70" i="9"/>
  <c r="M29" i="2"/>
  <c r="N29" i="2" s="1"/>
  <c r="S29" i="2" s="1"/>
  <c r="W29" i="2" s="1"/>
  <c r="N41" i="9"/>
  <c r="R41" i="9" s="1"/>
  <c r="L41" i="9"/>
  <c r="M41" i="9" s="1"/>
  <c r="J8" i="7"/>
  <c r="P106" i="9" s="1"/>
  <c r="F189" i="7"/>
  <c r="AA171" i="9"/>
  <c r="AP171" i="9" s="1"/>
  <c r="AR171" i="9" s="1"/>
  <c r="E189" i="7"/>
  <c r="J24" i="7"/>
  <c r="P61" i="9" s="1"/>
  <c r="M24" i="7"/>
  <c r="M88" i="7"/>
  <c r="M96" i="7"/>
  <c r="J125" i="7"/>
  <c r="P114" i="9" s="1"/>
  <c r="M125" i="7"/>
  <c r="J127" i="7"/>
  <c r="P74" i="9" s="1"/>
  <c r="M127" i="7"/>
  <c r="J129" i="7"/>
  <c r="P138" i="9" s="1"/>
  <c r="M129" i="7"/>
  <c r="J131" i="7"/>
  <c r="P154" i="9" s="1"/>
  <c r="M131" i="7"/>
  <c r="J133" i="7"/>
  <c r="P141" i="9" s="1"/>
  <c r="M133" i="7"/>
  <c r="J135" i="7"/>
  <c r="P54" i="9" s="1"/>
  <c r="M135" i="7"/>
  <c r="J137" i="7"/>
  <c r="P145" i="9" s="1"/>
  <c r="M137" i="7"/>
  <c r="N24" i="9"/>
  <c r="R24" i="9" s="1"/>
  <c r="N25" i="9"/>
  <c r="R25" i="9" s="1"/>
  <c r="N28" i="9"/>
  <c r="R28" i="9" s="1"/>
  <c r="N32" i="9"/>
  <c r="R32" i="9" s="1"/>
  <c r="N36" i="9"/>
  <c r="R36" i="9" s="1"/>
  <c r="R63" i="9"/>
  <c r="R67" i="9"/>
  <c r="R75" i="9"/>
  <c r="U10" i="2"/>
  <c r="U26" i="2"/>
  <c r="U15" i="2" s="1"/>
  <c r="P7" i="9"/>
  <c r="AA9" i="9"/>
  <c r="AP9" i="9" s="1"/>
  <c r="AR9" i="9" s="1"/>
  <c r="AA10" i="9"/>
  <c r="AP10" i="9" s="1"/>
  <c r="AR10" i="9" s="1"/>
  <c r="K8" i="7"/>
  <c r="Q106" i="9" s="1"/>
  <c r="G189" i="7"/>
  <c r="J38" i="7"/>
  <c r="P147" i="9" s="1"/>
  <c r="M38" i="7"/>
  <c r="J74" i="7"/>
  <c r="P68" i="9" s="1"/>
  <c r="J82" i="7"/>
  <c r="P58" i="9" s="1"/>
  <c r="J90" i="7"/>
  <c r="P182" i="9" s="1"/>
  <c r="M90" i="7"/>
  <c r="J98" i="7"/>
  <c r="P43" i="9" s="1"/>
  <c r="M98" i="7"/>
  <c r="W194" i="9"/>
  <c r="S194" i="9"/>
  <c r="S195" i="9" s="1"/>
  <c r="AU16" i="9"/>
  <c r="AR40" i="9"/>
  <c r="AA40" i="9"/>
  <c r="AP40" i="9" s="1"/>
  <c r="AA103" i="9"/>
  <c r="AP103" i="9" s="1"/>
  <c r="AR103" i="9" s="1"/>
  <c r="J40" i="7"/>
  <c r="P148" i="9" s="1"/>
  <c r="M40" i="7"/>
  <c r="J76" i="7"/>
  <c r="P32" i="9" s="1"/>
  <c r="J84" i="7"/>
  <c r="P17" i="9" s="1"/>
  <c r="P11" i="9" s="1"/>
  <c r="J92" i="7"/>
  <c r="P71" i="9" s="1"/>
  <c r="M92" i="7"/>
  <c r="J100" i="7"/>
  <c r="P99" i="9" s="1"/>
  <c r="R99" i="9" s="1"/>
  <c r="M100" i="7"/>
  <c r="M189" i="7" s="1"/>
  <c r="J105" i="7"/>
  <c r="P100" i="9" s="1"/>
  <c r="Q11" i="9"/>
  <c r="Q194" i="9" s="1"/>
  <c r="R31" i="9"/>
  <c r="N43" i="9"/>
  <c r="R43" i="9" s="1"/>
  <c r="R44" i="9"/>
  <c r="R48" i="9"/>
  <c r="R51" i="9"/>
  <c r="R55" i="9"/>
  <c r="R59" i="9"/>
  <c r="N72" i="9"/>
  <c r="R72" i="9" s="1"/>
  <c r="L13" i="9"/>
  <c r="N15" i="9"/>
  <c r="R15" i="9" s="1"/>
  <c r="L17" i="9"/>
  <c r="M17" i="9" s="1"/>
  <c r="N17" i="9" s="1"/>
  <c r="R17" i="9" s="1"/>
  <c r="L26" i="9"/>
  <c r="M26" i="9" s="1"/>
  <c r="N26" i="9" s="1"/>
  <c r="R26" i="9" s="1"/>
  <c r="L30" i="9"/>
  <c r="M30" i="9" s="1"/>
  <c r="N30" i="9" s="1"/>
  <c r="R30" i="9" s="1"/>
  <c r="L34" i="9"/>
  <c r="M34" i="9" s="1"/>
  <c r="N34" i="9" s="1"/>
  <c r="R34" i="9" s="1"/>
  <c r="L38" i="9"/>
  <c r="M38" i="9" s="1"/>
  <c r="N38" i="9" s="1"/>
  <c r="R38" i="9" s="1"/>
  <c r="L45" i="9"/>
  <c r="M45" i="9" s="1"/>
  <c r="N45" i="9" s="1"/>
  <c r="R45" i="9" s="1"/>
  <c r="N49" i="9"/>
  <c r="R49" i="9" s="1"/>
  <c r="L49" i="9"/>
  <c r="M49" i="9" s="1"/>
  <c r="L53" i="9"/>
  <c r="M53" i="9" s="1"/>
  <c r="N53" i="9" s="1"/>
  <c r="R53" i="9" s="1"/>
  <c r="N57" i="9"/>
  <c r="R57" i="9" s="1"/>
  <c r="L57" i="9"/>
  <c r="M57" i="9" s="1"/>
  <c r="L61" i="9"/>
  <c r="M61" i="9" s="1"/>
  <c r="N61" i="9" s="1"/>
  <c r="R61" i="9" s="1"/>
  <c r="N65" i="9"/>
  <c r="R65" i="9" s="1"/>
  <c r="L65" i="9"/>
  <c r="M65" i="9" s="1"/>
  <c r="R79" i="9"/>
  <c r="R95" i="9"/>
  <c r="R119" i="9"/>
  <c r="R135" i="9"/>
  <c r="M139" i="7"/>
  <c r="M141" i="7"/>
  <c r="M143" i="7"/>
  <c r="M145" i="7"/>
  <c r="M147" i="7"/>
  <c r="M149" i="7"/>
  <c r="V194" i="9"/>
  <c r="Z194" i="9"/>
  <c r="AD194" i="9"/>
  <c r="AH194" i="9"/>
  <c r="AL194" i="9"/>
  <c r="AT194" i="9"/>
  <c r="L14" i="9"/>
  <c r="M14" i="9" s="1"/>
  <c r="N14" i="9" s="1"/>
  <c r="R14" i="9" s="1"/>
  <c r="L18" i="9"/>
  <c r="M18" i="9" s="1"/>
  <c r="N18" i="9" s="1"/>
  <c r="R18" i="9" s="1"/>
  <c r="L27" i="9"/>
  <c r="M27" i="9" s="1"/>
  <c r="N27" i="9" s="1"/>
  <c r="R27" i="9" s="1"/>
  <c r="N29" i="9"/>
  <c r="R29" i="9" s="1"/>
  <c r="N33" i="9"/>
  <c r="R33" i="9" s="1"/>
  <c r="L35" i="9"/>
  <c r="M35" i="9" s="1"/>
  <c r="N35" i="9" s="1"/>
  <c r="R35" i="9" s="1"/>
  <c r="L39" i="9"/>
  <c r="M39" i="9" s="1"/>
  <c r="N39" i="9" s="1"/>
  <c r="R39" i="9" s="1"/>
  <c r="L43" i="9"/>
  <c r="M43" i="9" s="1"/>
  <c r="L47" i="9"/>
  <c r="M47" i="9" s="1"/>
  <c r="N47" i="9" s="1"/>
  <c r="R47" i="9" s="1"/>
  <c r="N52" i="9"/>
  <c r="R52" i="9" s="1"/>
  <c r="N56" i="9"/>
  <c r="R56" i="9" s="1"/>
  <c r="N60" i="9"/>
  <c r="R60" i="9" s="1"/>
  <c r="N64" i="9"/>
  <c r="R64" i="9" s="1"/>
  <c r="N68" i="9"/>
  <c r="R68" i="9" s="1"/>
  <c r="R91" i="9"/>
  <c r="R123" i="9"/>
  <c r="AE194" i="9"/>
  <c r="AI194" i="9"/>
  <c r="AM194" i="9"/>
  <c r="AQ194" i="9"/>
  <c r="N71" i="9"/>
  <c r="R71" i="9" s="1"/>
  <c r="R87" i="9"/>
  <c r="R127" i="9"/>
  <c r="T194" i="9"/>
  <c r="X194" i="9"/>
  <c r="AB194" i="9"/>
  <c r="AF194" i="9"/>
  <c r="AJ194" i="9"/>
  <c r="AN194" i="9"/>
  <c r="L37" i="9"/>
  <c r="M37" i="9" s="1"/>
  <c r="N37" i="9" s="1"/>
  <c r="R37" i="9" s="1"/>
  <c r="L42" i="9"/>
  <c r="M42" i="9" s="1"/>
  <c r="N42" i="9" s="1"/>
  <c r="R42" i="9" s="1"/>
  <c r="N46" i="9"/>
  <c r="R46" i="9" s="1"/>
  <c r="L46" i="9"/>
  <c r="M46" i="9" s="1"/>
  <c r="R83" i="9"/>
  <c r="R111" i="9"/>
  <c r="R115" i="9"/>
  <c r="R131" i="9"/>
  <c r="L50" i="9"/>
  <c r="M50" i="9" s="1"/>
  <c r="N50" i="9" s="1"/>
  <c r="R50" i="9" s="1"/>
  <c r="L54" i="9"/>
  <c r="M54" i="9" s="1"/>
  <c r="N54" i="9" s="1"/>
  <c r="R54" i="9" s="1"/>
  <c r="L58" i="9"/>
  <c r="M58" i="9" s="1"/>
  <c r="N58" i="9" s="1"/>
  <c r="R58" i="9" s="1"/>
  <c r="L62" i="9"/>
  <c r="M62" i="9" s="1"/>
  <c r="N62" i="9" s="1"/>
  <c r="R62" i="9" s="1"/>
  <c r="L66" i="9"/>
  <c r="M66" i="9" s="1"/>
  <c r="N66" i="9" s="1"/>
  <c r="R66" i="9" s="1"/>
  <c r="L71" i="9"/>
  <c r="M71" i="9" s="1"/>
  <c r="N128" i="9"/>
  <c r="R128" i="9" s="1"/>
  <c r="N153" i="9"/>
  <c r="R153" i="9" s="1"/>
  <c r="L153" i="9"/>
  <c r="M153" i="9" s="1"/>
  <c r="N69" i="9"/>
  <c r="R69" i="9" s="1"/>
  <c r="L69" i="9"/>
  <c r="M69" i="9" s="1"/>
  <c r="N74" i="9"/>
  <c r="R74" i="9" s="1"/>
  <c r="L74" i="9"/>
  <c r="M74" i="9" s="1"/>
  <c r="L80" i="9"/>
  <c r="M80" i="9" s="1"/>
  <c r="N81" i="9"/>
  <c r="R81" i="9" s="1"/>
  <c r="L81" i="9"/>
  <c r="M81" i="9" s="1"/>
  <c r="N82" i="9"/>
  <c r="R82" i="9" s="1"/>
  <c r="L84" i="9"/>
  <c r="M84" i="9" s="1"/>
  <c r="N85" i="9"/>
  <c r="R85" i="9" s="1"/>
  <c r="L85" i="9"/>
  <c r="M85" i="9" s="1"/>
  <c r="N86" i="9"/>
  <c r="R86" i="9" s="1"/>
  <c r="L88" i="9"/>
  <c r="M88" i="9" s="1"/>
  <c r="N89" i="9"/>
  <c r="R89" i="9" s="1"/>
  <c r="L89" i="9"/>
  <c r="M89" i="9" s="1"/>
  <c r="N90" i="9"/>
  <c r="R90" i="9" s="1"/>
  <c r="L92" i="9"/>
  <c r="M92" i="9" s="1"/>
  <c r="N93" i="9"/>
  <c r="R93" i="9" s="1"/>
  <c r="L93" i="9"/>
  <c r="M93" i="9" s="1"/>
  <c r="L96" i="9"/>
  <c r="M96" i="9" s="1"/>
  <c r="R173" i="9"/>
  <c r="L72" i="9"/>
  <c r="M72" i="9" s="1"/>
  <c r="N73" i="9"/>
  <c r="R73" i="9" s="1"/>
  <c r="L73" i="9"/>
  <c r="M73" i="9" s="1"/>
  <c r="L76" i="9"/>
  <c r="M76" i="9" s="1"/>
  <c r="N76" i="9" s="1"/>
  <c r="R76" i="9" s="1"/>
  <c r="N77" i="9"/>
  <c r="R77" i="9" s="1"/>
  <c r="L77" i="9"/>
  <c r="M77" i="9" s="1"/>
  <c r="N80" i="9"/>
  <c r="R80" i="9" s="1"/>
  <c r="N84" i="9"/>
  <c r="R84" i="9" s="1"/>
  <c r="N88" i="9"/>
  <c r="R88" i="9" s="1"/>
  <c r="N92" i="9"/>
  <c r="R92" i="9" s="1"/>
  <c r="N96" i="9"/>
  <c r="R96" i="9" s="1"/>
  <c r="L97" i="9"/>
  <c r="M97" i="9" s="1"/>
  <c r="N97" i="9" s="1"/>
  <c r="R97" i="9" s="1"/>
  <c r="L100" i="9"/>
  <c r="M100" i="9" s="1"/>
  <c r="N100" i="9" s="1"/>
  <c r="R100" i="9" s="1"/>
  <c r="L101" i="9"/>
  <c r="M101" i="9" s="1"/>
  <c r="N101" i="9" s="1"/>
  <c r="R101" i="9" s="1"/>
  <c r="L104" i="9"/>
  <c r="M104" i="9" s="1"/>
  <c r="N104" i="9" s="1"/>
  <c r="R104" i="9" s="1"/>
  <c r="L105" i="9"/>
  <c r="M105" i="9" s="1"/>
  <c r="N105" i="9" s="1"/>
  <c r="R105" i="9" s="1"/>
  <c r="R143" i="9"/>
  <c r="L78" i="9"/>
  <c r="M78" i="9" s="1"/>
  <c r="N78" i="9" s="1"/>
  <c r="R78" i="9" s="1"/>
  <c r="L82" i="9"/>
  <c r="M82" i="9" s="1"/>
  <c r="L86" i="9"/>
  <c r="M86" i="9" s="1"/>
  <c r="L90" i="9"/>
  <c r="M90" i="9" s="1"/>
  <c r="L94" i="9"/>
  <c r="M94" i="9" s="1"/>
  <c r="N94" i="9" s="1"/>
  <c r="R94" i="9" s="1"/>
  <c r="L98" i="9"/>
  <c r="M98" i="9" s="1"/>
  <c r="N98" i="9" s="1"/>
  <c r="R98" i="9" s="1"/>
  <c r="L102" i="9"/>
  <c r="M102" i="9" s="1"/>
  <c r="N102" i="9" s="1"/>
  <c r="R102" i="9" s="1"/>
  <c r="L106" i="9"/>
  <c r="M106" i="9" s="1"/>
  <c r="N106" i="9" s="1"/>
  <c r="R106" i="9" s="1"/>
  <c r="R139" i="9"/>
  <c r="N149" i="9"/>
  <c r="R149" i="9" s="1"/>
  <c r="L149" i="9"/>
  <c r="M149" i="9" s="1"/>
  <c r="N161" i="9"/>
  <c r="R161" i="9" s="1"/>
  <c r="N110" i="9"/>
  <c r="R110" i="9" s="1"/>
  <c r="L110" i="9"/>
  <c r="M110" i="9" s="1"/>
  <c r="N114" i="9"/>
  <c r="R114" i="9" s="1"/>
  <c r="L114" i="9"/>
  <c r="M114" i="9" s="1"/>
  <c r="N137" i="9"/>
  <c r="R137" i="9" s="1"/>
  <c r="L137" i="9"/>
  <c r="M137" i="9" s="1"/>
  <c r="N145" i="9"/>
  <c r="L145" i="9"/>
  <c r="M145" i="9" s="1"/>
  <c r="R151" i="9"/>
  <c r="R154" i="9"/>
  <c r="R164" i="9"/>
  <c r="R181" i="9"/>
  <c r="L107" i="9"/>
  <c r="M107" i="9" s="1"/>
  <c r="N107" i="9" s="1"/>
  <c r="R107" i="9" s="1"/>
  <c r="L108" i="9"/>
  <c r="M108" i="9" s="1"/>
  <c r="N108" i="9" s="1"/>
  <c r="R108" i="9" s="1"/>
  <c r="N109" i="9"/>
  <c r="R109" i="9" s="1"/>
  <c r="L109" i="9"/>
  <c r="M109" i="9" s="1"/>
  <c r="L112" i="9"/>
  <c r="M112" i="9" s="1"/>
  <c r="N112" i="9" s="1"/>
  <c r="R112" i="9" s="1"/>
  <c r="N113" i="9"/>
  <c r="R113" i="9" s="1"/>
  <c r="L113" i="9"/>
  <c r="M113" i="9" s="1"/>
  <c r="L116" i="9"/>
  <c r="M116" i="9" s="1"/>
  <c r="N116" i="9" s="1"/>
  <c r="R116" i="9" s="1"/>
  <c r="L117" i="9"/>
  <c r="M117" i="9" s="1"/>
  <c r="N117" i="9" s="1"/>
  <c r="R117" i="9" s="1"/>
  <c r="L120" i="9"/>
  <c r="M120" i="9" s="1"/>
  <c r="N120" i="9" s="1"/>
  <c r="R120" i="9" s="1"/>
  <c r="L121" i="9"/>
  <c r="M121" i="9" s="1"/>
  <c r="N121" i="9" s="1"/>
  <c r="R121" i="9" s="1"/>
  <c r="L124" i="9"/>
  <c r="M124" i="9" s="1"/>
  <c r="N124" i="9" s="1"/>
  <c r="R124" i="9" s="1"/>
  <c r="L125" i="9"/>
  <c r="M125" i="9" s="1"/>
  <c r="N125" i="9" s="1"/>
  <c r="R125" i="9" s="1"/>
  <c r="L128" i="9"/>
  <c r="M128" i="9" s="1"/>
  <c r="L129" i="9"/>
  <c r="M129" i="9" s="1"/>
  <c r="N129" i="9" s="1"/>
  <c r="R129" i="9" s="1"/>
  <c r="L132" i="9"/>
  <c r="M132" i="9" s="1"/>
  <c r="N132" i="9" s="1"/>
  <c r="R132" i="9" s="1"/>
  <c r="L133" i="9"/>
  <c r="M133" i="9" s="1"/>
  <c r="N133" i="9" s="1"/>
  <c r="R133" i="9" s="1"/>
  <c r="N141" i="9"/>
  <c r="L141" i="9"/>
  <c r="M141" i="9" s="1"/>
  <c r="R147" i="9"/>
  <c r="R168" i="9"/>
  <c r="L118" i="9"/>
  <c r="M118" i="9" s="1"/>
  <c r="N118" i="9" s="1"/>
  <c r="R118" i="9" s="1"/>
  <c r="L122" i="9"/>
  <c r="M122" i="9" s="1"/>
  <c r="N122" i="9" s="1"/>
  <c r="R122" i="9" s="1"/>
  <c r="L126" i="9"/>
  <c r="M126" i="9" s="1"/>
  <c r="N126" i="9" s="1"/>
  <c r="R126" i="9" s="1"/>
  <c r="L130" i="9"/>
  <c r="M130" i="9" s="1"/>
  <c r="N130" i="9" s="1"/>
  <c r="R130" i="9" s="1"/>
  <c r="L134" i="9"/>
  <c r="M134" i="9" s="1"/>
  <c r="N134" i="9" s="1"/>
  <c r="R134" i="9" s="1"/>
  <c r="R190" i="9"/>
  <c r="N136" i="9"/>
  <c r="R136" i="9" s="1"/>
  <c r="R177" i="9"/>
  <c r="R185" i="9"/>
  <c r="L136" i="9"/>
  <c r="M136" i="9" s="1"/>
  <c r="N138" i="9"/>
  <c r="L140" i="9"/>
  <c r="M140" i="9" s="1"/>
  <c r="N140" i="9" s="1"/>
  <c r="R140" i="9" s="1"/>
  <c r="N142" i="9"/>
  <c r="R142" i="9" s="1"/>
  <c r="L144" i="9"/>
  <c r="M144" i="9" s="1"/>
  <c r="N144" i="9" s="1"/>
  <c r="R144" i="9" s="1"/>
  <c r="N146" i="9"/>
  <c r="R146" i="9" s="1"/>
  <c r="L148" i="9"/>
  <c r="M148" i="9" s="1"/>
  <c r="N148" i="9" s="1"/>
  <c r="R148" i="9" s="1"/>
  <c r="N150" i="9"/>
  <c r="R150" i="9" s="1"/>
  <c r="L152" i="9"/>
  <c r="M152" i="9" s="1"/>
  <c r="N152" i="9" s="1"/>
  <c r="R152" i="9" s="1"/>
  <c r="L162" i="9"/>
  <c r="M162" i="9" s="1"/>
  <c r="N162" i="9" s="1"/>
  <c r="R162" i="9" s="1"/>
  <c r="L161" i="9"/>
  <c r="M161" i="9" s="1"/>
  <c r="L165" i="9"/>
  <c r="M165" i="9" s="1"/>
  <c r="N165" i="9" s="1"/>
  <c r="R165" i="9" s="1"/>
  <c r="L166" i="9"/>
  <c r="M166" i="9" s="1"/>
  <c r="N166" i="9" s="1"/>
  <c r="R166" i="9" s="1"/>
  <c r="L163" i="9"/>
  <c r="M163" i="9" s="1"/>
  <c r="N163" i="9" s="1"/>
  <c r="R163" i="9" s="1"/>
  <c r="N170" i="9"/>
  <c r="R170" i="9" s="1"/>
  <c r="L167" i="9"/>
  <c r="M167" i="9" s="1"/>
  <c r="N167" i="9" s="1"/>
  <c r="R167" i="9" s="1"/>
  <c r="L172" i="9"/>
  <c r="M172" i="9" s="1"/>
  <c r="L175" i="9"/>
  <c r="M175" i="9" s="1"/>
  <c r="N175" i="9" s="1"/>
  <c r="R175" i="9" s="1"/>
  <c r="L176" i="9"/>
  <c r="M176" i="9" s="1"/>
  <c r="L179" i="9"/>
  <c r="M179" i="9" s="1"/>
  <c r="N179" i="9" s="1"/>
  <c r="R179" i="9" s="1"/>
  <c r="L180" i="9"/>
  <c r="M180" i="9" s="1"/>
  <c r="L183" i="9"/>
  <c r="M183" i="9" s="1"/>
  <c r="N183" i="9" s="1"/>
  <c r="R183" i="9" s="1"/>
  <c r="L184" i="9"/>
  <c r="M184" i="9" s="1"/>
  <c r="L187" i="9"/>
  <c r="M187" i="9" s="1"/>
  <c r="N187" i="9" s="1"/>
  <c r="R187" i="9" s="1"/>
  <c r="L188" i="9"/>
  <c r="M188" i="9" s="1"/>
  <c r="L192" i="9"/>
  <c r="M192" i="9" s="1"/>
  <c r="N192" i="9" s="1"/>
  <c r="R192" i="9" s="1"/>
  <c r="L193" i="9"/>
  <c r="M193" i="9" s="1"/>
  <c r="L169" i="9"/>
  <c r="M169" i="9" s="1"/>
  <c r="N169" i="9" s="1"/>
  <c r="R169" i="9" s="1"/>
  <c r="L174" i="9"/>
  <c r="M174" i="9" s="1"/>
  <c r="N174" i="9" s="1"/>
  <c r="R174" i="9" s="1"/>
  <c r="L178" i="9"/>
  <c r="M178" i="9" s="1"/>
  <c r="N178" i="9" s="1"/>
  <c r="R178" i="9" s="1"/>
  <c r="L182" i="9"/>
  <c r="M182" i="9" s="1"/>
  <c r="N182" i="9" s="1"/>
  <c r="R182" i="9" s="1"/>
  <c r="L186" i="9"/>
  <c r="M186" i="9" s="1"/>
  <c r="N186" i="9" s="1"/>
  <c r="R186" i="9" s="1"/>
  <c r="L191" i="9"/>
  <c r="M191" i="9" s="1"/>
  <c r="N191" i="9" s="1"/>
  <c r="R191" i="9" s="1"/>
  <c r="N172" i="9"/>
  <c r="R172" i="9" s="1"/>
  <c r="N176" i="9"/>
  <c r="R176" i="9" s="1"/>
  <c r="N180" i="9"/>
  <c r="R180" i="9" s="1"/>
  <c r="N184" i="9"/>
  <c r="R184" i="9" s="1"/>
  <c r="N188" i="9"/>
  <c r="R188" i="9" s="1"/>
  <c r="N193" i="9"/>
  <c r="R193" i="9" s="1"/>
  <c r="AA148" i="9" l="1"/>
  <c r="AP148" i="9" s="1"/>
  <c r="AR148" i="9" s="1"/>
  <c r="AA133" i="9"/>
  <c r="AP133" i="9" s="1"/>
  <c r="AR133" i="9" s="1"/>
  <c r="AA94" i="9"/>
  <c r="AP94" i="9" s="1"/>
  <c r="AR94" i="9" s="1"/>
  <c r="AA47" i="9"/>
  <c r="AP47" i="9" s="1"/>
  <c r="AR47" i="9"/>
  <c r="AA178" i="9"/>
  <c r="AP178" i="9" s="1"/>
  <c r="AR178" i="9" s="1"/>
  <c r="AA183" i="9"/>
  <c r="AP183" i="9" s="1"/>
  <c r="AR183" i="9"/>
  <c r="AA163" i="9"/>
  <c r="AP163" i="9" s="1"/>
  <c r="AR163" i="9" s="1"/>
  <c r="AA126" i="9"/>
  <c r="AP126" i="9" s="1"/>
  <c r="AR126" i="9"/>
  <c r="AA132" i="9"/>
  <c r="AP132" i="9" s="1"/>
  <c r="AR132" i="9" s="1"/>
  <c r="AA124" i="9"/>
  <c r="AP124" i="9" s="1"/>
  <c r="AR124" i="9" s="1"/>
  <c r="AA116" i="9"/>
  <c r="AP116" i="9" s="1"/>
  <c r="AR116" i="9" s="1"/>
  <c r="AA106" i="9"/>
  <c r="AP106" i="9" s="1"/>
  <c r="AR106" i="9"/>
  <c r="AA100" i="9"/>
  <c r="AP100" i="9" s="1"/>
  <c r="AR100" i="9" s="1"/>
  <c r="AA58" i="9"/>
  <c r="AP58" i="9" s="1"/>
  <c r="AR58" i="9"/>
  <c r="AA45" i="9"/>
  <c r="AP45" i="9" s="1"/>
  <c r="AR45" i="9" s="1"/>
  <c r="AA26" i="9"/>
  <c r="AP26" i="9" s="1"/>
  <c r="AR26" i="9" s="1"/>
  <c r="AU9" i="9"/>
  <c r="AX9" i="9" s="1"/>
  <c r="AF29" i="2"/>
  <c r="AU29" i="2" s="1"/>
  <c r="AW29" i="2" s="1"/>
  <c r="AU8" i="9"/>
  <c r="AX8" i="9" s="1"/>
  <c r="AA182" i="9"/>
  <c r="AP182" i="9" s="1"/>
  <c r="AR182" i="9" s="1"/>
  <c r="AA140" i="9"/>
  <c r="AP140" i="9" s="1"/>
  <c r="AR140" i="9" s="1"/>
  <c r="AA125" i="9"/>
  <c r="AP125" i="9" s="1"/>
  <c r="AR125" i="9" s="1"/>
  <c r="AA107" i="9"/>
  <c r="AP107" i="9" s="1"/>
  <c r="AR107" i="9"/>
  <c r="AA101" i="9"/>
  <c r="AP101" i="9" s="1"/>
  <c r="AR101" i="9" s="1"/>
  <c r="AA30" i="9"/>
  <c r="AP30" i="9" s="1"/>
  <c r="AR30" i="9" s="1"/>
  <c r="AA99" i="9"/>
  <c r="AP99" i="9" s="1"/>
  <c r="AR99" i="9"/>
  <c r="AA192" i="9"/>
  <c r="AP192" i="9" s="1"/>
  <c r="AR192" i="9"/>
  <c r="AA175" i="9"/>
  <c r="AP175" i="9" s="1"/>
  <c r="AR175" i="9"/>
  <c r="AA162" i="9"/>
  <c r="AP162" i="9" s="1"/>
  <c r="AR162" i="9" s="1"/>
  <c r="AX162" i="9" s="1"/>
  <c r="AA191" i="9"/>
  <c r="AP191" i="9" s="1"/>
  <c r="AR191" i="9" s="1"/>
  <c r="AA174" i="9"/>
  <c r="AP174" i="9" s="1"/>
  <c r="AR174" i="9" s="1"/>
  <c r="AA166" i="9"/>
  <c r="AP166" i="9" s="1"/>
  <c r="AR166" i="9" s="1"/>
  <c r="AA152" i="9"/>
  <c r="AP152" i="9" s="1"/>
  <c r="AR152" i="9" s="1"/>
  <c r="AA144" i="9"/>
  <c r="AP144" i="9" s="1"/>
  <c r="AR144" i="9" s="1"/>
  <c r="AA122" i="9"/>
  <c r="AP122" i="9" s="1"/>
  <c r="AR122" i="9"/>
  <c r="AA129" i="9"/>
  <c r="AP129" i="9" s="1"/>
  <c r="AR129" i="9" s="1"/>
  <c r="AA121" i="9"/>
  <c r="AP121" i="9" s="1"/>
  <c r="AR121" i="9" s="1"/>
  <c r="AA102" i="9"/>
  <c r="AP102" i="9" s="1"/>
  <c r="AR102" i="9"/>
  <c r="AA105" i="9"/>
  <c r="AP105" i="9" s="1"/>
  <c r="AR105" i="9" s="1"/>
  <c r="AA97" i="9"/>
  <c r="AP97" i="9" s="1"/>
  <c r="AR97" i="9" s="1"/>
  <c r="AA76" i="9"/>
  <c r="AP76" i="9" s="1"/>
  <c r="AR76" i="9" s="1"/>
  <c r="AA54" i="9"/>
  <c r="AP54" i="9" s="1"/>
  <c r="AR54" i="9"/>
  <c r="AA42" i="9"/>
  <c r="AP42" i="9" s="1"/>
  <c r="AR42" i="9"/>
  <c r="AA39" i="9"/>
  <c r="AP39" i="9" s="1"/>
  <c r="AR39" i="9"/>
  <c r="AA27" i="9"/>
  <c r="AP27" i="9" s="1"/>
  <c r="AR27" i="9"/>
  <c r="AA53" i="9"/>
  <c r="AP53" i="9" s="1"/>
  <c r="AR53" i="9" s="1"/>
  <c r="AA38" i="9"/>
  <c r="AP38" i="9" s="1"/>
  <c r="AR38" i="9"/>
  <c r="AA17" i="9"/>
  <c r="AP17" i="9" s="1"/>
  <c r="AR17" i="9" s="1"/>
  <c r="AU103" i="9"/>
  <c r="AX103" i="9" s="1"/>
  <c r="AA130" i="9"/>
  <c r="AP130" i="9" s="1"/>
  <c r="AR130" i="9"/>
  <c r="AA117" i="9"/>
  <c r="AP117" i="9" s="1"/>
  <c r="AR117" i="9" s="1"/>
  <c r="AA78" i="9"/>
  <c r="AP78" i="9" s="1"/>
  <c r="AR78" i="9"/>
  <c r="AA62" i="9"/>
  <c r="AP62" i="9" s="1"/>
  <c r="AR62" i="9"/>
  <c r="AA14" i="9"/>
  <c r="AP14" i="9" s="1"/>
  <c r="AR14" i="9"/>
  <c r="AU10" i="9"/>
  <c r="AX10" i="9"/>
  <c r="AA186" i="9"/>
  <c r="AP186" i="9" s="1"/>
  <c r="AR186" i="9" s="1"/>
  <c r="AA169" i="9"/>
  <c r="AP169" i="9" s="1"/>
  <c r="AR169" i="9"/>
  <c r="AA187" i="9"/>
  <c r="AP187" i="9" s="1"/>
  <c r="AR187" i="9"/>
  <c r="AA179" i="9"/>
  <c r="AP179" i="9" s="1"/>
  <c r="AR179" i="9"/>
  <c r="AA167" i="9"/>
  <c r="AP167" i="9" s="1"/>
  <c r="AR167" i="9"/>
  <c r="AA165" i="9"/>
  <c r="AP165" i="9" s="1"/>
  <c r="AR165" i="9" s="1"/>
  <c r="AA134" i="9"/>
  <c r="AP134" i="9" s="1"/>
  <c r="AR134" i="9"/>
  <c r="AA118" i="9"/>
  <c r="AP118" i="9" s="1"/>
  <c r="AR118" i="9"/>
  <c r="AA120" i="9"/>
  <c r="AP120" i="9" s="1"/>
  <c r="AR120" i="9" s="1"/>
  <c r="AA108" i="9"/>
  <c r="AP108" i="9" s="1"/>
  <c r="AR108" i="9" s="1"/>
  <c r="AA98" i="9"/>
  <c r="AP98" i="9" s="1"/>
  <c r="AR98" i="9"/>
  <c r="AA104" i="9"/>
  <c r="AP104" i="9" s="1"/>
  <c r="AR104" i="9" s="1"/>
  <c r="AA66" i="9"/>
  <c r="AP66" i="9" s="1"/>
  <c r="AR66" i="9"/>
  <c r="AA50" i="9"/>
  <c r="AP50" i="9" s="1"/>
  <c r="AR50" i="9"/>
  <c r="AA37" i="9"/>
  <c r="AP37" i="9" s="1"/>
  <c r="AR37" i="9" s="1"/>
  <c r="AA35" i="9"/>
  <c r="AP35" i="9" s="1"/>
  <c r="AR35" i="9"/>
  <c r="AA18" i="9"/>
  <c r="AP18" i="9" s="1"/>
  <c r="AR18" i="9"/>
  <c r="AA61" i="9"/>
  <c r="AP61" i="9" s="1"/>
  <c r="AR61" i="9" s="1"/>
  <c r="AA34" i="9"/>
  <c r="AP34" i="9" s="1"/>
  <c r="AR34" i="9" s="1"/>
  <c r="AX171" i="9"/>
  <c r="AU171" i="9"/>
  <c r="AR172" i="9"/>
  <c r="AA172" i="9"/>
  <c r="AP172" i="9" s="1"/>
  <c r="AA150" i="9"/>
  <c r="AP150" i="9" s="1"/>
  <c r="AR150" i="9" s="1"/>
  <c r="AA137" i="9"/>
  <c r="AP137" i="9" s="1"/>
  <c r="AR137" i="9" s="1"/>
  <c r="AR139" i="9"/>
  <c r="AA139" i="9"/>
  <c r="AP139" i="9" s="1"/>
  <c r="AR77" i="9"/>
  <c r="AA77" i="9"/>
  <c r="AP77" i="9" s="1"/>
  <c r="AA86" i="9"/>
  <c r="AP86" i="9" s="1"/>
  <c r="AR86" i="9" s="1"/>
  <c r="AR128" i="9"/>
  <c r="AA128" i="9"/>
  <c r="AP128" i="9" s="1"/>
  <c r="AA87" i="9"/>
  <c r="AP87" i="9" s="1"/>
  <c r="AR87" i="9" s="1"/>
  <c r="AA119" i="9"/>
  <c r="AP119" i="9" s="1"/>
  <c r="AR119" i="9" s="1"/>
  <c r="AR57" i="9"/>
  <c r="AA57" i="9"/>
  <c r="AP57" i="9" s="1"/>
  <c r="AR72" i="9"/>
  <c r="AA72" i="9"/>
  <c r="AP72" i="9" s="1"/>
  <c r="AR48" i="9"/>
  <c r="AA48" i="9"/>
  <c r="AP48" i="9" s="1"/>
  <c r="AA70" i="9"/>
  <c r="AP70" i="9" s="1"/>
  <c r="AR70" i="9" s="1"/>
  <c r="AX16" i="9"/>
  <c r="AF27" i="2"/>
  <c r="AU27" i="2" s="1"/>
  <c r="AW27" i="2" s="1"/>
  <c r="AA184" i="9"/>
  <c r="AP184" i="9" s="1"/>
  <c r="AR184" i="9" s="1"/>
  <c r="AA185" i="9"/>
  <c r="AP185" i="9" s="1"/>
  <c r="AR185" i="9" s="1"/>
  <c r="AA112" i="9"/>
  <c r="AP112" i="9" s="1"/>
  <c r="AR112" i="9" s="1"/>
  <c r="AA164" i="9"/>
  <c r="AP164" i="9" s="1"/>
  <c r="AR164" i="9"/>
  <c r="AA84" i="9"/>
  <c r="AP84" i="9" s="1"/>
  <c r="AR84" i="9" s="1"/>
  <c r="AA131" i="9"/>
  <c r="AP131" i="9" s="1"/>
  <c r="AR131" i="9"/>
  <c r="AA123" i="9"/>
  <c r="AP123" i="9" s="1"/>
  <c r="AR123" i="9"/>
  <c r="AA64" i="9"/>
  <c r="AP64" i="9" s="1"/>
  <c r="AR64" i="9" s="1"/>
  <c r="AA33" i="9"/>
  <c r="AP33" i="9" s="1"/>
  <c r="AR33" i="9" s="1"/>
  <c r="AA79" i="9"/>
  <c r="AP79" i="9" s="1"/>
  <c r="AR79" i="9"/>
  <c r="AA15" i="9"/>
  <c r="AP15" i="9" s="1"/>
  <c r="AR15" i="9"/>
  <c r="AA59" i="9"/>
  <c r="AP59" i="9" s="1"/>
  <c r="AR59" i="9"/>
  <c r="AA75" i="9"/>
  <c r="AP75" i="9" s="1"/>
  <c r="AR75" i="9" s="1"/>
  <c r="AA36" i="9"/>
  <c r="AP36" i="9" s="1"/>
  <c r="AR36" i="9" s="1"/>
  <c r="AR188" i="9"/>
  <c r="AX188" i="9" s="1"/>
  <c r="AA188" i="9"/>
  <c r="AP188" i="9" s="1"/>
  <c r="AA142" i="9"/>
  <c r="AP142" i="9" s="1"/>
  <c r="AR142" i="9" s="1"/>
  <c r="AR109" i="9"/>
  <c r="AA109" i="9"/>
  <c r="AP109" i="9" s="1"/>
  <c r="AA114" i="9"/>
  <c r="AP114" i="9" s="1"/>
  <c r="AR114" i="9" s="1"/>
  <c r="AR73" i="9"/>
  <c r="AA73" i="9"/>
  <c r="AP73" i="9" s="1"/>
  <c r="AA82" i="9"/>
  <c r="AP82" i="9" s="1"/>
  <c r="AR82" i="9" s="1"/>
  <c r="AA83" i="9"/>
  <c r="AP83" i="9" s="1"/>
  <c r="AR83" i="9" s="1"/>
  <c r="AR68" i="9"/>
  <c r="AA68" i="9"/>
  <c r="AP68" i="9" s="1"/>
  <c r="AU40" i="9"/>
  <c r="AX40" i="9" s="1"/>
  <c r="AR41" i="9"/>
  <c r="AA41" i="9"/>
  <c r="AP41" i="9" s="1"/>
  <c r="AU14" i="2"/>
  <c r="AF10" i="2"/>
  <c r="AA180" i="9"/>
  <c r="AP180" i="9" s="1"/>
  <c r="AR180" i="9" s="1"/>
  <c r="R138" i="9"/>
  <c r="AR177" i="9"/>
  <c r="AA177" i="9"/>
  <c r="AP177" i="9" s="1"/>
  <c r="AA136" i="9"/>
  <c r="AP136" i="9" s="1"/>
  <c r="AR136" i="9" s="1"/>
  <c r="AA168" i="9"/>
  <c r="AP168" i="9" s="1"/>
  <c r="AR168" i="9" s="1"/>
  <c r="R141" i="9"/>
  <c r="AA154" i="9"/>
  <c r="AP154" i="9" s="1"/>
  <c r="AR154" i="9"/>
  <c r="R145" i="9"/>
  <c r="AA110" i="9"/>
  <c r="AP110" i="9" s="1"/>
  <c r="AR110" i="9" s="1"/>
  <c r="AA149" i="9"/>
  <c r="AP149" i="9" s="1"/>
  <c r="AR149" i="9" s="1"/>
  <c r="AR143" i="9"/>
  <c r="AA143" i="9"/>
  <c r="AP143" i="9" s="1"/>
  <c r="AR96" i="9"/>
  <c r="AX96" i="9" s="1"/>
  <c r="AA96" i="9"/>
  <c r="AP96" i="9" s="1"/>
  <c r="AR80" i="9"/>
  <c r="AA80" i="9"/>
  <c r="AP80" i="9" s="1"/>
  <c r="AR173" i="9"/>
  <c r="AA173" i="9"/>
  <c r="AP173" i="9" s="1"/>
  <c r="AR93" i="9"/>
  <c r="AA93" i="9"/>
  <c r="AP93" i="9" s="1"/>
  <c r="AR89" i="9"/>
  <c r="AA89" i="9"/>
  <c r="AP89" i="9" s="1"/>
  <c r="AR85" i="9"/>
  <c r="AA85" i="9"/>
  <c r="AP85" i="9" s="1"/>
  <c r="AR81" i="9"/>
  <c r="AA81" i="9"/>
  <c r="AP81" i="9" s="1"/>
  <c r="AA74" i="9"/>
  <c r="AP74" i="9" s="1"/>
  <c r="AR74" i="9" s="1"/>
  <c r="AR153" i="9"/>
  <c r="AA153" i="9"/>
  <c r="AP153" i="9" s="1"/>
  <c r="AA115" i="9"/>
  <c r="AP115" i="9" s="1"/>
  <c r="AR115" i="9" s="1"/>
  <c r="AA46" i="9"/>
  <c r="AP46" i="9" s="1"/>
  <c r="AR46" i="9" s="1"/>
  <c r="AA127" i="9"/>
  <c r="AP127" i="9" s="1"/>
  <c r="AR127" i="9" s="1"/>
  <c r="AR71" i="9"/>
  <c r="AA71" i="9"/>
  <c r="AP71" i="9" s="1"/>
  <c r="AA91" i="9"/>
  <c r="AP91" i="9" s="1"/>
  <c r="AR91" i="9" s="1"/>
  <c r="AR60" i="9"/>
  <c r="AA60" i="9"/>
  <c r="AP60" i="9" s="1"/>
  <c r="AR29" i="9"/>
  <c r="AA29" i="9"/>
  <c r="AP29" i="9" s="1"/>
  <c r="AR65" i="9"/>
  <c r="AA65" i="9"/>
  <c r="AP65" i="9" s="1"/>
  <c r="AR49" i="9"/>
  <c r="AA49" i="9"/>
  <c r="AP49" i="9" s="1"/>
  <c r="L11" i="9"/>
  <c r="L194" i="9" s="1"/>
  <c r="M13" i="9"/>
  <c r="AA55" i="9"/>
  <c r="AP55" i="9" s="1"/>
  <c r="AR55" i="9" s="1"/>
  <c r="S26" i="2"/>
  <c r="J189" i="7"/>
  <c r="AA67" i="9"/>
  <c r="AP67" i="9" s="1"/>
  <c r="AR67" i="9" s="1"/>
  <c r="AR25" i="9"/>
  <c r="AA25" i="9"/>
  <c r="AP25" i="9" s="1"/>
  <c r="K189" i="7"/>
  <c r="AR147" i="9"/>
  <c r="AA147" i="9"/>
  <c r="AP147" i="9" s="1"/>
  <c r="AR113" i="9"/>
  <c r="AA113" i="9"/>
  <c r="AP113" i="9" s="1"/>
  <c r="AR151" i="9"/>
  <c r="AA151" i="9"/>
  <c r="AP151" i="9" s="1"/>
  <c r="AR161" i="9"/>
  <c r="AA161" i="9"/>
  <c r="AP161" i="9" s="1"/>
  <c r="AR88" i="9"/>
  <c r="AA88" i="9"/>
  <c r="AP88" i="9" s="1"/>
  <c r="AA90" i="9"/>
  <c r="AP90" i="9" s="1"/>
  <c r="AR90" i="9" s="1"/>
  <c r="AR69" i="9"/>
  <c r="AA69" i="9"/>
  <c r="AP69" i="9" s="1"/>
  <c r="AR52" i="9"/>
  <c r="AA52" i="9"/>
  <c r="AP52" i="9" s="1"/>
  <c r="AA43" i="9"/>
  <c r="AP43" i="9" s="1"/>
  <c r="AR43" i="9" s="1"/>
  <c r="AA32" i="9"/>
  <c r="AP32" i="9" s="1"/>
  <c r="AR32" i="9" s="1"/>
  <c r="AA170" i="9"/>
  <c r="AP170" i="9" s="1"/>
  <c r="AR170" i="9" s="1"/>
  <c r="AA146" i="9"/>
  <c r="AP146" i="9" s="1"/>
  <c r="AR146" i="9" s="1"/>
  <c r="AR193" i="9"/>
  <c r="AA193" i="9"/>
  <c r="AP193" i="9" s="1"/>
  <c r="AR176" i="9"/>
  <c r="AA176" i="9"/>
  <c r="AP176" i="9" s="1"/>
  <c r="AR190" i="9"/>
  <c r="AA190" i="9"/>
  <c r="AP190" i="9" s="1"/>
  <c r="AR181" i="9"/>
  <c r="AA181" i="9"/>
  <c r="AP181" i="9" s="1"/>
  <c r="AR92" i="9"/>
  <c r="AA92" i="9"/>
  <c r="AP92" i="9" s="1"/>
  <c r="AA111" i="9"/>
  <c r="AP111" i="9" s="1"/>
  <c r="AR111" i="9" s="1"/>
  <c r="AR56" i="9"/>
  <c r="AA56" i="9"/>
  <c r="AP56" i="9" s="1"/>
  <c r="AA135" i="9"/>
  <c r="AP135" i="9" s="1"/>
  <c r="AR135" i="9" s="1"/>
  <c r="AA95" i="9"/>
  <c r="AP95" i="9" s="1"/>
  <c r="AR95" i="9" s="1"/>
  <c r="AX95" i="9" s="1"/>
  <c r="AA51" i="9"/>
  <c r="AP51" i="9" s="1"/>
  <c r="AR51" i="9" s="1"/>
  <c r="AR44" i="9"/>
  <c r="AA44" i="9"/>
  <c r="AP44" i="9" s="1"/>
  <c r="AA31" i="9"/>
  <c r="AP31" i="9" s="1"/>
  <c r="AR31" i="9" s="1"/>
  <c r="R7" i="9"/>
  <c r="P6" i="9"/>
  <c r="P194" i="9" s="1"/>
  <c r="U199" i="2"/>
  <c r="AA63" i="9"/>
  <c r="AP63" i="9" s="1"/>
  <c r="AR63" i="9" s="1"/>
  <c r="AA28" i="9"/>
  <c r="AP28" i="9" s="1"/>
  <c r="AR28" i="9" s="1"/>
  <c r="AA24" i="9"/>
  <c r="AP24" i="9" s="1"/>
  <c r="AR24" i="9" s="1"/>
  <c r="M15" i="2"/>
  <c r="M199" i="2" s="1"/>
  <c r="AU90" i="9" l="1"/>
  <c r="AX90" i="9" s="1"/>
  <c r="AU149" i="9"/>
  <c r="AX149" i="9" s="1"/>
  <c r="AU84" i="9"/>
  <c r="AX84" i="9"/>
  <c r="AU87" i="9"/>
  <c r="AX87" i="9" s="1"/>
  <c r="AU37" i="9"/>
  <c r="AX37" i="9" s="1"/>
  <c r="AU117" i="9"/>
  <c r="AX117" i="9" s="1"/>
  <c r="AU76" i="9"/>
  <c r="AX76" i="9"/>
  <c r="AU174" i="9"/>
  <c r="AX174" i="9" s="1"/>
  <c r="AU45" i="9"/>
  <c r="AX45" i="9" s="1"/>
  <c r="AU132" i="9"/>
  <c r="AX132" i="9" s="1"/>
  <c r="AU28" i="9"/>
  <c r="AX28" i="9" s="1"/>
  <c r="AU31" i="9"/>
  <c r="AX31" i="9" s="1"/>
  <c r="AU111" i="9"/>
  <c r="AX111" i="9" s="1"/>
  <c r="AU170" i="9"/>
  <c r="AX170" i="9" s="1"/>
  <c r="AU110" i="9"/>
  <c r="AX110" i="9" s="1"/>
  <c r="AU142" i="9"/>
  <c r="AX142" i="9" s="1"/>
  <c r="AU184" i="9"/>
  <c r="AX184" i="9" s="1"/>
  <c r="AU150" i="9"/>
  <c r="AX150" i="9" s="1"/>
  <c r="AU104" i="9"/>
  <c r="AX104" i="9"/>
  <c r="AU120" i="9"/>
  <c r="AX120" i="9" s="1"/>
  <c r="AU97" i="9"/>
  <c r="AX97" i="9" s="1"/>
  <c r="AU121" i="9"/>
  <c r="AX121" i="9" s="1"/>
  <c r="AU144" i="9"/>
  <c r="AX144" i="9" s="1"/>
  <c r="AU191" i="9"/>
  <c r="AX191" i="9" s="1"/>
  <c r="AU30" i="9"/>
  <c r="AX30" i="9" s="1"/>
  <c r="AU125" i="9"/>
  <c r="AX125" i="9" s="1"/>
  <c r="AZ29" i="2"/>
  <c r="BC29" i="2" s="1"/>
  <c r="AU94" i="9"/>
  <c r="AX94" i="9" s="1"/>
  <c r="AU51" i="9"/>
  <c r="AX51" i="9" s="1"/>
  <c r="AU115" i="9"/>
  <c r="AX115" i="9" s="1"/>
  <c r="AU185" i="9"/>
  <c r="AX185" i="9"/>
  <c r="AU137" i="9"/>
  <c r="AX137" i="9" s="1"/>
  <c r="AU114" i="9"/>
  <c r="AX114" i="9" s="1"/>
  <c r="AU33" i="9"/>
  <c r="AX33" i="9" s="1"/>
  <c r="AZ27" i="2"/>
  <c r="BC27" i="2"/>
  <c r="AU34" i="9"/>
  <c r="AX34" i="9" s="1"/>
  <c r="AU165" i="9"/>
  <c r="AX165" i="9" s="1"/>
  <c r="AU105" i="9"/>
  <c r="AX105" i="9" s="1"/>
  <c r="AU129" i="9"/>
  <c r="AX129" i="9" s="1"/>
  <c r="AU152" i="9"/>
  <c r="AX152" i="9" s="1"/>
  <c r="AU101" i="9"/>
  <c r="AX101" i="9" s="1"/>
  <c r="AU140" i="9"/>
  <c r="AX140" i="9" s="1"/>
  <c r="AU116" i="9"/>
  <c r="AX116" i="9" s="1"/>
  <c r="AU178" i="9"/>
  <c r="AX178" i="9" s="1"/>
  <c r="AU133" i="9"/>
  <c r="AX133" i="9" s="1"/>
  <c r="AU24" i="9"/>
  <c r="AX24" i="9" s="1"/>
  <c r="AU146" i="9"/>
  <c r="AX146" i="9" s="1"/>
  <c r="AU55" i="9"/>
  <c r="AX55" i="9" s="1"/>
  <c r="AU75" i="9"/>
  <c r="AX75" i="9" s="1"/>
  <c r="AU70" i="9"/>
  <c r="AX70" i="9" s="1"/>
  <c r="AU108" i="9"/>
  <c r="AX108" i="9"/>
  <c r="AU17" i="9"/>
  <c r="AX17" i="9" s="1"/>
  <c r="AU63" i="9"/>
  <c r="AX63" i="9" s="1"/>
  <c r="AU135" i="9"/>
  <c r="AX135" i="9" s="1"/>
  <c r="AU32" i="9"/>
  <c r="AX32" i="9"/>
  <c r="AU127" i="9"/>
  <c r="AX127" i="9" s="1"/>
  <c r="AU168" i="9"/>
  <c r="AX168" i="9" s="1"/>
  <c r="AU83" i="9"/>
  <c r="AX83" i="9" s="1"/>
  <c r="AU43" i="9"/>
  <c r="AX43" i="9" s="1"/>
  <c r="AU67" i="9"/>
  <c r="AX67" i="9" s="1"/>
  <c r="AU91" i="9"/>
  <c r="AX91" i="9" s="1"/>
  <c r="AU46" i="9"/>
  <c r="AX46" i="9" s="1"/>
  <c r="AU74" i="9"/>
  <c r="AX74" i="9" s="1"/>
  <c r="AU136" i="9"/>
  <c r="AX136" i="9" s="1"/>
  <c r="AU180" i="9"/>
  <c r="AX180" i="9" s="1"/>
  <c r="AU82" i="9"/>
  <c r="AX82" i="9" s="1"/>
  <c r="AU36" i="9"/>
  <c r="AX36" i="9" s="1"/>
  <c r="AU64" i="9"/>
  <c r="AX64" i="9"/>
  <c r="AU112" i="9"/>
  <c r="AX112" i="9"/>
  <c r="AU119" i="9"/>
  <c r="AX119" i="9" s="1"/>
  <c r="AU86" i="9"/>
  <c r="AX86" i="9" s="1"/>
  <c r="AU61" i="9"/>
  <c r="AX61" i="9" s="1"/>
  <c r="AU186" i="9"/>
  <c r="AX186" i="9" s="1"/>
  <c r="AU53" i="9"/>
  <c r="AX53" i="9" s="1"/>
  <c r="AU166" i="9"/>
  <c r="AX166" i="9" s="1"/>
  <c r="AU182" i="9"/>
  <c r="AX182" i="9" s="1"/>
  <c r="AU26" i="9"/>
  <c r="AX26" i="9" s="1"/>
  <c r="AU100" i="9"/>
  <c r="AX100" i="9"/>
  <c r="AU124" i="9"/>
  <c r="AX124" i="9" s="1"/>
  <c r="AU163" i="9"/>
  <c r="AX163" i="9" s="1"/>
  <c r="AU148" i="9"/>
  <c r="AX148" i="9" s="1"/>
  <c r="AU176" i="9"/>
  <c r="AX176" i="9" s="1"/>
  <c r="S15" i="2"/>
  <c r="S199" i="2" s="1"/>
  <c r="W200" i="2" s="1"/>
  <c r="W26" i="2"/>
  <c r="AU60" i="9"/>
  <c r="AX60" i="9" s="1"/>
  <c r="AU153" i="9"/>
  <c r="AX153" i="9" s="1"/>
  <c r="AU173" i="9"/>
  <c r="AX173" i="9"/>
  <c r="AU154" i="9"/>
  <c r="AX154" i="9" s="1"/>
  <c r="AU77" i="9"/>
  <c r="AX77" i="9" s="1"/>
  <c r="AU172" i="9"/>
  <c r="AX172" i="9" s="1"/>
  <c r="AU167" i="9"/>
  <c r="AX167" i="9" s="1"/>
  <c r="AU14" i="9"/>
  <c r="AX14" i="9" s="1"/>
  <c r="AU130" i="9"/>
  <c r="AX130" i="9" s="1"/>
  <c r="AU175" i="9"/>
  <c r="AX175" i="9" s="1"/>
  <c r="AU126" i="9"/>
  <c r="AX126" i="9" s="1"/>
  <c r="AA138" i="9"/>
  <c r="AP138" i="9" s="1"/>
  <c r="AR138" i="9"/>
  <c r="AU10" i="2"/>
  <c r="AW14" i="2"/>
  <c r="AU181" i="9"/>
  <c r="AX181" i="9" s="1"/>
  <c r="AU52" i="9"/>
  <c r="AX52" i="9" s="1"/>
  <c r="AX65" i="9"/>
  <c r="AU65" i="9"/>
  <c r="AX71" i="9"/>
  <c r="AU71" i="9"/>
  <c r="AX81" i="9"/>
  <c r="AU81" i="9"/>
  <c r="AU177" i="9"/>
  <c r="AX177" i="9" s="1"/>
  <c r="AU59" i="9"/>
  <c r="AX59" i="9" s="1"/>
  <c r="AU131" i="9"/>
  <c r="AX131" i="9" s="1"/>
  <c r="AU98" i="9"/>
  <c r="AX98" i="9" s="1"/>
  <c r="AU134" i="9"/>
  <c r="AX134" i="9" s="1"/>
  <c r="AU187" i="9"/>
  <c r="AX187" i="9" s="1"/>
  <c r="AU78" i="9"/>
  <c r="AX78" i="9" s="1"/>
  <c r="AU54" i="9"/>
  <c r="AX54" i="9" s="1"/>
  <c r="AU102" i="9"/>
  <c r="AX102" i="9" s="1"/>
  <c r="AU99" i="9"/>
  <c r="AX99" i="9" s="1"/>
  <c r="AU106" i="9"/>
  <c r="AX106" i="9" s="1"/>
  <c r="AU183" i="9"/>
  <c r="AX183" i="9" s="1"/>
  <c r="AA7" i="9"/>
  <c r="R6" i="9"/>
  <c r="AX44" i="9"/>
  <c r="AU44" i="9"/>
  <c r="AU56" i="9"/>
  <c r="AX56" i="9" s="1"/>
  <c r="AX69" i="9"/>
  <c r="AU69" i="9"/>
  <c r="AX151" i="9"/>
  <c r="AU151" i="9"/>
  <c r="AX49" i="9"/>
  <c r="AU49" i="9"/>
  <c r="AX85" i="9"/>
  <c r="AU85" i="9"/>
  <c r="AX93" i="9"/>
  <c r="AU93" i="9"/>
  <c r="AU80" i="9"/>
  <c r="AX80" i="9" s="1"/>
  <c r="AX143" i="9"/>
  <c r="AU143" i="9"/>
  <c r="AA141" i="9"/>
  <c r="AP141" i="9" s="1"/>
  <c r="AR141" i="9" s="1"/>
  <c r="AX41" i="9"/>
  <c r="AU41" i="9"/>
  <c r="AX68" i="9"/>
  <c r="AU68" i="9"/>
  <c r="AX15" i="9"/>
  <c r="AU15" i="9"/>
  <c r="AX123" i="9"/>
  <c r="AU123" i="9"/>
  <c r="AU48" i="9"/>
  <c r="AX48" i="9" s="1"/>
  <c r="AX57" i="9"/>
  <c r="AU57" i="9"/>
  <c r="AX139" i="9"/>
  <c r="AU139" i="9"/>
  <c r="AX35" i="9"/>
  <c r="AU35" i="9"/>
  <c r="AX50" i="9"/>
  <c r="AU50" i="9"/>
  <c r="AX118" i="9"/>
  <c r="AU118" i="9"/>
  <c r="AX179" i="9"/>
  <c r="AU179" i="9"/>
  <c r="AX169" i="9"/>
  <c r="AU169" i="9"/>
  <c r="AX62" i="9"/>
  <c r="AU62" i="9"/>
  <c r="AX38" i="9"/>
  <c r="AU38" i="9"/>
  <c r="AX27" i="9"/>
  <c r="AU27" i="9"/>
  <c r="AX42" i="9"/>
  <c r="AU42" i="9"/>
  <c r="AX122" i="9"/>
  <c r="AU122" i="9"/>
  <c r="AX192" i="9"/>
  <c r="AU192" i="9"/>
  <c r="AX107" i="9"/>
  <c r="AU107" i="9"/>
  <c r="AX161" i="9"/>
  <c r="AU161" i="9"/>
  <c r="AX113" i="9"/>
  <c r="AU113" i="9"/>
  <c r="AX89" i="9"/>
  <c r="AU89" i="9"/>
  <c r="AX73" i="9"/>
  <c r="AU73" i="9"/>
  <c r="AX109" i="9"/>
  <c r="AU109" i="9"/>
  <c r="AX79" i="9"/>
  <c r="AU79" i="9"/>
  <c r="AX164" i="9"/>
  <c r="AU164" i="9"/>
  <c r="AU72" i="9"/>
  <c r="AX72" i="9" s="1"/>
  <c r="AX128" i="9"/>
  <c r="AU128" i="9"/>
  <c r="AX18" i="9"/>
  <c r="AU18" i="9"/>
  <c r="AX66" i="9"/>
  <c r="AU66" i="9"/>
  <c r="AX39" i="9"/>
  <c r="AU39" i="9"/>
  <c r="AX58" i="9"/>
  <c r="AU58" i="9"/>
  <c r="AX47" i="9"/>
  <c r="AU47" i="9"/>
  <c r="AU92" i="9"/>
  <c r="AX92" i="9" s="1"/>
  <c r="AU190" i="9"/>
  <c r="AX190" i="9" s="1"/>
  <c r="AY195" i="9"/>
  <c r="AU193" i="9"/>
  <c r="AU195" i="9" s="1"/>
  <c r="AU88" i="9"/>
  <c r="AX88" i="9"/>
  <c r="AU147" i="9"/>
  <c r="AX147" i="9" s="1"/>
  <c r="AU25" i="9"/>
  <c r="AX25" i="9" s="1"/>
  <c r="AU29" i="9"/>
  <c r="AX29" i="9" s="1"/>
  <c r="M11" i="9"/>
  <c r="M194" i="9" s="1"/>
  <c r="N13" i="9"/>
  <c r="AA145" i="9"/>
  <c r="AP145" i="9" s="1"/>
  <c r="AR145" i="9"/>
  <c r="AU141" i="9" l="1"/>
  <c r="AX141" i="9" s="1"/>
  <c r="AA6" i="9"/>
  <c r="AP7" i="9"/>
  <c r="AU138" i="9"/>
  <c r="AX138" i="9" s="1"/>
  <c r="AF26" i="2"/>
  <c r="W15" i="2"/>
  <c r="W199" i="2" s="1"/>
  <c r="R13" i="9"/>
  <c r="N11" i="9"/>
  <c r="N194" i="9" s="1"/>
  <c r="R195" i="9" s="1"/>
  <c r="AX145" i="9"/>
  <c r="AU145" i="9"/>
  <c r="AW10" i="2"/>
  <c r="AZ14" i="2"/>
  <c r="AZ10" i="2" s="1"/>
  <c r="AX193" i="9"/>
  <c r="AU26" i="2" l="1"/>
  <c r="AF15" i="2"/>
  <c r="AF199" i="2" s="1"/>
  <c r="BC14" i="2"/>
  <c r="BC10" i="2" s="1"/>
  <c r="AA13" i="9"/>
  <c r="R11" i="9"/>
  <c r="R194" i="9" s="1"/>
  <c r="AP6" i="9"/>
  <c r="AR7" i="9"/>
  <c r="AU7" i="9" l="1"/>
  <c r="AU6" i="9" s="1"/>
  <c r="AR6" i="9"/>
  <c r="AP13" i="9"/>
  <c r="AA11" i="9"/>
  <c r="AA194" i="9" s="1"/>
  <c r="AU15" i="2"/>
  <c r="AU199" i="2" s="1"/>
  <c r="AW200" i="2" s="1"/>
  <c r="AW26" i="2"/>
  <c r="AW15" i="2" l="1"/>
  <c r="AW199" i="2" s="1"/>
  <c r="AZ26" i="2"/>
  <c r="AZ15" i="2" s="1"/>
  <c r="AZ199" i="2" s="1"/>
  <c r="AP11" i="9"/>
  <c r="AP194" i="9" s="1"/>
  <c r="AR195" i="9" s="1"/>
  <c r="AR13" i="9"/>
  <c r="AX7" i="9"/>
  <c r="AX6" i="9" s="1"/>
  <c r="BC26" i="2" l="1"/>
  <c r="BC15" i="2" s="1"/>
  <c r="BC199" i="2" s="1"/>
  <c r="AR11" i="9"/>
  <c r="AR194" i="9" s="1"/>
  <c r="AU13" i="9"/>
  <c r="AU11" i="9" s="1"/>
  <c r="AU194" i="9" s="1"/>
  <c r="BC200" i="2"/>
  <c r="AX13" i="9" l="1"/>
  <c r="AX11" i="9" s="1"/>
  <c r="AX194" i="9" s="1"/>
  <c r="AX195"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 Nguyen Thanh - CTS SMSS</author>
  </authors>
  <commentList>
    <comment ref="F6" authorId="0" shapeId="0" xr:uid="{84DE9249-B56A-405A-9448-4F86953DDB1A}">
      <text>
        <r>
          <rPr>
            <b/>
            <sz val="9"/>
            <color indexed="81"/>
            <rFont val="Tahoma"/>
            <family val="2"/>
          </rPr>
          <t>Ha. Nguyen Thanh - CTS SMSS:</t>
        </r>
        <r>
          <rPr>
            <sz val="9"/>
            <color indexed="81"/>
            <rFont val="Tahoma"/>
            <family val="2"/>
          </rPr>
          <t xml:space="preserve">
hỏi vietlott</t>
        </r>
      </text>
    </comment>
    <comment ref="J6" authorId="0" shapeId="0" xr:uid="{068991FF-08FA-4417-A346-DECE1BC69719}">
      <text>
        <r>
          <rPr>
            <b/>
            <sz val="9"/>
            <color indexed="81"/>
            <rFont val="Tahoma"/>
            <family val="2"/>
          </rPr>
          <t>Ha. Nguyen Thanh - CTS SMSS:</t>
        </r>
        <r>
          <rPr>
            <sz val="9"/>
            <color indexed="81"/>
            <rFont val="Tahoma"/>
            <family val="2"/>
          </rPr>
          <t xml:space="preserve">
Form Thiết lập tỷ lệ lương bổ sung quản lý điểm bán và form Thiết lập tỷ lệ lương bổ sung với chức danh kiêm nhiệm</t>
        </r>
      </text>
    </comment>
    <comment ref="K6" authorId="0" shapeId="0" xr:uid="{52A5AFB9-B78A-49C7-919D-C515ADAA2B7F}">
      <text>
        <r>
          <rPr>
            <b/>
            <sz val="9"/>
            <color indexed="81"/>
            <rFont val="Tahoma"/>
            <family val="2"/>
          </rPr>
          <t>Ha. Nguyen Thanh - CTS SMSS:</t>
        </r>
        <r>
          <rPr>
            <sz val="9"/>
            <color indexed="81"/>
            <rFont val="Tahoma"/>
            <family val="2"/>
          </rPr>
          <t xml:space="preserve">
Căn cứ vào form Quản lý HĐ trường Tỉnh/thành phố (bắt buộc nhập)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45" authorId="0" shapeId="0" xr:uid="{00000000-0006-0000-0700-000001000000}">
      <text>
        <r>
          <rPr>
            <b/>
            <sz val="9"/>
            <color indexed="81"/>
            <rFont val="Tahoma"/>
            <family val="2"/>
          </rPr>
          <t>Author:</t>
        </r>
        <r>
          <rPr>
            <sz val="9"/>
            <color indexed="81"/>
            <rFont val="Tahoma"/>
            <family val="2"/>
          </rPr>
          <t xml:space="preserve">
Phụ trách</t>
        </r>
      </text>
    </comment>
  </commentList>
</comments>
</file>

<file path=xl/sharedStrings.xml><?xml version="1.0" encoding="utf-8"?>
<sst xmlns="http://schemas.openxmlformats.org/spreadsheetml/2006/main" count="3722" uniqueCount="884">
  <si>
    <t>BỘ TÀI CHÍNH</t>
  </si>
  <si>
    <t>CÔNG TY XỔ SỐ ĐIỆN TOÁN VIỆT NAM</t>
  </si>
  <si>
    <t>TT</t>
  </si>
  <si>
    <t>Mã nhân viên</t>
  </si>
  <si>
    <t>Tên nhân viên</t>
  </si>
  <si>
    <t>Chức 
vụ</t>
  </si>
  <si>
    <t>Hệ số lương</t>
  </si>
  <si>
    <t>Hệ số 
HQKD</t>
  </si>
  <si>
    <t>Ngày
 công</t>
  </si>
  <si>
    <t>Tổng lương (CB+BS)</t>
  </si>
  <si>
    <t>Ăn ca</t>
  </si>
  <si>
    <t>Thu nhập khác chịu thuế TNCN</t>
  </si>
  <si>
    <t>Thu nhập khác không chịu thuế TNCN</t>
  </si>
  <si>
    <t>Tổng thu nhập</t>
  </si>
  <si>
    <t>Tổng BHXH, BHYT, BHTN</t>
  </si>
  <si>
    <t>BHXH 
8%</t>
  </si>
  <si>
    <t>BHYT 
1.5%</t>
  </si>
  <si>
    <t>BHTN 
1%</t>
  </si>
  <si>
    <t>Giảm trừ bản thân, phụ thuộc</t>
  </si>
  <si>
    <t>Giảm trừ bản thân</t>
  </si>
  <si>
    <t>Số người phụ thuộc</t>
  </si>
  <si>
    <t>Giảm trừ phụ thuộc</t>
  </si>
  <si>
    <t>Thu nhập tính thuế</t>
  </si>
  <si>
    <t>TN tính thuế</t>
  </si>
  <si>
    <t>Thuế TNCN</t>
  </si>
  <si>
    <t>Số thuế còn phải nộp năm trước</t>
  </si>
  <si>
    <t>Thu nhập được nhận</t>
  </si>
  <si>
    <t>Đã trả</t>
  </si>
  <si>
    <t>Trừ khác</t>
  </si>
  <si>
    <t>Còn lại</t>
  </si>
  <si>
    <t>Hà Nội, ngày     tháng     năm 2016</t>
  </si>
  <si>
    <t>NGƯỜI LẬP BIỂU</t>
  </si>
  <si>
    <t>PHÒNG TỔ CHỨC NHÂN SỰ</t>
  </si>
  <si>
    <t>PHÒNG TÀI CHÍNH KẾ TOÁN</t>
  </si>
  <si>
    <t>TỔNG GIÁM ĐỐC</t>
  </si>
  <si>
    <t>Đoàn phí 
công đoàn</t>
  </si>
  <si>
    <t>Hệ số vùng</t>
  </si>
  <si>
    <t>13=9+10+11+12</t>
  </si>
  <si>
    <t>19=13-14-17-18</t>
  </si>
  <si>
    <t>23=19-20-21-22</t>
  </si>
  <si>
    <t/>
  </si>
  <si>
    <t>Người quản lý DN</t>
  </si>
  <si>
    <t>001</t>
  </si>
  <si>
    <t>Lê Văn Hoan</t>
  </si>
  <si>
    <t>CT</t>
  </si>
  <si>
    <t>003</t>
  </si>
  <si>
    <t>Nguyễn Thanh Đạm</t>
  </si>
  <si>
    <t>TGĐ</t>
  </si>
  <si>
    <t>004</t>
  </si>
  <si>
    <t>Phạm Quang Huy</t>
  </si>
  <si>
    <t>PTGĐ</t>
  </si>
  <si>
    <t>033</t>
  </si>
  <si>
    <t>Nguyễn Anh Tuấn</t>
  </si>
  <si>
    <t>KTT</t>
  </si>
  <si>
    <t>Cán bộ nhân viên</t>
  </si>
  <si>
    <t>Phòng KD</t>
  </si>
  <si>
    <t>038</t>
  </si>
  <si>
    <t>Nguyễn Tuấn Linh</t>
  </si>
  <si>
    <t>PP PT</t>
  </si>
  <si>
    <t>046</t>
  </si>
  <si>
    <t>Nguyễn Thị  Thùy Dương</t>
  </si>
  <si>
    <t>PP</t>
  </si>
  <si>
    <t>051</t>
  </si>
  <si>
    <t>Nguyễn  Mạnh Toàn</t>
  </si>
  <si>
    <t>041</t>
  </si>
  <si>
    <t>Nguyễn Xuân Việt Anh</t>
  </si>
  <si>
    <t>CV</t>
  </si>
  <si>
    <t>098</t>
  </si>
  <si>
    <t>Vũ Thị Lâm Bằng</t>
  </si>
  <si>
    <t>135</t>
  </si>
  <si>
    <t>Phạm Vũ Quỳnh Phương</t>
  </si>
  <si>
    <t>146</t>
  </si>
  <si>
    <t>Đào Minh  Kính</t>
  </si>
  <si>
    <t>151</t>
  </si>
  <si>
    <t>Trần Thanh Nam</t>
  </si>
  <si>
    <t>204</t>
  </si>
  <si>
    <t>Lê  Đình May</t>
  </si>
  <si>
    <t>225</t>
  </si>
  <si>
    <t>Phí Minh Tuấn</t>
  </si>
  <si>
    <t>Phòng CNTT</t>
  </si>
  <si>
    <t>010</t>
  </si>
  <si>
    <t>Trần Ngọc Doanh</t>
  </si>
  <si>
    <t>008</t>
  </si>
  <si>
    <t>Nguyễn Phan Lĩnh</t>
  </si>
  <si>
    <t>009</t>
  </si>
  <si>
    <t>Mai Hùng</t>
  </si>
  <si>
    <t>061</t>
  </si>
  <si>
    <t>Đỗ Hữu Đạt</t>
  </si>
  <si>
    <t>145</t>
  </si>
  <si>
    <t>Tạ Thị Thu Hiền</t>
  </si>
  <si>
    <t>202</t>
  </si>
  <si>
    <t>Lê Minh Dương</t>
  </si>
  <si>
    <t>203</t>
  </si>
  <si>
    <t>Nguyễn Phương Đông</t>
  </si>
  <si>
    <t>Phòng TCKT</t>
  </si>
  <si>
    <t>053</t>
  </si>
  <si>
    <t>Nguyễn  Thanh Minh</t>
  </si>
  <si>
    <t>048</t>
  </si>
  <si>
    <t>Đào Thanh Tùng</t>
  </si>
  <si>
    <t>034</t>
  </si>
  <si>
    <t>Nguyễn Thị Hoài Thương</t>
  </si>
  <si>
    <t>060</t>
  </si>
  <si>
    <t>Nguyễn Thị Ngọc Lan</t>
  </si>
  <si>
    <t>142</t>
  </si>
  <si>
    <t>Nguyễn Văn Thịnh</t>
  </si>
  <si>
    <t>165</t>
  </si>
  <si>
    <t>Nguyễn Thị Bích Liên</t>
  </si>
  <si>
    <t>226</t>
  </si>
  <si>
    <t>Phương Hồng Hoa</t>
  </si>
  <si>
    <t>218</t>
  </si>
  <si>
    <t>Đặng Hồng Thu</t>
  </si>
  <si>
    <t>NVTQ</t>
  </si>
  <si>
    <t>Phòng TCNS</t>
  </si>
  <si>
    <t>028</t>
  </si>
  <si>
    <t>Võ Quang Vinh</t>
  </si>
  <si>
    <t>TP</t>
  </si>
  <si>
    <t>031</t>
  </si>
  <si>
    <t>Phạm Thị Lan Anh</t>
  </si>
  <si>
    <t>030</t>
  </si>
  <si>
    <t>Phạm Thị Xuân Hòa</t>
  </si>
  <si>
    <t>CVC</t>
  </si>
  <si>
    <t>058</t>
  </si>
  <si>
    <t>Phạm Thị Minh Điệp</t>
  </si>
  <si>
    <t>084</t>
  </si>
  <si>
    <t>Hoàng Ngọc Giang</t>
  </si>
  <si>
    <t>094</t>
  </si>
  <si>
    <t>Lưu Thị Lan Anh</t>
  </si>
  <si>
    <t>200</t>
  </si>
  <si>
    <t>Nguyễn Danh Lợi</t>
  </si>
  <si>
    <t>237</t>
  </si>
  <si>
    <t>Mai Tuyết Nga</t>
  </si>
  <si>
    <t>Phòng QTRR</t>
  </si>
  <si>
    <t>019</t>
  </si>
  <si>
    <t>Chu Minh Phương</t>
  </si>
  <si>
    <t>037</t>
  </si>
  <si>
    <t>Trần Thị Phương Nhung</t>
  </si>
  <si>
    <t>068</t>
  </si>
  <si>
    <t>Nguyễn Thị Thu Hiền</t>
  </si>
  <si>
    <t>188</t>
  </si>
  <si>
    <t>Phạm Ngọc Tuấn Thành</t>
  </si>
  <si>
    <t>144</t>
  </si>
  <si>
    <t>Nguyễn Thành Luân</t>
  </si>
  <si>
    <t>227</t>
  </si>
  <si>
    <t>Nguyễn Thu Đông</t>
  </si>
  <si>
    <t>Phòng Trả thưởng</t>
  </si>
  <si>
    <t>022</t>
  </si>
  <si>
    <t>Nguyễn Anh Quân</t>
  </si>
  <si>
    <t>039</t>
  </si>
  <si>
    <t>Đào Anh Nghị</t>
  </si>
  <si>
    <t>062</t>
  </si>
  <si>
    <t>Nguyễn Thảo Trang</t>
  </si>
  <si>
    <t>064</t>
  </si>
  <si>
    <t>Hồ Phương  Nga</t>
  </si>
  <si>
    <t>063</t>
  </si>
  <si>
    <t>Trương Quốc Vượng</t>
  </si>
  <si>
    <t>095</t>
  </si>
  <si>
    <t>Lê Thị Thúy Anh</t>
  </si>
  <si>
    <t>096</t>
  </si>
  <si>
    <t>Lê Thùy Dung</t>
  </si>
  <si>
    <t>172</t>
  </si>
  <si>
    <t>Trần Thị Như Quỳnh</t>
  </si>
  <si>
    <t>097</t>
  </si>
  <si>
    <t>Đinh Thúy An</t>
  </si>
  <si>
    <t>Phòng QLHĐ</t>
  </si>
  <si>
    <t>011</t>
  </si>
  <si>
    <t>Trần Thị Sương</t>
  </si>
  <si>
    <t>057</t>
  </si>
  <si>
    <t>Nguyễn Tuấn Đức</t>
  </si>
  <si>
    <t>139</t>
  </si>
  <si>
    <t>Lê Bích Ngọc</t>
  </si>
  <si>
    <t>166</t>
  </si>
  <si>
    <t>Đỗ Minh Cường</t>
  </si>
  <si>
    <t>147</t>
  </si>
  <si>
    <t>Nguyễn Diệu Hồng</t>
  </si>
  <si>
    <t>217</t>
  </si>
  <si>
    <t>Nguyễn Duy Hiếu</t>
  </si>
  <si>
    <t>Văn phòng</t>
  </si>
  <si>
    <t>020</t>
  </si>
  <si>
    <t>Nguyễn Minh Hải</t>
  </si>
  <si>
    <t>014</t>
  </si>
  <si>
    <t>Lê Thu Hương</t>
  </si>
  <si>
    <t>PCVP</t>
  </si>
  <si>
    <t>018</t>
  </si>
  <si>
    <t>Đinh Xuân Cương</t>
  </si>
  <si>
    <t>050</t>
  </si>
  <si>
    <t>Ngô Thị Thu  Hương</t>
  </si>
  <si>
    <t>056</t>
  </si>
  <si>
    <t>Đào Việt Anh</t>
  </si>
  <si>
    <t>045</t>
  </si>
  <si>
    <t>Nguyễn Hoàng  Sơn</t>
  </si>
  <si>
    <t>122</t>
  </si>
  <si>
    <t>Đỗ Thị Ái Vân</t>
  </si>
  <si>
    <t>150</t>
  </si>
  <si>
    <t>Nguyễn Nhật Anh</t>
  </si>
  <si>
    <t>141</t>
  </si>
  <si>
    <t>Nguyễn Nguyên Mạnh</t>
  </si>
  <si>
    <t>143</t>
  </si>
  <si>
    <t>Trần Hoàng Hà</t>
  </si>
  <si>
    <t>205</t>
  </si>
  <si>
    <t>Lê  Trường Giang</t>
  </si>
  <si>
    <t>LX</t>
  </si>
  <si>
    <t>026</t>
  </si>
  <si>
    <t>Lê Anh Tuấn</t>
  </si>
  <si>
    <t>171</t>
  </si>
  <si>
    <t>Nguyễn Thị Bảo Giang</t>
  </si>
  <si>
    <t>NVLT</t>
  </si>
  <si>
    <t>044</t>
  </si>
  <si>
    <t>Bùi Thị Hà  Giang</t>
  </si>
  <si>
    <t>NVVT</t>
  </si>
  <si>
    <t>228</t>
  </si>
  <si>
    <t>Ngô lan Phương</t>
  </si>
  <si>
    <t>Chi nhánh Bà Rịa - Vũng Tàu</t>
  </si>
  <si>
    <t>116</t>
  </si>
  <si>
    <t>Dương Văn Tiến</t>
  </si>
  <si>
    <t>GĐCN</t>
  </si>
  <si>
    <t>117</t>
  </si>
  <si>
    <t>Nguyễn Mạnh Hùng</t>
  </si>
  <si>
    <t>TPCN</t>
  </si>
  <si>
    <t>118</t>
  </si>
  <si>
    <t>Bùi Đình Thủy</t>
  </si>
  <si>
    <t>132</t>
  </si>
  <si>
    <t>Trần Thị Tuyến</t>
  </si>
  <si>
    <t>156</t>
  </si>
  <si>
    <t>Trần Văn Tú</t>
  </si>
  <si>
    <t>158</t>
  </si>
  <si>
    <t>Trần Thanh Tùng</t>
  </si>
  <si>
    <t>159</t>
  </si>
  <si>
    <t>Đỗ Thị Bích Hồng</t>
  </si>
  <si>
    <t>170</t>
  </si>
  <si>
    <t>Lê Văn Linh</t>
  </si>
  <si>
    <t>120</t>
  </si>
  <si>
    <t>Lữ Thị Ngọc Tú</t>
  </si>
  <si>
    <t>121</t>
  </si>
  <si>
    <t>Lê Đình Khuê</t>
  </si>
  <si>
    <t>229</t>
  </si>
  <si>
    <t>Mai Thị  Sâm</t>
  </si>
  <si>
    <t>180</t>
  </si>
  <si>
    <t>Trần Quốc Hoàn</t>
  </si>
  <si>
    <t>NV</t>
  </si>
  <si>
    <t>182</t>
  </si>
  <si>
    <t>Nguyễn Thế Vinh</t>
  </si>
  <si>
    <t>194</t>
  </si>
  <si>
    <t>Nguyễn Hải Nam</t>
  </si>
  <si>
    <t>157</t>
  </si>
  <si>
    <t>Tống Quốc Định</t>
  </si>
  <si>
    <t>133</t>
  </si>
  <si>
    <t>Bùi Khắc Ngân</t>
  </si>
  <si>
    <t>Chi nhánh Cần Thơ</t>
  </si>
  <si>
    <t>082</t>
  </si>
  <si>
    <t>Nguyễn Hải Thoại</t>
  </si>
  <si>
    <t>079</t>
  </si>
  <si>
    <t>Nguyễn Hồ Thanh Tâm</t>
  </si>
  <si>
    <t>081</t>
  </si>
  <si>
    <t>Nguyễn Trung Tín</t>
  </si>
  <si>
    <t>111</t>
  </si>
  <si>
    <t>Võ Quốc Nam</t>
  </si>
  <si>
    <t>112</t>
  </si>
  <si>
    <t>Lê Thị Mỷ Linh</t>
  </si>
  <si>
    <t>113</t>
  </si>
  <si>
    <t>Nguyễn Văn Việt Chương</t>
  </si>
  <si>
    <t>115</t>
  </si>
  <si>
    <t>Trần Anh Trí</t>
  </si>
  <si>
    <t>101</t>
  </si>
  <si>
    <t>Bùi Xuân Thịnh</t>
  </si>
  <si>
    <t>102</t>
  </si>
  <si>
    <t>Nguyễn Ngọc Minh</t>
  </si>
  <si>
    <t>103</t>
  </si>
  <si>
    <t>Nguyễn Thanh Duy</t>
  </si>
  <si>
    <t>104</t>
  </si>
  <si>
    <t>Trương Quang  Quốc</t>
  </si>
  <si>
    <t>090</t>
  </si>
  <si>
    <t>Đinh Văn Lời</t>
  </si>
  <si>
    <t>089</t>
  </si>
  <si>
    <t>Nguyễn Phùng Minh Hùng</t>
  </si>
  <si>
    <t>221</t>
  </si>
  <si>
    <t>Nguyễn Đăng Khoa</t>
  </si>
  <si>
    <t>092</t>
  </si>
  <si>
    <t>Ngô Văn Lũy</t>
  </si>
  <si>
    <t>181</t>
  </si>
  <si>
    <t>Tô Văn  Lăng</t>
  </si>
  <si>
    <t>192</t>
  </si>
  <si>
    <t>Bạch  Trường Xuân</t>
  </si>
  <si>
    <t>193</t>
  </si>
  <si>
    <t>Kiều  Văn Út</t>
  </si>
  <si>
    <t>167</t>
  </si>
  <si>
    <t>Nguyễn Thị Đông Phương Nhã Ca</t>
  </si>
  <si>
    <t>Chi nhánh Hải Phòng</t>
  </si>
  <si>
    <t>134</t>
  </si>
  <si>
    <t>Trần Ngọc Hà</t>
  </si>
  <si>
    <t>152</t>
  </si>
  <si>
    <t>Phạm Mạnh Thành</t>
  </si>
  <si>
    <t>162</t>
  </si>
  <si>
    <t>Nguyễn Thị Hồng Nhung</t>
  </si>
  <si>
    <t>164</t>
  </si>
  <si>
    <t>Khúc Thị  Hằng</t>
  </si>
  <si>
    <t>177</t>
  </si>
  <si>
    <t>Trịnh Ngọc Tú</t>
  </si>
  <si>
    <t>187</t>
  </si>
  <si>
    <t>Đoàn Thắng</t>
  </si>
  <si>
    <t>209</t>
  </si>
  <si>
    <t>Đinh  Cát Luân</t>
  </si>
  <si>
    <t>210</t>
  </si>
  <si>
    <t>Nguyễn Anh Đào</t>
  </si>
  <si>
    <t>160</t>
  </si>
  <si>
    <t>Phạm Thanh Hằng</t>
  </si>
  <si>
    <t>138</t>
  </si>
  <si>
    <t>Nguyễn Minh Đại</t>
  </si>
  <si>
    <t>140</t>
  </si>
  <si>
    <t>Nguyễn Đăng Hòa</t>
  </si>
  <si>
    <t>085</t>
  </si>
  <si>
    <t>Đỗ Đình Tiến</t>
  </si>
  <si>
    <t>067</t>
  </si>
  <si>
    <t>Phạm Cúc Phương</t>
  </si>
  <si>
    <t>047</t>
  </si>
  <si>
    <t>Nguyễn  Đình Sáng</t>
  </si>
  <si>
    <t>222</t>
  </si>
  <si>
    <t>Đỗ Văn Hào</t>
  </si>
  <si>
    <t>219</t>
  </si>
  <si>
    <t>Trần Quốc Dương</t>
  </si>
  <si>
    <t>100</t>
  </si>
  <si>
    <t>173</t>
  </si>
  <si>
    <t>Nguyễn Đức Tuyên</t>
  </si>
  <si>
    <t>174</t>
  </si>
  <si>
    <t>Trần Văn Trọng</t>
  </si>
  <si>
    <t>175</t>
  </si>
  <si>
    <t>Nguyễn Phùng Tứ</t>
  </si>
  <si>
    <t>176</t>
  </si>
  <si>
    <t>Bùi Mạnh Cường</t>
  </si>
  <si>
    <t>212</t>
  </si>
  <si>
    <t>Nguyễn Cường Sáng</t>
  </si>
  <si>
    <t>206</t>
  </si>
  <si>
    <t>Nguyễn Thành Vương</t>
  </si>
  <si>
    <t>196</t>
  </si>
  <si>
    <t>Lưu Văn Hiếu</t>
  </si>
  <si>
    <t>197</t>
  </si>
  <si>
    <t>Phạm Văn Phương</t>
  </si>
  <si>
    <t>198</t>
  </si>
  <si>
    <t>Phạm  Thành Đạt</t>
  </si>
  <si>
    <t>199</t>
  </si>
  <si>
    <t>Hoàng Văn Thái</t>
  </si>
  <si>
    <t>Chi nhánh Khánh Hòa</t>
  </si>
  <si>
    <t>185</t>
  </si>
  <si>
    <t>Nguyễn Duy Hiền</t>
  </si>
  <si>
    <t>189</t>
  </si>
  <si>
    <t>Lê Thị Thúy Vân</t>
  </si>
  <si>
    <t>153</t>
  </si>
  <si>
    <t>Nguyễn Chí Công</t>
  </si>
  <si>
    <t>125</t>
  </si>
  <si>
    <t>Lê Nguyễn Thanh Hiệp</t>
  </si>
  <si>
    <t>126</t>
  </si>
  <si>
    <t>Trần Thế Mạnh</t>
  </si>
  <si>
    <t>127</t>
  </si>
  <si>
    <t>Nguyễn Sỹ Thành</t>
  </si>
  <si>
    <t>128</t>
  </si>
  <si>
    <t>Đinh Thành Trung</t>
  </si>
  <si>
    <t>130</t>
  </si>
  <si>
    <t>Nguyễn Ngọc Phương Uyên</t>
  </si>
  <si>
    <t>123</t>
  </si>
  <si>
    <t>Trương Quang Vũ</t>
  </si>
  <si>
    <t>124</t>
  </si>
  <si>
    <t>Đoàn Thanh Thương</t>
  </si>
  <si>
    <t>215</t>
  </si>
  <si>
    <t>Phạm Ngọc Anh</t>
  </si>
  <si>
    <t>131</t>
  </si>
  <si>
    <t>Võ Ngọc Duy</t>
  </si>
  <si>
    <t>190</t>
  </si>
  <si>
    <t>Phạm Hoàn Vũ</t>
  </si>
  <si>
    <t>191</t>
  </si>
  <si>
    <t>Nguyễn Hữu Phước Tín</t>
  </si>
  <si>
    <t>178</t>
  </si>
  <si>
    <t>Phạm Thanh Tâm</t>
  </si>
  <si>
    <t>183</t>
  </si>
  <si>
    <t>Mai Thanh Tùng</t>
  </si>
  <si>
    <t>184</t>
  </si>
  <si>
    <t>Lương Hồng Nguyên</t>
  </si>
  <si>
    <t>195</t>
  </si>
  <si>
    <t>Hoàng  Anh Phi</t>
  </si>
  <si>
    <t>Chi nhánh TPHCM</t>
  </si>
  <si>
    <t>013</t>
  </si>
  <si>
    <t>Nguyễn Văn Dương</t>
  </si>
  <si>
    <t>207</t>
  </si>
  <si>
    <t>Phạm Thị Thu Hiền</t>
  </si>
  <si>
    <t>072</t>
  </si>
  <si>
    <t>Nguyễn Bá Việt Thông</t>
  </si>
  <si>
    <t>168</t>
  </si>
  <si>
    <t>Trần Hữu Hoàng</t>
  </si>
  <si>
    <t>169</t>
  </si>
  <si>
    <t>Đinh Sơn Giao</t>
  </si>
  <si>
    <t>214</t>
  </si>
  <si>
    <t>Nguyễn Thị Tuyết Ly</t>
  </si>
  <si>
    <t>054</t>
  </si>
  <si>
    <t>Trần  Minh Hùng</t>
  </si>
  <si>
    <t>107</t>
  </si>
  <si>
    <t>Hồ Thị Uyên Duy</t>
  </si>
  <si>
    <t>108</t>
  </si>
  <si>
    <t>Ngô Ngọc Ân</t>
  </si>
  <si>
    <t>110</t>
  </si>
  <si>
    <t>076</t>
  </si>
  <si>
    <t>Trương Thị Thùy  Trang</t>
  </si>
  <si>
    <t>070</t>
  </si>
  <si>
    <t>Đặng Thành Khoa</t>
  </si>
  <si>
    <t>074</t>
  </si>
  <si>
    <t>Đặng Thị Linh Chi</t>
  </si>
  <si>
    <t>073</t>
  </si>
  <si>
    <t>Đặng Quang Trung</t>
  </si>
  <si>
    <t>231</t>
  </si>
  <si>
    <t>Phan  Minh Trí</t>
  </si>
  <si>
    <t>220</t>
  </si>
  <si>
    <t>Lê Nguyên Khang</t>
  </si>
  <si>
    <t>233</t>
  </si>
  <si>
    <t>Nguyễn Chí Thiện</t>
  </si>
  <si>
    <t>078</t>
  </si>
  <si>
    <t>Đặng Văn Bình</t>
  </si>
  <si>
    <t>208</t>
  </si>
  <si>
    <t>Hoàng  Quốc Việt</t>
  </si>
  <si>
    <t>Tổng Cộng</t>
  </si>
  <si>
    <t>Tỷ trọng lương hiệu suất (%)</t>
  </si>
  <si>
    <t>Lương hiệu suất</t>
  </si>
  <si>
    <t xml:space="preserve">Lương hiệu suất tạm ứng 
</t>
  </si>
  <si>
    <t>Lương vị trí</t>
  </si>
  <si>
    <t>Phụ cấp</t>
  </si>
  <si>
    <t xml:space="preserve">Phải thu
</t>
  </si>
  <si>
    <t>Họ và tên</t>
  </si>
  <si>
    <t xml:space="preserve">Lương 
cơ bản </t>
  </si>
  <si>
    <t>Lương hiệu quả định mức</t>
  </si>
  <si>
    <t xml:space="preserve">Lương hiệu quả tạm ứng 
</t>
  </si>
  <si>
    <t>Phải thu
(BHXH)</t>
  </si>
  <si>
    <t>TPKD</t>
  </si>
  <si>
    <t>240</t>
  </si>
  <si>
    <t>Trần Khánh Vũ</t>
  </si>
  <si>
    <t>PGD CN</t>
  </si>
  <si>
    <t>STT</t>
  </si>
  <si>
    <t>Mã NV</t>
  </si>
  <si>
    <t>Chức danh</t>
  </si>
  <si>
    <t>15=11+12+13</t>
  </si>
  <si>
    <t>20=15-16-19</t>
  </si>
  <si>
    <t>24=-20-21-22-23</t>
  </si>
  <si>
    <t>DANH SÁCH CHUYỂN XẾP LƯƠNG</t>
  </si>
  <si>
    <t>(Kèm theo Quyết định số         /QĐ-VIETLOTT
ngày      /   /2019 của Tổng Giám đốc Công ty Xổ số điện toán Việt Nam)</t>
  </si>
  <si>
    <t>THÔNG TIN NHÂN SỰ</t>
  </si>
  <si>
    <t>PHƯƠNG ÁN XẾP LƯƠNG MỚI</t>
  </si>
  <si>
    <t>MÃ NHÂN VIÊN</t>
  </si>
  <si>
    <t>MÃ VỊ TRÍ</t>
  </si>
  <si>
    <t>HỌ VÀ TÊN</t>
  </si>
  <si>
    <t>VỊ TRÍ CÔNG VIỆC</t>
  </si>
  <si>
    <t>ĐƠN VỊ</t>
  </si>
  <si>
    <t>NHÓM 
LƯƠNG MỚI</t>
  </si>
  <si>
    <t>BẬC LƯƠNG VỊ TRÍ MỚI</t>
  </si>
  <si>
    <t>HỆ SỐ VÙNG</t>
  </si>
  <si>
    <t xml:space="preserve">LƯƠNG VỊ TRÍ </t>
  </si>
  <si>
    <t xml:space="preserve">% PHỤ CẤP </t>
  </si>
  <si>
    <t>THỜI GIAN NÂNG LƯƠNG TIẾP THEO</t>
  </si>
  <si>
    <t>TỶ LỆ LƯƠNG HIỆU SUẤT QUÝ</t>
  </si>
  <si>
    <t>F/B</t>
  </si>
  <si>
    <t>Thư</t>
  </si>
  <si>
    <t>VL002</t>
  </si>
  <si>
    <t>Phó Chánh Văn phòng</t>
  </si>
  <si>
    <t>Văn Phòng</t>
  </si>
  <si>
    <t>VL7</t>
  </si>
  <si>
    <t>HT</t>
  </si>
  <si>
    <t>nguyentuanlinh@vietlott.vn</t>
  </si>
  <si>
    <t>Nguyễn Mạnh Toàn</t>
  </si>
  <si>
    <t>Phó Trưởng phòng</t>
  </si>
  <si>
    <t>Phòng Kinh doanh</t>
  </si>
  <si>
    <t>FO</t>
  </si>
  <si>
    <t>nguyenmanhtoan@vietlott.vn</t>
  </si>
  <si>
    <t>Nguyễn Thị Thùy Dương</t>
  </si>
  <si>
    <t>nguyenthithuyduong@vietlott.vn</t>
  </si>
  <si>
    <t>VL003</t>
  </si>
  <si>
    <t>Lê Đình May</t>
  </si>
  <si>
    <t>Chuyên viên Kế hoạch kinh doanh</t>
  </si>
  <si>
    <t>VL5</t>
  </si>
  <si>
    <t>01/07/2022</t>
  </si>
  <si>
    <t>ledinhmay@vietlott.vn</t>
  </si>
  <si>
    <t>nguyenxuanvietanh@vietlott.vn</t>
  </si>
  <si>
    <t>VL004</t>
  </si>
  <si>
    <t>Chuyên viên Quản lý và phát triển KD</t>
  </si>
  <si>
    <t>VL4</t>
  </si>
  <si>
    <t>tranthanhnam@vietlott.vn</t>
  </si>
  <si>
    <t>vuthilambang@vietlott.vn</t>
  </si>
  <si>
    <t>phamvuquynhphuong@vietlott.vn</t>
  </si>
  <si>
    <t>VL005</t>
  </si>
  <si>
    <t>Đào Minh Kính</t>
  </si>
  <si>
    <t>Chuyên viên Marketing</t>
  </si>
  <si>
    <t>daominhkinh@vietlott.vn</t>
  </si>
  <si>
    <t>phiminhtuan@vietlott.vn</t>
  </si>
  <si>
    <t>VL007</t>
  </si>
  <si>
    <t>Phòng Công nghệ thông tin</t>
  </si>
  <si>
    <t>tranngocdoanh@vietlott.vn</t>
  </si>
  <si>
    <t>nguyenphanlinh@vietlott.vn</t>
  </si>
  <si>
    <t>VL010</t>
  </si>
  <si>
    <t xml:space="preserve">Chuyên viên Quản trị hệ thống CNTT </t>
  </si>
  <si>
    <t>nguyenphuongdong@vietlott.vn</t>
  </si>
  <si>
    <t>dohuudat@vietlott.vn</t>
  </si>
  <si>
    <t>VL012</t>
  </si>
  <si>
    <t>Chuyên viên Hỗ trợ vận hành CNTT</t>
  </si>
  <si>
    <t>maihung@vietlott.vn</t>
  </si>
  <si>
    <t>VL009</t>
  </si>
  <si>
    <t>Chuyên viên Quản trị ứng dụng và CSDL</t>
  </si>
  <si>
    <t>leminhduong@vietlott.vn</t>
  </si>
  <si>
    <t>VL011</t>
  </si>
  <si>
    <t>Chuyên viên Quản lý dự án CNTT</t>
  </si>
  <si>
    <t>VL3</t>
  </si>
  <si>
    <t>tathithuhien@vietlott.vn</t>
  </si>
  <si>
    <t>VL014</t>
  </si>
  <si>
    <t>Nguyễn Thanh Minh</t>
  </si>
  <si>
    <t>Phòng Tài chính kế toán</t>
  </si>
  <si>
    <t>nguyenthanhminh@vietlott.vn</t>
  </si>
  <si>
    <t>VL015</t>
  </si>
  <si>
    <t>Chuyên viên Kế toán tổng hợp</t>
  </si>
  <si>
    <t>nguyenthingoclan@vietlott.vn</t>
  </si>
  <si>
    <t>VL016</t>
  </si>
  <si>
    <t>Chuyên viên Tài chính</t>
  </si>
  <si>
    <t>nguyenthihoaithuong@vietlott.vn</t>
  </si>
  <si>
    <t>VL021</t>
  </si>
  <si>
    <t>Chuyên viên Kế toán ngân hàng</t>
  </si>
  <si>
    <t>daothanhtung@vietlott.vn</t>
  </si>
  <si>
    <t>VL019</t>
  </si>
  <si>
    <t>CV Kế toán thuế và nghĩa vụ NSNN</t>
  </si>
  <si>
    <t>nguyenthibichlien@vietlott.vn</t>
  </si>
  <si>
    <t>VL020</t>
  </si>
  <si>
    <t>CV Kế toán công nợ phải thu, phải trả</t>
  </si>
  <si>
    <t>phuonghonghoa@vietlott.vn</t>
  </si>
  <si>
    <t>VL018</t>
  </si>
  <si>
    <t>Chuyên viên Kế toán nội bộ</t>
  </si>
  <si>
    <t>nguyenvanthinh@vietlott.vn</t>
  </si>
  <si>
    <t>VL023</t>
  </si>
  <si>
    <t>Nhân viên Thủ quỹ</t>
  </si>
  <si>
    <t>VL2</t>
  </si>
  <si>
    <t>01/07/2021</t>
  </si>
  <si>
    <t>danghongthu@vietlott.vn</t>
  </si>
  <si>
    <t>VL024</t>
  </si>
  <si>
    <t>Trưởng Phòng</t>
  </si>
  <si>
    <t>Phòng Tổ chức nhân sự</t>
  </si>
  <si>
    <t>VL8</t>
  </si>
  <si>
    <t>voquangvinh@vietlott.vn</t>
  </si>
  <si>
    <t>VL025</t>
  </si>
  <si>
    <t>phamthilananh@vietlott.vn</t>
  </si>
  <si>
    <t>VL026</t>
  </si>
  <si>
    <t>Chuyên viên Quản trị nhân sự</t>
  </si>
  <si>
    <t>luuthilananh@vietlott.vn</t>
  </si>
  <si>
    <t>maituyetnga@vietlott.vn</t>
  </si>
  <si>
    <t>VL028</t>
  </si>
  <si>
    <t xml:space="preserve">Chuyên viên Tiền lương </t>
  </si>
  <si>
    <t>hoangngocgiang@vietlott.vn</t>
  </si>
  <si>
    <t>VL027</t>
  </si>
  <si>
    <t>Chuyên viên Đào tạo</t>
  </si>
  <si>
    <t>phamthiminhdiep@vietlott.vn</t>
  </si>
  <si>
    <t>nguyendanhloi@vietlott.vn</t>
  </si>
  <si>
    <t>VL029</t>
  </si>
  <si>
    <t>Chuyên viên Chế độ chính sách - Thi đua khen thưởng</t>
  </si>
  <si>
    <t>phamthixuanhoa@vietlott.vn</t>
  </si>
  <si>
    <t>VL030</t>
  </si>
  <si>
    <t>Trưởng phòng</t>
  </si>
  <si>
    <t>Phòng Quản trị rủi ro</t>
  </si>
  <si>
    <t>chuminhphuong@vietlott.vn</t>
  </si>
  <si>
    <t>VL031</t>
  </si>
  <si>
    <t>tranthiphuongnhung@vietlott.vn</t>
  </si>
  <si>
    <t>VL033</t>
  </si>
  <si>
    <t>Chuyên viên Pháp chế</t>
  </si>
  <si>
    <t>nguyenduyhieu@vietlott.vn</t>
  </si>
  <si>
    <t>VL034</t>
  </si>
  <si>
    <t>Chuyên viên Kiểm tra, kiểm soát nội bộ</t>
  </si>
  <si>
    <t>phamngoctuanthanh@vietlott.vn</t>
  </si>
  <si>
    <t>VL032</t>
  </si>
  <si>
    <t>Chuyên viên Quản trị rủi ro</t>
  </si>
  <si>
    <t>nguyenthanhluan@vietlott.vn</t>
  </si>
  <si>
    <t>nguyenthithuhien@vietlott.vn</t>
  </si>
  <si>
    <t>VL036</t>
  </si>
  <si>
    <t>Phòng Trả thưởng &amp; Dịch vụ khách hàng</t>
  </si>
  <si>
    <t>nguyenanhquan@vietlott.vn</t>
  </si>
  <si>
    <t>daoanhnghi@vietlott.vn</t>
  </si>
  <si>
    <t>VL039</t>
  </si>
  <si>
    <t>Chuyên viên Trả thưởng</t>
  </si>
  <si>
    <t>nguyenthaotrang@vietlott.vn</t>
  </si>
  <si>
    <t>lethuydung@vietlott.vn</t>
  </si>
  <si>
    <t>VL040</t>
  </si>
  <si>
    <t>Hồ Phương Nga</t>
  </si>
  <si>
    <t>Chuyên viên Quay số mở thưởng</t>
  </si>
  <si>
    <t>hophuongnga@vietlott.vn</t>
  </si>
  <si>
    <t>tranthinhuquynh@vietlott.vn</t>
  </si>
  <si>
    <t>lethithuyanh@vietlott.vn</t>
  </si>
  <si>
    <t>dinhthuyan@vietlott.vn</t>
  </si>
  <si>
    <t>VL037</t>
  </si>
  <si>
    <t>Chuyên viên Quản lý dịch vụ CSKH và giá trị gia tăng</t>
  </si>
  <si>
    <t>truongquocvuong@vietlott.vn</t>
  </si>
  <si>
    <t>VL041</t>
  </si>
  <si>
    <t>Q. Trưởng phòng</t>
  </si>
  <si>
    <t>Phòng Hợp đồng hợp tác kinh doanh</t>
  </si>
  <si>
    <t>tranthisuong@vietlott.vn</t>
  </si>
  <si>
    <t>VL042</t>
  </si>
  <si>
    <t>nguyentuanduc@vietlott.vn</t>
  </si>
  <si>
    <t>VL044</t>
  </si>
  <si>
    <t>Chuyên viên Giám sát BCC</t>
  </si>
  <si>
    <t>dominhcuong@vietlott.vn</t>
  </si>
  <si>
    <t>VL045</t>
  </si>
  <si>
    <t>Chuyên viên Truyền thông và quản lý thương hiệu</t>
  </si>
  <si>
    <t>lebichngoc@vietlott.vn</t>
  </si>
  <si>
    <t>nguyendieuhong@vietlott.vn</t>
  </si>
  <si>
    <t>VL043</t>
  </si>
  <si>
    <t>Nguyễn Hoàng Sơn</t>
  </si>
  <si>
    <t>nguyenhoangson@vietlott.vn</t>
  </si>
  <si>
    <t>VL046</t>
  </si>
  <si>
    <t xml:space="preserve">Trưởng phòng </t>
  </si>
  <si>
    <t>nguyenminhhai@vietlott.vn</t>
  </si>
  <si>
    <t>VL047</t>
  </si>
  <si>
    <t>lethuhuong@vietlott.vn</t>
  </si>
  <si>
    <t>dinhxuancuong@vietlott.vn</t>
  </si>
  <si>
    <t>VL053</t>
  </si>
  <si>
    <t>Chuyên viên Mua sắm</t>
  </si>
  <si>
    <t>daovietanh@vietlott.vn</t>
  </si>
  <si>
    <t>nguyennguyenmanh@vietlott.vn</t>
  </si>
  <si>
    <t>dothiaivan@vietlott.vn</t>
  </si>
  <si>
    <t>VL052</t>
  </si>
  <si>
    <t>Chuyên viên Hành chính, quản trị</t>
  </si>
  <si>
    <t>tranhoangha@vietlott.vn</t>
  </si>
  <si>
    <t>VL049</t>
  </si>
  <si>
    <t>Ngô Thị Thu Hương</t>
  </si>
  <si>
    <t>ngothithuhuong@vietlott.vn</t>
  </si>
  <si>
    <t>VL050</t>
  </si>
  <si>
    <t>Chuyên viên Kế hoạch</t>
  </si>
  <si>
    <t>nguyennhatanh@vietlott.vn</t>
  </si>
  <si>
    <t>VL055</t>
  </si>
  <si>
    <t>Nhân viên Lễ tân</t>
  </si>
  <si>
    <t>VL1</t>
  </si>
  <si>
    <t>nguyenthibaogiang@vietlott.vn</t>
  </si>
  <si>
    <t>VL056</t>
  </si>
  <si>
    <t xml:space="preserve">Lê Anh Tuấn </t>
  </si>
  <si>
    <t>Nhân viên Lái xe</t>
  </si>
  <si>
    <t>leanhtuan@vietlott.vn</t>
  </si>
  <si>
    <t>Lê Trường Giang</t>
  </si>
  <si>
    <t>letruonggiang@vietlott.vn</t>
  </si>
  <si>
    <t>VL054</t>
  </si>
  <si>
    <t>Ngô Lan Phương</t>
  </si>
  <si>
    <t xml:space="preserve">Nhân viên Văn thư </t>
  </si>
  <si>
    <t>ngolanphuong@vietlott.vn</t>
  </si>
  <si>
    <t>Bùi Thị Hà Giang</t>
  </si>
  <si>
    <t>buithihagiang@vietlott.vn</t>
  </si>
  <si>
    <t>VL057</t>
  </si>
  <si>
    <t xml:space="preserve">Giám đốc </t>
  </si>
  <si>
    <t>Chi nhánh TP Hồ Chí Minh</t>
  </si>
  <si>
    <t>nguyenvanduong@vietlott.vn</t>
  </si>
  <si>
    <t>Phó Giám đốc</t>
  </si>
  <si>
    <t>trankhanhvu@vietlott.vn</t>
  </si>
  <si>
    <t>VL059</t>
  </si>
  <si>
    <t>Q.Trưởng Phòng Quản lý thị trường</t>
  </si>
  <si>
    <t>VL6</t>
  </si>
  <si>
    <t>nguyenbavietthong@vietlott.vn</t>
  </si>
  <si>
    <t>VL060</t>
  </si>
  <si>
    <t>Trưởng phòng Kế toán</t>
  </si>
  <si>
    <t>phamthithuhien@vietlott.vn</t>
  </si>
  <si>
    <t>VL062</t>
  </si>
  <si>
    <t>Chuyên viên Quản lý thị trường</t>
  </si>
  <si>
    <t>dinhsongiao@vietlott.vn</t>
  </si>
  <si>
    <t>VL063</t>
  </si>
  <si>
    <t>Trần Minh Hùng</t>
  </si>
  <si>
    <t>Chuyên viên Kinh doanh</t>
  </si>
  <si>
    <t>tranminhhung@vietlott.vn</t>
  </si>
  <si>
    <t xml:space="preserve">Đặng Quang Trung </t>
  </si>
  <si>
    <t>dangquangtrung@vietlott.vn</t>
  </si>
  <si>
    <t>dangthanhkhoa@vietlott.vn</t>
  </si>
  <si>
    <t>tranhuuhoang@vietlott.vn</t>
  </si>
  <si>
    <t>lenguyenkhang@vietlott.vn</t>
  </si>
  <si>
    <t>Hoàng Quốc Việt</t>
  </si>
  <si>
    <t>hoangquocviet@vietlott.vn</t>
  </si>
  <si>
    <t>Phan Minh Trí</t>
  </si>
  <si>
    <t>phanminhtri@vietlott.vn</t>
  </si>
  <si>
    <t xml:space="preserve">Nguyễn Chí Thiện </t>
  </si>
  <si>
    <t>nguyenchithien@vietlott.vn</t>
  </si>
  <si>
    <t>VL064</t>
  </si>
  <si>
    <t>Trương Thị Thùy Trang</t>
  </si>
  <si>
    <t>truongthithuytrang@vietlott.vn</t>
  </si>
  <si>
    <t xml:space="preserve">Nguyễn Thị Kim Ngọc </t>
  </si>
  <si>
    <t>nguyenthikimngoc@vietlott.vn</t>
  </si>
  <si>
    <t>VL065</t>
  </si>
  <si>
    <t>dangthilinhchi@vietlott.vn</t>
  </si>
  <si>
    <t>VL066</t>
  </si>
  <si>
    <t>Chuyên viên Kế toán công nợ</t>
  </si>
  <si>
    <t>nguyenthituyetly@vietlott.vn</t>
  </si>
  <si>
    <t>VL068</t>
  </si>
  <si>
    <t>Chuyên viên Quản trị</t>
  </si>
  <si>
    <t>ngongocan@vietlott.vn</t>
  </si>
  <si>
    <t>VL067</t>
  </si>
  <si>
    <t>Chuyên viên Hành chính</t>
  </si>
  <si>
    <t>hothiuyenduy@vietlott.vn</t>
  </si>
  <si>
    <t>VL071</t>
  </si>
  <si>
    <t>dangvanbinh@vietlott.vn</t>
  </si>
  <si>
    <t>nguyenhaithoai@vietlott.vn</t>
  </si>
  <si>
    <t>Trưởng phòng Quản lý thị trường</t>
  </si>
  <si>
    <t>nguyentrungtin@vietlott.vn</t>
  </si>
  <si>
    <t>nguyenhothanhtam@vietlott.vn</t>
  </si>
  <si>
    <t>VL061</t>
  </si>
  <si>
    <t>Trưởng phòng Hành chính - Tổng hợp</t>
  </si>
  <si>
    <t>Chi nhánh</t>
  </si>
  <si>
    <t>voquocnam@vietlott.vn</t>
  </si>
  <si>
    <t>nguyenphungminhhung@vietlott.vn</t>
  </si>
  <si>
    <t>Trương Quang Quốc</t>
  </si>
  <si>
    <t>truongquangquoc@vietlott.vn</t>
  </si>
  <si>
    <t>nguyenngocminh@vietlott.vn</t>
  </si>
  <si>
    <t>buixuanthinh@vietlott.vn</t>
  </si>
  <si>
    <t>nguyenthanhduy@vietlott.vn</t>
  </si>
  <si>
    <t>Tô Văn Lăng</t>
  </si>
  <si>
    <t>tovanlang@vietlott.vn</t>
  </si>
  <si>
    <t>Kiều Văn Út</t>
  </si>
  <si>
    <t>kieuvanut@vietlott.vn</t>
  </si>
  <si>
    <t>Bạch Trường Xuân</t>
  </si>
  <si>
    <t>bachtruongxuan@vietlott.vn</t>
  </si>
  <si>
    <t>lethimylinh@vietlott.vn</t>
  </si>
  <si>
    <t>dinhvanloi@vietlott.vn</t>
  </si>
  <si>
    <t>nguyenvanvietchuong@vietlott.vn</t>
  </si>
  <si>
    <t>trananhtri@vietlott.vn</t>
  </si>
  <si>
    <t>VL070</t>
  </si>
  <si>
    <t>Nhân viên Văn thư, Thủ quỹ, Lễ tân</t>
  </si>
  <si>
    <t>nguyenthidongphuongnhaca@vietlot</t>
  </si>
  <si>
    <t>Nhân viên lái xe</t>
  </si>
  <si>
    <t>ngovanluy@vietlott.vn</t>
  </si>
  <si>
    <t>Giám đốc</t>
  </si>
  <si>
    <t>Chi nhánh Bà Rịa Vũng Tàu</t>
  </si>
  <si>
    <t>duongvantien@vietlott.vn</t>
  </si>
  <si>
    <t>nguyenmanhhung@vietlott.vn</t>
  </si>
  <si>
    <t>tranthituyen@vietlott.vn</t>
  </si>
  <si>
    <t>buidinhthuy@vietlott.vn</t>
  </si>
  <si>
    <t xml:space="preserve">Lê Đình Khuê </t>
  </si>
  <si>
    <t>ledinhkhue@vietlott.vn</t>
  </si>
  <si>
    <t xml:space="preserve">Trần Văn Tú </t>
  </si>
  <si>
    <t>tranvantu@vietlott.vn</t>
  </si>
  <si>
    <t xml:space="preserve">Tống Quốc Định </t>
  </si>
  <si>
    <t>tongquocdinh@vietlott.vn</t>
  </si>
  <si>
    <t>levanlinh@vietlott.vn</t>
  </si>
  <si>
    <t>nguyenthevinh@vietlott.vn</t>
  </si>
  <si>
    <t>tranquochoan@vietlott.vn</t>
  </si>
  <si>
    <t>nguyenhainam@vietlott.vn</t>
  </si>
  <si>
    <t>luthingoctu@vietlott.vn</t>
  </si>
  <si>
    <t>Mai Thị Sâm</t>
  </si>
  <si>
    <t>maithisam@vietlott.vn</t>
  </si>
  <si>
    <t>dothibichhong@vietlott.vn</t>
  </si>
  <si>
    <t>tranthanhtung@vietlott.vn</t>
  </si>
  <si>
    <t>buikhacngan@vietlott.vn</t>
  </si>
  <si>
    <t>nguyenduyhien@vietlott.vn</t>
  </si>
  <si>
    <t>nguyenchicong@vietlott.vn</t>
  </si>
  <si>
    <t>lethithuyvan@vietlott.vn</t>
  </si>
  <si>
    <t>lenguyenthanhhiep@vietlott.vn</t>
  </si>
  <si>
    <t>truongquangvu@vietlott.vn</t>
  </si>
  <si>
    <t>tranthemanh@vietlott.vn</t>
  </si>
  <si>
    <t xml:space="preserve">Nguyễn Sỹ Thành </t>
  </si>
  <si>
    <t>nguyensythanh@vietlott.vn</t>
  </si>
  <si>
    <t xml:space="preserve">Võ Ngọc Duy </t>
  </si>
  <si>
    <t>vongocduy@vietlott.vn</t>
  </si>
  <si>
    <t>phamthanhtam@vietlott.vn</t>
  </si>
  <si>
    <t>Hoàng Anh Phi</t>
  </si>
  <si>
    <t>hoanganhphi@vietlott.vn</t>
  </si>
  <si>
    <t xml:space="preserve">Nguyễn Hữu Phước Tín </t>
  </si>
  <si>
    <t>nguyenhuuphuoctin@vietlott.vn</t>
  </si>
  <si>
    <t>maithanhtung@vietlott.vn</t>
  </si>
  <si>
    <t>luonghongnguyen@vietlott.vn</t>
  </si>
  <si>
    <t>doanthanhthuong@vietlott.vn</t>
  </si>
  <si>
    <t>dinhthanhtrung@vietlott.vn</t>
  </si>
  <si>
    <t>phamngocanh@vietlott.vn</t>
  </si>
  <si>
    <t>phamhoanvu@vietlott.vn</t>
  </si>
  <si>
    <t>nguyenngocphuonguyen@vietlott.vn</t>
  </si>
  <si>
    <t>tranngocha@vietlott.vn</t>
  </si>
  <si>
    <t xml:space="preserve">Phạm Mạnh Thành </t>
  </si>
  <si>
    <t>phammanhthanh@vietlott.vn</t>
  </si>
  <si>
    <t>Khúc Thị Hằng</t>
  </si>
  <si>
    <t>khucthihang@vietlott.vn</t>
  </si>
  <si>
    <t>nguyenthihongnhung@vietlott.vn</t>
  </si>
  <si>
    <t>doanthang@vietlott.vn</t>
  </si>
  <si>
    <t>tranvantrong@vietlott.vn</t>
  </si>
  <si>
    <t xml:space="preserve">Nguyễn Minh Đại </t>
  </si>
  <si>
    <t>nguyenminhdai@vietlott.vn</t>
  </si>
  <si>
    <t>dovanhao@vietlott.vn</t>
  </si>
  <si>
    <t>tranquocduong@vietlott.vn</t>
  </si>
  <si>
    <t>dodinhtien@vietlott.vn</t>
  </si>
  <si>
    <t xml:space="preserve">Nguyễn Đình Sáng </t>
  </si>
  <si>
    <t>nguyendinhsang@vietlott.vn</t>
  </si>
  <si>
    <t>nguyendanghoa@vietlott.vn</t>
  </si>
  <si>
    <t xml:space="preserve">Nguyễn Văn Quý </t>
  </si>
  <si>
    <t>nguyenvanquy@vietlott.vn</t>
  </si>
  <si>
    <t>buimanhcuong@vietlott.vn</t>
  </si>
  <si>
    <t>luuvanhieu@vietlott.vn</t>
  </si>
  <si>
    <t>nguyenductuyen@vietlott.vn</t>
  </si>
  <si>
    <t>nguyenphungtu@vietlott.vn</t>
  </si>
  <si>
    <t>phamvanphuong@vietlott.vn</t>
  </si>
  <si>
    <t>hoangvanthai@vietlott.vn</t>
  </si>
  <si>
    <t>Phạm Thành Đạt</t>
  </si>
  <si>
    <t>phamthanhdat@vietlott.vn</t>
  </si>
  <si>
    <t>nguyencuongsang@vietlott.vn</t>
  </si>
  <si>
    <t>phamthanhhang@vietlott.vn</t>
  </si>
  <si>
    <t>phamcucphuong@vietlott.vn</t>
  </si>
  <si>
    <t>trinhngoctu@vietlott.vn</t>
  </si>
  <si>
    <t>nguyenanhdao@vietlott.vn</t>
  </si>
  <si>
    <t>Đinh Cát Luân</t>
  </si>
  <si>
    <t>dinhcatluan@vietlott.vn</t>
  </si>
  <si>
    <t>nguyenthanhvuong@vietlott.vn</t>
  </si>
  <si>
    <t>Phải thu Lương KPI</t>
  </si>
  <si>
    <t>Tổng</t>
  </si>
  <si>
    <t>230</t>
  </si>
  <si>
    <t>Nguyễn  Thành Trung</t>
  </si>
  <si>
    <t>Nguyễn Thành Trung</t>
  </si>
  <si>
    <t>Trưởng phòng HCTH</t>
  </si>
  <si>
    <t>Trợ lý Chủ tịch, TGĐ</t>
  </si>
  <si>
    <t>Cộng</t>
  </si>
  <si>
    <t>Hà Nội, ngày     tháng     năm 2020</t>
  </si>
  <si>
    <t>243</t>
  </si>
  <si>
    <t>Phạm Quang Hải</t>
  </si>
  <si>
    <t>234</t>
  </si>
  <si>
    <t>Trần Thị  Thu Hương</t>
  </si>
  <si>
    <t>241</t>
  </si>
  <si>
    <t>Nguyễn Minh Tuấn</t>
  </si>
  <si>
    <t>242</t>
  </si>
  <si>
    <t>Tô Minh Thắng</t>
  </si>
  <si>
    <t>Luong KPI QIV</t>
  </si>
  <si>
    <t xml:space="preserve">
QUYẾT TOÁN TIỀN LƯƠNG HIỆU SUẤT 
QUÝ IV/2019
</t>
  </si>
  <si>
    <t xml:space="preserve">Họ và tên </t>
  </si>
  <si>
    <t>Thực lĩnh</t>
  </si>
  <si>
    <t>Truy thu trong bảng lương T01</t>
  </si>
  <si>
    <t>NGƯỜI LẬP</t>
  </si>
  <si>
    <t>Đã trả BS lương đợt 1</t>
  </si>
  <si>
    <t>Tổng đã trả</t>
  </si>
  <si>
    <t>006</t>
  </si>
  <si>
    <t>Nguyễn Văn Hảo</t>
  </si>
  <si>
    <t>238</t>
  </si>
  <si>
    <t>Trần Đức Nghĩa</t>
  </si>
  <si>
    <t>QCVP</t>
  </si>
  <si>
    <t>Ng. Thị Đ Phương Nhã Ca</t>
  </si>
  <si>
    <t>Bảng thanh toán tiền lương
THÁNG 2/2020</t>
  </si>
  <si>
    <t>245</t>
  </si>
  <si>
    <t>Lê Thị Hương Ly</t>
  </si>
  <si>
    <t>244</t>
  </si>
  <si>
    <t>Bùi Thị Thảo Hương</t>
  </si>
  <si>
    <t>Thêm giờ chịu thuế</t>
  </si>
  <si>
    <t>THêm giò không chịu thuế</t>
  </si>
  <si>
    <t>Tiền lương thêm giờ (chịu thuế TNCN)</t>
  </si>
  <si>
    <t>Tiền lương thêm giờ (không chịu thuế TNCN)</t>
  </si>
  <si>
    <t>Ngày thường</t>
  </si>
  <si>
    <t>Ngày nghỉ hàng tuần</t>
  </si>
  <si>
    <t>Ngày Lễ</t>
  </si>
  <si>
    <t>KT tháng 1</t>
  </si>
  <si>
    <t>Cộng TN (chịu thuế)</t>
  </si>
  <si>
    <t>Cộng TN (không chịu thuế)</t>
  </si>
  <si>
    <t>Phụ caapschi ủy</t>
  </si>
  <si>
    <t>Bảng thanh toán tiền lương
THÁNG 02/2020</t>
  </si>
  <si>
    <t>BO</t>
  </si>
  <si>
    <t>Mặc định full công theo công chuẩn nếu trương hợp có ngày vào và nghỉ việc thì lấy căn cứ = công vhuaarn - số nagfy chưa vào và số ngày nghỉ việc</t>
  </si>
  <si>
    <t>Hệ số*</t>
  </si>
  <si>
    <t>Lương vị trí/</t>
  </si>
  <si>
    <t xml:space="preserve">Lương hiệu suất tạm ứng tháng 
</t>
  </si>
  <si>
    <t>Lương bổ sung khác</t>
  </si>
  <si>
    <t>Lương thêm giờ không chịu thuế TNCN</t>
  </si>
  <si>
    <t>Lương thêm giờ chịu thuế TNCN</t>
  </si>
  <si>
    <t>=tổng lương + ăn ca+ thu nhập khác chịu thuế + thu nhập khác không chịu thuê</t>
  </si>
  <si>
    <t>=Tổng lương+ ăn ca+ thu nhập khác chịu thuế - BHXH- giảm trừ gia cảnh- thêm giờ không chịu thuế</t>
  </si>
  <si>
    <t>=1%* thu nhập nhận được (không quá mức lương cơ sở*10%)</t>
  </si>
  <si>
    <t>Láy theo trường chức danh viết tắt</t>
  </si>
  <si>
    <t>=Tổng thu nhập - Tổng BHXH , BHYT, BHTN - thuế TNCN</t>
  </si>
  <si>
    <t>Nguyễn Căm A</t>
  </si>
  <si>
    <t>Tổng số giờ làm thêm</t>
  </si>
  <si>
    <t>Tỷ lệ phụ cấp trách nhiệm</t>
  </si>
  <si>
    <t>Lấy dữ liệu từ phần Hồ sơ nhân sự</t>
  </si>
  <si>
    <t>dữ liệu lấy như nào</t>
  </si>
  <si>
    <t>Lấy dữ liệu từ bảng công dùng để tính lương ở chức năng tổng hợp công, nếu trường hợp có ngày vào và ngày nghỉ việc trong tháng thì lấy căn cứ = công chuẩn - só ngày chưa vào, số ngày nghỉ việc của kỳ lương</t>
  </si>
  <si>
    <t>Lấy từ trường mức lương ở phần lương vị trí, ở form quản lý quyết định</t>
  </si>
  <si>
    <t>Đối với người lao động làm việc tại Hà Nội và tp Hồ Chí Minh hệ số vùng là 1.13; các địa bàn còn lại hệ số vùng là 1.00</t>
  </si>
  <si>
    <t>lấy dữ liệu ở chức năng tổng hợp làm thêm giờ ở phân hệ chấm công</t>
  </si>
  <si>
    <t>= số giờ làm thêm chưa quy đổi (lấy theo chức năng tổng hợp làm thêm trong phân hệ tiền lương)*mức lương vị trí/ công chuẩn/ 8</t>
  </si>
  <si>
    <t>(tổng số giờ làm thêm quy đổi - số giờ làm thêm chưa quy đổi )* mức lương vị trí/ công chuẩn/ 8</t>
  </si>
  <si>
    <t>Lấy dữ liệu từ trường số tiền trong bảng lương chi bổ sung</t>
  </si>
  <si>
    <t>Lấy cột mức lương hiện tại ở phần biến động bảo  hiểm *tỷ lệ phần trăm người lao động đóng, ở form thiết lập tỷ lệ phần % phân hệ bảo hiểm</t>
  </si>
  <si>
    <t>Dữ liệu lấy từ form Thiết lập giảm trừ gia cảnh, giảm trừ bản thân và từ form quan hệ thân nhân</t>
  </si>
  <si>
    <t>Theo công thức lũy tiến</t>
  </si>
  <si>
    <t>'=Thu nhập nhận được - đoàn phí công đoàn - đã trả - phải thu</t>
  </si>
  <si>
    <t>Lâý từ trường tỷ lệ phụ cấp trách nhiệm, trong Form Thiết lập phụ cấp trách nhiệm</t>
  </si>
  <si>
    <t>Tỷ lệ phụ cấp lương bổ sung
%</t>
  </si>
  <si>
    <t xml:space="preserve">=(Lương vi trí + (Lương vị trí*tỷ lệ phụ cấp trách nhiệm) + Tỷ lệ phụ cấp lương bổ sung*lương vị trí)* tỷ trọng lương hiệu suất </t>
  </si>
  <si>
    <t>= (Lương vị trí +lương vị trí*phụ cấp trách nhiệm + tỷ lệ phụ cấp Lương bổ sung*lương vị trí)*hệ số vùng+ Lương hiệu suất tạm ứng+ Lương bổ sung khác+ Lương thêm giờ chịu thuế TNCN + Lương thêm giờ không chịu thuế TNCN</t>
  </si>
  <si>
    <r>
      <t xml:space="preserve">= 30%  (cho phép TL động, tỷ lệ tạm ứng lương hiệu suất, lấy dữ liệu ở form Thiết lập KPI quý của công ty) *lương hiệu suất
</t>
    </r>
    <r>
      <rPr>
        <sz val="8"/>
        <color rgb="FFFF0000"/>
        <rFont val="Times New Roman"/>
        <family val="1"/>
      </rPr>
      <t xml:space="preserve">Trừ các đối tượng không được tạm ứng: Thử việc, dưới 12 ngày công X </t>
    </r>
  </si>
  <si>
    <t>Lấy dữ liệu cho các trường hợp được khai báo trong Form Tỷ lệ lương bổ sung với chưc danh kiêm nhiệm, Tỷ lệ lương bổ sung quản lý điểm bán</t>
  </si>
  <si>
    <t>= Lấy từ cột Lương bổ sung khác, tổng thu nhập khác chịu thuế, tổng thu nhập khác không chịu thuế, được tích đã trả</t>
  </si>
  <si>
    <t>Dữ liệu lấy từ form phải thu</t>
  </si>
  <si>
    <t>lấy dữ liệu từ form import các khoản lương bổ sung</t>
  </si>
  <si>
    <t>Lấy dữ liệu từ Tỷ lệ lương hiệu suất Qúy theo tháng trong Form Thiết lập tỷ lệ % lương hiệu suất</t>
  </si>
  <si>
    <t>Trong kỳ</t>
  </si>
  <si>
    <t xml:space="preserve">    '= số tiền  (lấy theo form thiết lập ăn ca) * số ngày ăn trưa / công chuẩn</t>
  </si>
  <si>
    <t>Lương vị trí theo ngày công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</si>
</sst>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 #,##0.00_-;_-* &quot;-&quot;??_-;_-@_-"/>
    <numFmt numFmtId="165" formatCode="###,###,###,###;\-###,###,###,###;;@"/>
    <numFmt numFmtId="166" formatCode="#;\-#;;@"/>
    <numFmt numFmtId="167" formatCode="###,###,###,###.00;\-###,###,###,###.00;;@"/>
    <numFmt numFmtId="168" formatCode="_-* #,##0_-;\-* #,##0_-;_-* &quot;-&quot;??_-;_-@_-"/>
    <numFmt numFmtId="169" formatCode="#&quot;.&quot;##0"/>
    <numFmt numFmtId="170" formatCode="_(* ###,0&quot;.&quot;00_);_(* \(###,0&quot;.&quot;00\);_(* &quot;-&quot;??_);_(@_)"/>
    <numFmt numFmtId="171" formatCode="_(* #,##0_);_(* \(#,##0\);_(* &quot;-&quot;??_);_(@_)"/>
    <numFmt numFmtId="172" formatCode="#,##0_ ;[Red]\-#,##0\ "/>
    <numFmt numFmtId="173" formatCode="_-* #,##0.0_-;\-* #,##0.0_-;_-* &quot;-&quot;??_-;_-@_-"/>
  </numFmts>
  <fonts count="39" x14ac:knownFonts="1">
    <font>
      <sz val="11"/>
      <color theme="1"/>
      <name val="Calibri"/>
      <family val="2"/>
      <scheme val="minor"/>
    </font>
    <font>
      <sz val="11"/>
      <color theme="1"/>
      <name val="Calibri"/>
      <family val="2"/>
      <scheme val="minor"/>
    </font>
    <font>
      <sz val="12"/>
      <name val="Times New Roman"/>
      <family val="1"/>
      <charset val="163"/>
    </font>
    <font>
      <b/>
      <sz val="12"/>
      <name val="Times New Roman"/>
      <family val="1"/>
    </font>
    <font>
      <sz val="12"/>
      <name val="Times New Roman"/>
      <family val="1"/>
    </font>
    <font>
      <b/>
      <sz val="14"/>
      <name val="Times New Roman"/>
      <family val="1"/>
    </font>
    <font>
      <sz val="8"/>
      <name val="Times New Roman"/>
      <family val="1"/>
    </font>
    <font>
      <b/>
      <sz val="8"/>
      <name val="Times New Roman"/>
      <family val="1"/>
    </font>
    <font>
      <sz val="8"/>
      <color indexed="8"/>
      <name val="Times New Roman"/>
      <family val="1"/>
    </font>
    <font>
      <b/>
      <sz val="6"/>
      <name val="Times New Roman"/>
      <family val="1"/>
    </font>
    <font>
      <sz val="13"/>
      <name val="Times New Roman"/>
      <family val="1"/>
    </font>
    <font>
      <b/>
      <sz val="12"/>
      <name val="Times New Roman"/>
      <family val="1"/>
      <charset val="163"/>
    </font>
    <font>
      <b/>
      <sz val="8"/>
      <color rgb="FFFF0000"/>
      <name val="Times New Roman"/>
      <family val="1"/>
    </font>
    <font>
      <sz val="8"/>
      <color rgb="FFFF0000"/>
      <name val="Times New Roman"/>
      <family val="1"/>
    </font>
    <font>
      <sz val="13"/>
      <color rgb="FFFF0000"/>
      <name val="Times New Roman"/>
      <family val="1"/>
    </font>
    <font>
      <sz val="8"/>
      <color rgb="FFC00000"/>
      <name val="Times New Roman"/>
      <family val="1"/>
    </font>
    <font>
      <u/>
      <sz val="11"/>
      <color theme="10"/>
      <name val="Calibri"/>
      <family val="2"/>
      <scheme val="minor"/>
    </font>
    <font>
      <sz val="13"/>
      <color theme="1"/>
      <name val="Times New Roman"/>
      <family val="1"/>
    </font>
    <font>
      <b/>
      <sz val="13"/>
      <name val="Times New Roman"/>
      <family val="1"/>
    </font>
    <font>
      <b/>
      <sz val="13"/>
      <color theme="1"/>
      <name val="Times New Roman"/>
      <family val="1"/>
    </font>
    <font>
      <b/>
      <sz val="13"/>
      <color rgb="FFFF0000"/>
      <name val="Times New Roman"/>
      <family val="1"/>
    </font>
    <font>
      <sz val="12"/>
      <color theme="1"/>
      <name val="Times New Roman"/>
      <family val="1"/>
    </font>
    <font>
      <sz val="10"/>
      <name val="Arial"/>
      <family val="2"/>
    </font>
    <font>
      <b/>
      <sz val="16"/>
      <name val="Times New Roman"/>
      <family val="1"/>
    </font>
    <font>
      <sz val="16"/>
      <name val="Times New Roman"/>
      <family val="1"/>
    </font>
    <font>
      <i/>
      <sz val="12"/>
      <name val="Times New Roman"/>
      <family val="1"/>
    </font>
    <font>
      <b/>
      <sz val="12"/>
      <color indexed="12"/>
      <name val="Times New Roman"/>
      <family val="1"/>
    </font>
    <font>
      <sz val="12"/>
      <color rgb="FFFF0000"/>
      <name val="Times New Roman"/>
      <family val="1"/>
    </font>
    <font>
      <b/>
      <sz val="10"/>
      <color theme="1"/>
      <name val="Times New Roman"/>
      <family val="1"/>
    </font>
    <font>
      <b/>
      <sz val="10"/>
      <name val="Times New Roman"/>
      <family val="1"/>
    </font>
    <font>
      <sz val="10"/>
      <color theme="1"/>
      <name val="Times New Roman"/>
      <family val="1"/>
    </font>
    <font>
      <b/>
      <sz val="10"/>
      <color rgb="FFFF0000"/>
      <name val="Times New Roman"/>
      <family val="1"/>
    </font>
    <font>
      <b/>
      <sz val="9"/>
      <color indexed="81"/>
      <name val="Tahoma"/>
      <family val="2"/>
    </font>
    <font>
      <sz val="9"/>
      <color indexed="81"/>
      <name val="Tahoma"/>
      <family val="2"/>
    </font>
    <font>
      <sz val="8"/>
      <name val="Calibri"/>
      <family val="2"/>
      <scheme val="minor"/>
    </font>
    <font>
      <sz val="14"/>
      <color theme="1"/>
      <name val="Times New Roman"/>
      <family val="1"/>
    </font>
    <font>
      <sz val="14"/>
      <name val="Times New Roman"/>
      <family val="1"/>
    </font>
    <font>
      <sz val="11"/>
      <color rgb="FF9C0006"/>
      <name val="Calibri"/>
      <family val="2"/>
      <scheme val="minor"/>
    </font>
    <font>
      <sz val="8"/>
      <color theme="1"/>
      <name val="Times New Roman"/>
      <family val="1"/>
    </font>
  </fonts>
  <fills count="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C7CE"/>
      </patternFill>
    </fill>
    <fill>
      <patternFill patternType="solid">
        <fgColor theme="4"/>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9">
    <xf numFmtId="0" fontId="0"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0" fontId="16" fillId="0" borderId="0" applyNumberFormat="0" applyFill="0" applyBorder="0" applyAlignment="0" applyProtection="0"/>
    <xf numFmtId="0" fontId="22" fillId="0" borderId="0"/>
    <xf numFmtId="0" fontId="22" fillId="0" borderId="0" applyFont="0" applyFill="0" applyBorder="0" applyAlignment="0" applyProtection="0"/>
    <xf numFmtId="0" fontId="1" fillId="0" borderId="0"/>
    <xf numFmtId="0" fontId="37" fillId="5" borderId="0" applyNumberFormat="0" applyBorder="0" applyAlignment="0" applyProtection="0"/>
  </cellStyleXfs>
  <cellXfs count="292">
    <xf numFmtId="0" fontId="0" fillId="0" borderId="0" xfId="0"/>
    <xf numFmtId="0" fontId="2" fillId="2" borderId="0" xfId="0" applyFont="1" applyFill="1" applyAlignment="1">
      <alignment vertical="top"/>
    </xf>
    <xf numFmtId="0" fontId="4" fillId="2" borderId="0" xfId="0" applyFont="1" applyFill="1" applyAlignment="1">
      <alignment vertical="top"/>
    </xf>
    <xf numFmtId="0" fontId="6" fillId="2" borderId="0" xfId="0" applyFont="1" applyFill="1" applyAlignment="1">
      <alignment vertical="top"/>
    </xf>
    <xf numFmtId="165" fontId="6" fillId="2" borderId="0" xfId="0" applyNumberFormat="1" applyFont="1" applyFill="1" applyAlignment="1">
      <alignment vertical="top"/>
    </xf>
    <xf numFmtId="0" fontId="7" fillId="2" borderId="1" xfId="0" applyFont="1" applyFill="1" applyBorder="1" applyAlignment="1">
      <alignment horizontal="center" vertical="center" wrapText="1"/>
    </xf>
    <xf numFmtId="3" fontId="8" fillId="2" borderId="1" xfId="0" applyNumberFormat="1" applyFont="1" applyFill="1" applyBorder="1" applyAlignment="1">
      <alignment horizontal="center" vertical="center"/>
    </xf>
    <xf numFmtId="164" fontId="8" fillId="2" borderId="1" xfId="1" applyFont="1" applyFill="1" applyBorder="1" applyAlignment="1">
      <alignment horizontal="center" vertical="center"/>
    </xf>
    <xf numFmtId="0" fontId="9" fillId="2" borderId="1" xfId="0" applyFont="1" applyFill="1" applyBorder="1" applyAlignment="1">
      <alignment horizontal="center" vertical="center" wrapText="1"/>
    </xf>
    <xf numFmtId="0" fontId="10" fillId="2" borderId="0" xfId="0" applyFont="1" applyFill="1" applyAlignment="1">
      <alignment vertical="top"/>
    </xf>
    <xf numFmtId="0" fontId="11" fillId="2" borderId="0" xfId="0" applyFont="1" applyFill="1" applyAlignment="1">
      <alignment vertical="top"/>
    </xf>
    <xf numFmtId="49" fontId="6" fillId="2" borderId="1" xfId="0" applyNumberFormat="1" applyFont="1" applyFill="1" applyBorder="1" applyAlignment="1">
      <alignment horizontal="left" vertical="top" wrapText="1"/>
    </xf>
    <xf numFmtId="0" fontId="5" fillId="2" borderId="0" xfId="0" applyFont="1" applyFill="1" applyAlignment="1">
      <alignment vertical="top" wrapText="1"/>
    </xf>
    <xf numFmtId="166" fontId="6" fillId="2" borderId="1" xfId="0" applyNumberFormat="1" applyFont="1" applyFill="1" applyBorder="1" applyAlignment="1">
      <alignment vertical="top"/>
    </xf>
    <xf numFmtId="167" fontId="6" fillId="2" borderId="1" xfId="0" applyNumberFormat="1" applyFont="1" applyFill="1" applyBorder="1" applyAlignment="1">
      <alignment vertical="top"/>
    </xf>
    <xf numFmtId="165" fontId="6" fillId="2" borderId="1" xfId="0" applyNumberFormat="1" applyFont="1" applyFill="1" applyBorder="1" applyAlignment="1">
      <alignment vertical="top"/>
    </xf>
    <xf numFmtId="164" fontId="6" fillId="2" borderId="0" xfId="1" applyFont="1" applyFill="1" applyAlignment="1">
      <alignment vertical="top"/>
    </xf>
    <xf numFmtId="0" fontId="19" fillId="0" borderId="1" xfId="0" applyFont="1" applyBorder="1" applyAlignment="1">
      <alignment horizontal="center"/>
    </xf>
    <xf numFmtId="0" fontId="19" fillId="0" borderId="1" xfId="0" applyFont="1" applyBorder="1" applyAlignment="1">
      <alignment horizontal="center" vertical="center" wrapText="1"/>
    </xf>
    <xf numFmtId="0" fontId="19" fillId="0" borderId="0" xfId="0" applyFont="1"/>
    <xf numFmtId="166" fontId="18" fillId="2" borderId="1" xfId="0" applyNumberFormat="1" applyFont="1" applyFill="1" applyBorder="1" applyAlignment="1">
      <alignment horizontal="center" vertical="top"/>
    </xf>
    <xf numFmtId="165" fontId="10" fillId="2" borderId="1" xfId="0" applyNumberFormat="1" applyFont="1" applyFill="1" applyBorder="1" applyAlignment="1">
      <alignment vertical="top"/>
    </xf>
    <xf numFmtId="166" fontId="10" fillId="2" borderId="1" xfId="0" applyNumberFormat="1" applyFont="1" applyFill="1" applyBorder="1" applyAlignment="1">
      <alignment horizontal="center" vertical="top"/>
    </xf>
    <xf numFmtId="0" fontId="17" fillId="0" borderId="0" xfId="0" applyFont="1"/>
    <xf numFmtId="0" fontId="14" fillId="0" borderId="0" xfId="0" applyFont="1"/>
    <xf numFmtId="166" fontId="14" fillId="2" borderId="1" xfId="0" applyNumberFormat="1" applyFont="1" applyFill="1" applyBorder="1" applyAlignment="1">
      <alignment horizontal="center" vertical="top"/>
    </xf>
    <xf numFmtId="165" fontId="14" fillId="2" borderId="1" xfId="0" applyNumberFormat="1" applyFont="1" applyFill="1" applyBorder="1" applyAlignment="1">
      <alignment vertical="top"/>
    </xf>
    <xf numFmtId="0" fontId="19" fillId="0" borderId="1" xfId="0" applyFont="1" applyBorder="1"/>
    <xf numFmtId="165" fontId="19" fillId="0" borderId="1" xfId="0" applyNumberFormat="1" applyFont="1" applyBorder="1"/>
    <xf numFmtId="0" fontId="17" fillId="0" borderId="0" xfId="0" applyFont="1" applyAlignment="1">
      <alignment horizontal="center"/>
    </xf>
    <xf numFmtId="165" fontId="17" fillId="0" borderId="0" xfId="0" applyNumberFormat="1" applyFont="1"/>
    <xf numFmtId="0" fontId="21" fillId="0" borderId="0" xfId="0" applyFont="1" applyAlignment="1">
      <alignment horizontal="center"/>
    </xf>
    <xf numFmtId="169" fontId="21" fillId="0" borderId="0" xfId="0" applyNumberFormat="1" applyFont="1" applyAlignment="1">
      <alignment horizontal="center"/>
    </xf>
    <xf numFmtId="169" fontId="23" fillId="0" borderId="0" xfId="5" applyNumberFormat="1" applyFont="1" applyAlignment="1" applyProtection="1">
      <alignment vertical="center" wrapText="1"/>
      <protection locked="0"/>
    </xf>
    <xf numFmtId="169" fontId="24" fillId="0" borderId="0" xfId="5" applyNumberFormat="1" applyFont="1" applyAlignment="1" applyProtection="1">
      <alignment horizontal="center" vertical="center"/>
      <protection locked="0"/>
    </xf>
    <xf numFmtId="169" fontId="23" fillId="0" borderId="0" xfId="5" applyNumberFormat="1" applyFont="1" applyAlignment="1" applyProtection="1">
      <alignment horizontal="center" vertical="center"/>
      <protection locked="0"/>
    </xf>
    <xf numFmtId="0" fontId="21" fillId="0" borderId="0" xfId="0" applyFont="1"/>
    <xf numFmtId="0" fontId="21" fillId="0" borderId="0" xfId="0" applyFont="1" applyAlignment="1">
      <alignment horizontal="center" vertical="center"/>
    </xf>
    <xf numFmtId="169" fontId="25" fillId="0" borderId="0" xfId="5" applyNumberFormat="1" applyFont="1" applyAlignment="1" applyProtection="1">
      <alignment horizontal="center" vertical="center"/>
      <protection locked="0"/>
    </xf>
    <xf numFmtId="0" fontId="23" fillId="0" borderId="0" xfId="5" applyFont="1" applyAlignment="1" applyProtection="1">
      <alignment vertical="top"/>
      <protection locked="0"/>
    </xf>
    <xf numFmtId="0" fontId="26" fillId="0" borderId="0" xfId="5" applyFont="1" applyAlignment="1" applyProtection="1">
      <alignment horizontal="left"/>
      <protection locked="0"/>
    </xf>
    <xf numFmtId="9" fontId="4" fillId="0" borderId="0" xfId="3" applyFont="1"/>
    <xf numFmtId="0" fontId="27" fillId="0" borderId="0" xfId="0" applyFont="1" applyAlignment="1">
      <alignment horizontal="right"/>
    </xf>
    <xf numFmtId="0" fontId="29" fillId="4" borderId="1" xfId="0" applyFont="1" applyFill="1" applyBorder="1" applyAlignment="1">
      <alignment horizontal="center"/>
    </xf>
    <xf numFmtId="0" fontId="30" fillId="0" borderId="0" xfId="0" applyFont="1"/>
    <xf numFmtId="0" fontId="28" fillId="3" borderId="1" xfId="0" applyFont="1" applyFill="1" applyBorder="1" applyAlignment="1">
      <alignment horizontal="center" vertical="center"/>
    </xf>
    <xf numFmtId="0" fontId="28" fillId="3" borderId="1" xfId="0" applyFont="1" applyFill="1" applyBorder="1" applyAlignment="1">
      <alignment horizontal="center" vertical="center" wrapText="1"/>
    </xf>
    <xf numFmtId="0" fontId="29" fillId="3" borderId="1" xfId="5" applyFont="1" applyFill="1" applyBorder="1" applyAlignment="1" applyProtection="1">
      <alignment horizontal="center" vertical="center"/>
      <protection hidden="1"/>
    </xf>
    <xf numFmtId="0" fontId="28" fillId="3" borderId="1" xfId="5" applyFont="1" applyFill="1" applyBorder="1" applyAlignment="1" applyProtection="1">
      <alignment horizontal="center" vertical="center" wrapText="1"/>
      <protection hidden="1"/>
    </xf>
    <xf numFmtId="0" fontId="28" fillId="3" borderId="1" xfId="5" applyFont="1" applyFill="1" applyBorder="1" applyAlignment="1" applyProtection="1">
      <alignment horizontal="center" vertical="center"/>
      <protection hidden="1"/>
    </xf>
    <xf numFmtId="0" fontId="29" fillId="4" borderId="1" xfId="2" applyFont="1" applyFill="1" applyBorder="1" applyAlignment="1">
      <alignment horizontal="center" vertical="center" wrapText="1"/>
    </xf>
    <xf numFmtId="9" fontId="29" fillId="4" borderId="1" xfId="3" applyFont="1" applyFill="1" applyBorder="1" applyAlignment="1">
      <alignment horizontal="center" vertical="center" wrapText="1"/>
    </xf>
    <xf numFmtId="0" fontId="31" fillId="4" borderId="1" xfId="2" applyFont="1" applyFill="1" applyBorder="1" applyAlignment="1">
      <alignment horizontal="center" vertical="center" wrapText="1"/>
    </xf>
    <xf numFmtId="0" fontId="28" fillId="0" borderId="0" xfId="0" applyFont="1" applyAlignment="1">
      <alignment horizontal="center" vertical="center"/>
    </xf>
    <xf numFmtId="0" fontId="27" fillId="2" borderId="1" xfId="0" applyFont="1" applyFill="1" applyBorder="1" applyAlignment="1">
      <alignment horizontal="center"/>
    </xf>
    <xf numFmtId="0" fontId="27" fillId="2" borderId="1" xfId="0" applyFont="1" applyFill="1" applyBorder="1" applyAlignment="1" applyProtection="1">
      <alignment vertical="center"/>
      <protection hidden="1"/>
    </xf>
    <xf numFmtId="0" fontId="27" fillId="2" borderId="1" xfId="0" applyFont="1" applyFill="1" applyBorder="1" applyAlignment="1">
      <alignment horizontal="justify" vertical="center" wrapText="1"/>
    </xf>
    <xf numFmtId="170" fontId="27" fillId="2" borderId="1" xfId="6" applyNumberFormat="1" applyFont="1" applyFill="1" applyBorder="1" applyAlignment="1" applyProtection="1">
      <alignment shrinkToFit="1"/>
      <protection hidden="1"/>
    </xf>
    <xf numFmtId="0" fontId="27" fillId="2" borderId="1" xfId="0" applyFont="1" applyFill="1" applyBorder="1"/>
    <xf numFmtId="0" fontId="27" fillId="2" borderId="1" xfId="0" applyFont="1" applyFill="1" applyBorder="1" applyAlignment="1">
      <alignment horizontal="center" vertical="center"/>
    </xf>
    <xf numFmtId="171" fontId="27" fillId="2" borderId="1" xfId="1" applyNumberFormat="1" applyFont="1" applyFill="1" applyBorder="1" applyAlignment="1">
      <alignment vertical="center"/>
    </xf>
    <xf numFmtId="9" fontId="27" fillId="2" borderId="1" xfId="3" applyFont="1" applyFill="1" applyBorder="1" applyAlignment="1">
      <alignment vertical="center"/>
    </xf>
    <xf numFmtId="14" fontId="27" fillId="2" borderId="1" xfId="3" applyNumberFormat="1" applyFont="1" applyFill="1" applyBorder="1" applyAlignment="1">
      <alignment horizontal="right" vertical="center"/>
    </xf>
    <xf numFmtId="9" fontId="27" fillId="2" borderId="1" xfId="3" applyFont="1" applyFill="1" applyBorder="1"/>
    <xf numFmtId="9" fontId="27" fillId="2" borderId="1" xfId="3" applyFont="1" applyFill="1" applyBorder="1" applyAlignment="1">
      <alignment horizontal="center" vertical="center"/>
    </xf>
    <xf numFmtId="0" fontId="27" fillId="2" borderId="0" xfId="0" applyFont="1" applyFill="1"/>
    <xf numFmtId="0" fontId="21" fillId="2" borderId="1" xfId="0" applyFont="1" applyFill="1" applyBorder="1" applyAlignment="1">
      <alignment horizontal="center"/>
    </xf>
    <xf numFmtId="0" fontId="4" fillId="2" borderId="1" xfId="0" applyFont="1" applyFill="1" applyBorder="1" applyAlignment="1">
      <alignment horizontal="justify" vertical="center" wrapText="1"/>
    </xf>
    <xf numFmtId="170" fontId="4" fillId="2" borderId="1" xfId="6" applyNumberFormat="1" applyFont="1" applyFill="1" applyBorder="1" applyAlignment="1" applyProtection="1">
      <alignment shrinkToFit="1"/>
      <protection hidden="1"/>
    </xf>
    <xf numFmtId="0" fontId="21" fillId="2" borderId="1" xfId="0" applyFont="1" applyFill="1" applyBorder="1"/>
    <xf numFmtId="0" fontId="21" fillId="2" borderId="1" xfId="0" applyFont="1" applyFill="1" applyBorder="1" applyAlignment="1">
      <alignment horizontal="center" vertical="center"/>
    </xf>
    <xf numFmtId="171" fontId="4" fillId="2" borderId="1" xfId="1" applyNumberFormat="1" applyFont="1" applyFill="1" applyBorder="1" applyAlignment="1">
      <alignment vertical="center"/>
    </xf>
    <xf numFmtId="9" fontId="4" fillId="2" borderId="1" xfId="3" applyFont="1" applyFill="1" applyBorder="1" applyAlignment="1">
      <alignment vertical="center"/>
    </xf>
    <xf numFmtId="9" fontId="21" fillId="2" borderId="1" xfId="3" applyFont="1" applyFill="1" applyBorder="1"/>
    <xf numFmtId="9" fontId="21" fillId="2" borderId="1" xfId="3" applyFont="1" applyFill="1" applyBorder="1" applyAlignment="1">
      <alignment horizontal="center" vertical="center"/>
    </xf>
    <xf numFmtId="0" fontId="21" fillId="2" borderId="0" xfId="0" applyFont="1" applyFill="1"/>
    <xf numFmtId="170" fontId="4" fillId="2" borderId="1" xfId="6" applyNumberFormat="1" applyFont="1" applyFill="1" applyBorder="1" applyProtection="1">
      <protection hidden="1"/>
    </xf>
    <xf numFmtId="0" fontId="4" fillId="2" borderId="1" xfId="0" applyFont="1" applyFill="1" applyBorder="1" applyAlignment="1">
      <alignment vertical="center" wrapText="1"/>
    </xf>
    <xf numFmtId="0" fontId="4" fillId="2" borderId="1" xfId="0" applyFont="1" applyFill="1" applyBorder="1" applyAlignment="1">
      <alignment horizontal="left" vertical="center"/>
    </xf>
    <xf numFmtId="0" fontId="21" fillId="2" borderId="1" xfId="0" applyFont="1" applyFill="1" applyBorder="1" applyAlignment="1">
      <alignment vertical="center"/>
    </xf>
    <xf numFmtId="0" fontId="21" fillId="2" borderId="0" xfId="0" applyFont="1" applyFill="1" applyAlignment="1">
      <alignment vertical="center"/>
    </xf>
    <xf numFmtId="0" fontId="4" fillId="2" borderId="1" xfId="0" applyFont="1" applyFill="1" applyBorder="1" applyAlignment="1">
      <alignment horizontal="left" vertical="center" wrapText="1"/>
    </xf>
    <xf numFmtId="9" fontId="21" fillId="2" borderId="1" xfId="3" applyFont="1" applyFill="1" applyBorder="1" applyAlignment="1">
      <alignment vertical="center"/>
    </xf>
    <xf numFmtId="170" fontId="4" fillId="2" borderId="1" xfId="6" applyNumberFormat="1" applyFont="1" applyFill="1" applyBorder="1" applyAlignment="1" applyProtection="1">
      <alignment wrapText="1"/>
      <protection hidden="1"/>
    </xf>
    <xf numFmtId="0" fontId="4" fillId="2" borderId="1" xfId="0" applyFont="1" applyFill="1" applyBorder="1" applyAlignment="1">
      <alignment horizontal="center"/>
    </xf>
    <xf numFmtId="0" fontId="4" fillId="2" borderId="1" xfId="0" applyFont="1" applyFill="1" applyBorder="1"/>
    <xf numFmtId="0" fontId="4" fillId="2" borderId="1" xfId="0" applyFont="1" applyFill="1" applyBorder="1" applyAlignment="1">
      <alignment horizontal="center" vertical="center"/>
    </xf>
    <xf numFmtId="9" fontId="4" fillId="2" borderId="1" xfId="3" applyFont="1" applyFill="1" applyBorder="1"/>
    <xf numFmtId="9" fontId="4" fillId="2" borderId="1" xfId="3" applyFont="1" applyFill="1" applyBorder="1" applyAlignment="1">
      <alignment horizontal="center" vertical="center"/>
    </xf>
    <xf numFmtId="0" fontId="4" fillId="2" borderId="0" xfId="0" applyFont="1" applyFill="1"/>
    <xf numFmtId="0" fontId="27" fillId="2" borderId="1" xfId="0" applyFont="1" applyFill="1" applyBorder="1" applyAlignment="1">
      <alignment vertical="center" wrapText="1"/>
    </xf>
    <xf numFmtId="0" fontId="27" fillId="2" borderId="0" xfId="0" applyFont="1" applyFill="1" applyAlignment="1">
      <alignment vertical="center"/>
    </xf>
    <xf numFmtId="0" fontId="21" fillId="2" borderId="1" xfId="0" applyFont="1" applyFill="1" applyBorder="1" applyAlignment="1">
      <alignment vertical="center" wrapText="1"/>
    </xf>
    <xf numFmtId="0" fontId="27" fillId="2" borderId="1" xfId="7" applyFont="1" applyFill="1" applyBorder="1"/>
    <xf numFmtId="0" fontId="4" fillId="2" borderId="1" xfId="0" applyFont="1" applyFill="1" applyBorder="1" applyAlignment="1">
      <alignment vertical="center"/>
    </xf>
    <xf numFmtId="0" fontId="21" fillId="4" borderId="1" xfId="0" applyFont="1" applyFill="1" applyBorder="1" applyAlignment="1">
      <alignment horizontal="center"/>
    </xf>
    <xf numFmtId="0" fontId="27" fillId="4" borderId="1" xfId="0" applyFont="1" applyFill="1" applyBorder="1" applyAlignment="1" applyProtection="1">
      <alignment vertical="center"/>
      <protection hidden="1"/>
    </xf>
    <xf numFmtId="0" fontId="4" fillId="4" borderId="1" xfId="0" applyFont="1" applyFill="1" applyBorder="1" applyAlignment="1">
      <alignment horizontal="justify" vertical="center" wrapText="1"/>
    </xf>
    <xf numFmtId="170" fontId="4" fillId="4" borderId="1" xfId="6" applyNumberFormat="1" applyFont="1" applyFill="1" applyBorder="1" applyAlignment="1" applyProtection="1">
      <alignment shrinkToFit="1"/>
      <protection hidden="1"/>
    </xf>
    <xf numFmtId="0" fontId="21" fillId="4" borderId="1" xfId="0" applyFont="1" applyFill="1" applyBorder="1"/>
    <xf numFmtId="0" fontId="21" fillId="4" borderId="1" xfId="0" applyFont="1" applyFill="1" applyBorder="1" applyAlignment="1">
      <alignment horizontal="center" vertical="center"/>
    </xf>
    <xf numFmtId="171" fontId="4" fillId="4" borderId="1" xfId="1" applyNumberFormat="1" applyFont="1" applyFill="1" applyBorder="1" applyAlignment="1">
      <alignment vertical="center"/>
    </xf>
    <xf numFmtId="9" fontId="4" fillId="4" borderId="1" xfId="3" applyFont="1" applyFill="1" applyBorder="1" applyAlignment="1">
      <alignment vertical="center"/>
    </xf>
    <xf numFmtId="14" fontId="27" fillId="4" borderId="1" xfId="3" applyNumberFormat="1" applyFont="1" applyFill="1" applyBorder="1" applyAlignment="1">
      <alignment horizontal="right" vertical="center"/>
    </xf>
    <xf numFmtId="9" fontId="21" fillId="4" borderId="1" xfId="3" applyFont="1" applyFill="1" applyBorder="1"/>
    <xf numFmtId="9" fontId="21" fillId="4" borderId="1" xfId="3" applyFont="1" applyFill="1" applyBorder="1" applyAlignment="1">
      <alignment horizontal="center" vertical="center"/>
    </xf>
    <xf numFmtId="0" fontId="27" fillId="4" borderId="0" xfId="0" applyFont="1" applyFill="1"/>
    <xf numFmtId="0" fontId="21" fillId="4" borderId="0" xfId="0" applyFont="1" applyFill="1"/>
    <xf numFmtId="0" fontId="21" fillId="0" borderId="0" xfId="7" applyFont="1" applyAlignment="1">
      <alignment horizontal="left"/>
    </xf>
    <xf numFmtId="168" fontId="21" fillId="0" borderId="0" xfId="1" applyNumberFormat="1" applyFont="1"/>
    <xf numFmtId="9" fontId="21" fillId="0" borderId="0" xfId="3" applyFont="1"/>
    <xf numFmtId="0" fontId="16" fillId="2" borderId="0" xfId="4" applyFill="1"/>
    <xf numFmtId="172" fontId="4" fillId="2" borderId="1" xfId="0" applyNumberFormat="1" applyFont="1" applyFill="1" applyBorder="1" applyAlignment="1">
      <alignment horizontal="left" vertical="center" wrapText="1"/>
    </xf>
    <xf numFmtId="0" fontId="4" fillId="2" borderId="0" xfId="0" applyFont="1" applyFill="1" applyAlignment="1">
      <alignment vertical="center"/>
    </xf>
    <xf numFmtId="0" fontId="4" fillId="0" borderId="0" xfId="7" applyFont="1"/>
    <xf numFmtId="171" fontId="21" fillId="0" borderId="0" xfId="0" applyNumberFormat="1" applyFont="1"/>
    <xf numFmtId="166" fontId="13" fillId="0" borderId="1" xfId="0" applyNumberFormat="1" applyFont="1" applyFill="1" applyBorder="1" applyAlignment="1">
      <alignment vertical="top"/>
    </xf>
    <xf numFmtId="0" fontId="20" fillId="0" borderId="0" xfId="0" applyFont="1"/>
    <xf numFmtId="166" fontId="20" fillId="2" borderId="1" xfId="0" applyNumberFormat="1" applyFont="1" applyFill="1" applyBorder="1" applyAlignment="1">
      <alignment horizontal="center" vertical="top"/>
    </xf>
    <xf numFmtId="168" fontId="17" fillId="0" borderId="1" xfId="1" applyNumberFormat="1" applyFont="1" applyBorder="1"/>
    <xf numFmtId="168" fontId="17" fillId="0" borderId="1" xfId="0" applyNumberFormat="1" applyFont="1" applyBorder="1"/>
    <xf numFmtId="0" fontId="17" fillId="0" borderId="1" xfId="0" applyFont="1" applyBorder="1"/>
    <xf numFmtId="0" fontId="14" fillId="0" borderId="1" xfId="0" applyFont="1" applyBorder="1"/>
    <xf numFmtId="168" fontId="19" fillId="0" borderId="1" xfId="1" applyNumberFormat="1" applyFont="1" applyBorder="1"/>
    <xf numFmtId="168" fontId="14" fillId="0" borderId="1" xfId="1" applyNumberFormat="1" applyFont="1" applyBorder="1"/>
    <xf numFmtId="49" fontId="10" fillId="2" borderId="1" xfId="0" applyNumberFormat="1" applyFont="1" applyFill="1" applyBorder="1" applyAlignment="1">
      <alignment horizontal="left" vertical="top" wrapText="1"/>
    </xf>
    <xf numFmtId="49" fontId="18" fillId="2" borderId="1" xfId="0" applyNumberFormat="1" applyFont="1" applyFill="1" applyBorder="1" applyAlignment="1">
      <alignment horizontal="left" vertical="top" wrapText="1"/>
    </xf>
    <xf numFmtId="49" fontId="14" fillId="2" borderId="1" xfId="0" applyNumberFormat="1" applyFont="1" applyFill="1" applyBorder="1" applyAlignment="1">
      <alignment horizontal="left" vertical="top" wrapText="1"/>
    </xf>
    <xf numFmtId="49" fontId="14" fillId="0" borderId="1" xfId="0" applyNumberFormat="1" applyFont="1" applyBorder="1" applyAlignment="1">
      <alignment horizontal="left" vertical="top" wrapText="1"/>
    </xf>
    <xf numFmtId="168" fontId="19" fillId="0" borderId="1" xfId="1" applyNumberFormat="1" applyFont="1" applyBorder="1" applyAlignment="1">
      <alignment horizontal="center" vertical="center" wrapText="1"/>
    </xf>
    <xf numFmtId="0" fontId="27" fillId="4" borderId="1" xfId="0" applyFont="1" applyFill="1" applyBorder="1" applyAlignment="1">
      <alignment horizontal="center" vertical="center"/>
    </xf>
    <xf numFmtId="0" fontId="4" fillId="4" borderId="1" xfId="0" applyFont="1" applyFill="1" applyBorder="1" applyAlignment="1">
      <alignment horizontal="left" vertical="center" wrapText="1"/>
    </xf>
    <xf numFmtId="0" fontId="27"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9" fontId="4" fillId="4" borderId="1" xfId="3" applyFont="1" applyFill="1" applyBorder="1"/>
    <xf numFmtId="9" fontId="4" fillId="4" borderId="1" xfId="3" applyFont="1" applyFill="1" applyBorder="1" applyAlignment="1">
      <alignment horizontal="center" vertical="center"/>
    </xf>
    <xf numFmtId="0" fontId="27" fillId="4" borderId="0" xfId="0" applyFont="1" applyFill="1" applyAlignment="1">
      <alignment horizontal="left" vertical="center"/>
    </xf>
    <xf numFmtId="0" fontId="27" fillId="4" borderId="1" xfId="0" applyFont="1" applyFill="1" applyBorder="1" applyAlignment="1">
      <alignment horizontal="center"/>
    </xf>
    <xf numFmtId="0" fontId="27" fillId="4" borderId="1" xfId="0" applyFont="1" applyFill="1" applyBorder="1" applyAlignment="1">
      <alignment vertical="center" wrapText="1"/>
    </xf>
    <xf numFmtId="0" fontId="21" fillId="4" borderId="1" xfId="0" applyFont="1" applyFill="1" applyBorder="1" applyAlignment="1">
      <alignment vertical="center" wrapText="1"/>
    </xf>
    <xf numFmtId="9" fontId="27" fillId="4" borderId="1" xfId="3" applyFont="1" applyFill="1" applyBorder="1"/>
    <xf numFmtId="9" fontId="27" fillId="4" borderId="1" xfId="3" applyFont="1" applyFill="1" applyBorder="1" applyAlignment="1">
      <alignment horizontal="center" vertical="center"/>
    </xf>
    <xf numFmtId="0" fontId="21" fillId="4" borderId="0" xfId="7" applyFont="1" applyFill="1" applyAlignment="1">
      <alignment horizontal="left"/>
    </xf>
    <xf numFmtId="168" fontId="21" fillId="4" borderId="0" xfId="1" applyNumberFormat="1" applyFont="1" applyFill="1"/>
    <xf numFmtId="9" fontId="4" fillId="4" borderId="0" xfId="3" applyFont="1" applyFill="1"/>
    <xf numFmtId="9" fontId="21" fillId="4" borderId="0" xfId="3" applyFont="1" applyFill="1"/>
    <xf numFmtId="0" fontId="21" fillId="0" borderId="1" xfId="0" applyFont="1" applyFill="1" applyBorder="1" applyAlignment="1">
      <alignment horizontal="center"/>
    </xf>
    <xf numFmtId="0" fontId="27" fillId="0" borderId="1" xfId="0" applyFont="1" applyFill="1" applyBorder="1" applyAlignment="1" applyProtection="1">
      <alignment vertical="center"/>
      <protection hidden="1"/>
    </xf>
    <xf numFmtId="0" fontId="4" fillId="0" borderId="1" xfId="0" applyFont="1" applyFill="1" applyBorder="1" applyAlignment="1">
      <alignment horizontal="justify" vertical="center" wrapText="1"/>
    </xf>
    <xf numFmtId="170" fontId="4" fillId="0" borderId="1" xfId="6" applyNumberFormat="1" applyFont="1" applyFill="1" applyBorder="1" applyAlignment="1" applyProtection="1">
      <alignment shrinkToFit="1"/>
      <protection hidden="1"/>
    </xf>
    <xf numFmtId="0" fontId="21" fillId="0" borderId="1" xfId="0" applyFont="1" applyFill="1" applyBorder="1"/>
    <xf numFmtId="0" fontId="21" fillId="0" borderId="1" xfId="0" applyFont="1" applyFill="1" applyBorder="1" applyAlignment="1">
      <alignment horizontal="center" vertical="center"/>
    </xf>
    <xf numFmtId="171" fontId="4" fillId="0" borderId="1" xfId="1" applyNumberFormat="1" applyFont="1" applyFill="1" applyBorder="1" applyAlignment="1">
      <alignment vertical="center"/>
    </xf>
    <xf numFmtId="9" fontId="4" fillId="0" borderId="1" xfId="3" applyFont="1" applyFill="1" applyBorder="1" applyAlignment="1">
      <alignment vertical="center"/>
    </xf>
    <xf numFmtId="14" fontId="27" fillId="0" borderId="1" xfId="3" applyNumberFormat="1" applyFont="1" applyFill="1" applyBorder="1" applyAlignment="1">
      <alignment horizontal="right" vertical="center"/>
    </xf>
    <xf numFmtId="9" fontId="21" fillId="0" borderId="1" xfId="3" applyFont="1" applyFill="1" applyBorder="1"/>
    <xf numFmtId="9" fontId="21" fillId="0" borderId="1" xfId="3" applyFont="1" applyFill="1" applyBorder="1" applyAlignment="1">
      <alignment horizontal="center" vertical="center"/>
    </xf>
    <xf numFmtId="0" fontId="27" fillId="0" borderId="0" xfId="0" applyFont="1" applyFill="1"/>
    <xf numFmtId="0" fontId="21" fillId="0" borderId="0" xfId="0" applyFont="1" applyFill="1"/>
    <xf numFmtId="0" fontId="27" fillId="4" borderId="1" xfId="0" applyFont="1" applyFill="1" applyBorder="1" applyAlignment="1">
      <alignment horizontal="justify" vertical="center" wrapText="1"/>
    </xf>
    <xf numFmtId="170" fontId="27" fillId="4" borderId="1" xfId="6" applyNumberFormat="1" applyFont="1" applyFill="1" applyBorder="1" applyAlignment="1" applyProtection="1">
      <alignment shrinkToFit="1"/>
      <protection hidden="1"/>
    </xf>
    <xf numFmtId="0" fontId="27" fillId="4" borderId="1" xfId="0" applyFont="1" applyFill="1" applyBorder="1"/>
    <xf numFmtId="171" fontId="27" fillId="4" borderId="1" xfId="1" applyNumberFormat="1" applyFont="1" applyFill="1" applyBorder="1" applyAlignment="1">
      <alignment vertical="center"/>
    </xf>
    <xf numFmtId="9" fontId="27" fillId="4" borderId="1" xfId="3" applyFont="1" applyFill="1" applyBorder="1" applyAlignment="1">
      <alignment vertical="center"/>
    </xf>
    <xf numFmtId="49" fontId="6" fillId="4" borderId="1" xfId="0" applyNumberFormat="1" applyFont="1" applyFill="1" applyBorder="1" applyAlignment="1">
      <alignment horizontal="left" vertical="top" wrapText="1"/>
    </xf>
    <xf numFmtId="49" fontId="35" fillId="2" borderId="1" xfId="0" applyNumberFormat="1" applyFont="1" applyFill="1" applyBorder="1" applyAlignment="1">
      <alignment horizontal="center" vertical="top" wrapText="1"/>
    </xf>
    <xf numFmtId="0" fontId="35" fillId="0" borderId="1" xfId="0" applyFont="1" applyBorder="1" applyAlignment="1">
      <alignment horizontal="left" vertical="center" wrapText="1"/>
    </xf>
    <xf numFmtId="49" fontId="36" fillId="2" borderId="1" xfId="0" applyNumberFormat="1" applyFont="1" applyFill="1" applyBorder="1" applyAlignment="1">
      <alignment horizontal="center" vertical="top" wrapText="1"/>
    </xf>
    <xf numFmtId="0" fontId="36" fillId="0" borderId="1" xfId="5" applyFont="1" applyBorder="1" applyAlignment="1">
      <alignment vertical="center" wrapText="1"/>
    </xf>
    <xf numFmtId="0" fontId="36" fillId="2" borderId="1" xfId="0" applyFont="1" applyFill="1" applyBorder="1" applyAlignment="1">
      <alignment vertical="center" wrapText="1"/>
    </xf>
    <xf numFmtId="165" fontId="6" fillId="0" borderId="1" xfId="0" applyNumberFormat="1" applyFont="1" applyFill="1" applyBorder="1" applyAlignment="1">
      <alignment vertical="top"/>
    </xf>
    <xf numFmtId="49" fontId="6" fillId="0" borderId="1" xfId="0" applyNumberFormat="1" applyFont="1" applyFill="1" applyBorder="1" applyAlignment="1">
      <alignment horizontal="left" vertical="top" wrapText="1"/>
    </xf>
    <xf numFmtId="167" fontId="6" fillId="0" borderId="1" xfId="0" applyNumberFormat="1" applyFont="1" applyFill="1" applyBorder="1" applyAlignment="1">
      <alignment vertical="top"/>
    </xf>
    <xf numFmtId="9" fontId="6" fillId="0" borderId="1" xfId="3" applyFont="1" applyFill="1" applyBorder="1" applyAlignment="1">
      <alignment vertical="top"/>
    </xf>
    <xf numFmtId="164" fontId="6" fillId="0" borderId="1" xfId="1" applyNumberFormat="1" applyFont="1" applyFill="1" applyBorder="1" applyAlignment="1">
      <alignment vertical="top"/>
    </xf>
    <xf numFmtId="0" fontId="6" fillId="0" borderId="0" xfId="0" applyFont="1" applyFill="1" applyAlignment="1">
      <alignment vertical="top"/>
    </xf>
    <xf numFmtId="166" fontId="6" fillId="4" borderId="1" xfId="0" applyNumberFormat="1" applyFont="1" applyFill="1" applyBorder="1" applyAlignment="1">
      <alignment vertical="top"/>
    </xf>
    <xf numFmtId="167" fontId="6" fillId="4" borderId="1" xfId="0" applyNumberFormat="1" applyFont="1" applyFill="1" applyBorder="1" applyAlignment="1">
      <alignment vertical="top"/>
    </xf>
    <xf numFmtId="165" fontId="6" fillId="4" borderId="1" xfId="0" applyNumberFormat="1" applyFont="1" applyFill="1" applyBorder="1" applyAlignment="1">
      <alignment vertical="top"/>
    </xf>
    <xf numFmtId="0" fontId="6" fillId="4" borderId="0" xfId="0" applyFont="1" applyFill="1" applyAlignment="1">
      <alignment vertical="top"/>
    </xf>
    <xf numFmtId="0" fontId="17" fillId="0" borderId="1" xfId="0" applyFont="1" applyBorder="1" applyAlignment="1">
      <alignment horizontal="center"/>
    </xf>
    <xf numFmtId="0" fontId="17" fillId="0" borderId="1" xfId="0" applyFont="1" applyBorder="1" applyAlignment="1">
      <alignment horizontal="center" vertical="center" wrapText="1"/>
    </xf>
    <xf numFmtId="0" fontId="17" fillId="0" borderId="6" xfId="0" applyFont="1" applyBorder="1" applyAlignment="1">
      <alignment horizontal="center" vertical="center" wrapText="1"/>
    </xf>
    <xf numFmtId="168" fontId="17" fillId="0" borderId="1" xfId="1" applyNumberFormat="1" applyFont="1" applyBorder="1" applyAlignment="1">
      <alignment horizontal="center" vertical="center" wrapText="1"/>
    </xf>
    <xf numFmtId="173" fontId="17" fillId="0" borderId="1" xfId="1" applyNumberFormat="1" applyFont="1" applyBorder="1" applyAlignment="1">
      <alignment horizontal="center" vertical="center" wrapText="1"/>
    </xf>
    <xf numFmtId="168" fontId="17" fillId="0" borderId="0" xfId="0" applyNumberFormat="1" applyFont="1"/>
    <xf numFmtId="165" fontId="17" fillId="0" borderId="1" xfId="0" applyNumberFormat="1" applyFont="1" applyBorder="1"/>
    <xf numFmtId="164" fontId="7" fillId="2" borderId="1" xfId="1" applyFont="1" applyFill="1" applyBorder="1" applyAlignment="1">
      <alignment horizontal="center" vertical="center" wrapText="1"/>
    </xf>
    <xf numFmtId="164" fontId="9" fillId="2" borderId="1" xfId="1" applyFont="1" applyFill="1" applyBorder="1" applyAlignment="1">
      <alignment horizontal="center" vertical="center" wrapText="1"/>
    </xf>
    <xf numFmtId="164" fontId="6" fillId="2" borderId="1" xfId="1" applyFont="1" applyFill="1" applyBorder="1" applyAlignment="1">
      <alignment vertical="top"/>
    </xf>
    <xf numFmtId="164" fontId="6" fillId="4" borderId="1" xfId="1" applyFont="1" applyFill="1" applyBorder="1" applyAlignment="1">
      <alignment vertical="top"/>
    </xf>
    <xf numFmtId="164" fontId="10" fillId="2" borderId="0" xfId="1" applyFont="1" applyFill="1" applyAlignment="1">
      <alignment vertical="top"/>
    </xf>
    <xf numFmtId="164" fontId="11" fillId="2" borderId="0" xfId="1" applyFont="1" applyFill="1" applyAlignment="1">
      <alignment horizontal="center" vertical="top"/>
    </xf>
    <xf numFmtId="0" fontId="21" fillId="4" borderId="0" xfId="0" applyFont="1" applyFill="1" applyAlignment="1">
      <alignment horizontal="center"/>
    </xf>
    <xf numFmtId="0" fontId="0" fillId="4" borderId="0" xfId="0" applyFill="1"/>
    <xf numFmtId="0" fontId="2" fillId="0" borderId="0" xfId="0" applyFont="1" applyFill="1" applyAlignment="1">
      <alignment vertical="top"/>
    </xf>
    <xf numFmtId="0" fontId="4" fillId="0" borderId="0" xfId="0" applyFont="1" applyFill="1" applyAlignment="1">
      <alignment vertical="top"/>
    </xf>
    <xf numFmtId="0" fontId="5" fillId="0" borderId="0" xfId="0" applyFont="1" applyFill="1" applyAlignment="1">
      <alignment vertical="top" wrapText="1"/>
    </xf>
    <xf numFmtId="0" fontId="7"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164" fontId="7" fillId="0" borderId="1" xfId="1" applyNumberFormat="1" applyFont="1" applyFill="1" applyBorder="1" applyAlignment="1">
      <alignment horizontal="center" vertical="center" wrapText="1"/>
    </xf>
    <xf numFmtId="3" fontId="8" fillId="0" borderId="1" xfId="0" applyNumberFormat="1" applyFont="1" applyFill="1" applyBorder="1" applyAlignment="1">
      <alignment horizontal="center" vertical="center"/>
    </xf>
    <xf numFmtId="164" fontId="8" fillId="0" borderId="1" xfId="1" applyFont="1" applyFill="1" applyBorder="1" applyAlignment="1">
      <alignment horizontal="center" vertical="center"/>
    </xf>
    <xf numFmtId="0" fontId="9" fillId="0" borderId="1" xfId="0" applyFont="1" applyFill="1" applyBorder="1" applyAlignment="1">
      <alignment horizontal="center" vertical="center" wrapText="1"/>
    </xf>
    <xf numFmtId="168" fontId="9" fillId="0" borderId="1" xfId="1" applyNumberFormat="1" applyFont="1" applyFill="1" applyBorder="1" applyAlignment="1">
      <alignment horizontal="center" vertical="center" wrapText="1"/>
    </xf>
    <xf numFmtId="166" fontId="6" fillId="0" borderId="1" xfId="0" applyNumberFormat="1" applyFont="1" applyFill="1" applyBorder="1" applyAlignment="1">
      <alignment vertical="top"/>
    </xf>
    <xf numFmtId="165" fontId="6" fillId="0" borderId="0" xfId="0" applyNumberFormat="1" applyFont="1" applyFill="1" applyAlignment="1">
      <alignment vertical="top"/>
    </xf>
    <xf numFmtId="0" fontId="6" fillId="0" borderId="1" xfId="0" applyNumberFormat="1" applyFont="1" applyFill="1" applyBorder="1" applyAlignment="1">
      <alignment horizontal="left" vertical="top" wrapText="1"/>
    </xf>
    <xf numFmtId="167" fontId="13" fillId="0" borderId="1" xfId="0" applyNumberFormat="1" applyFont="1" applyFill="1" applyBorder="1" applyAlignment="1">
      <alignment vertical="top"/>
    </xf>
    <xf numFmtId="165" fontId="13" fillId="0" borderId="1" xfId="0" applyNumberFormat="1" applyFont="1" applyFill="1" applyBorder="1" applyAlignment="1">
      <alignment vertical="top"/>
    </xf>
    <xf numFmtId="0" fontId="13" fillId="0" borderId="0" xfId="0" applyFont="1" applyFill="1" applyAlignment="1">
      <alignment vertical="top"/>
    </xf>
    <xf numFmtId="167" fontId="15" fillId="0" borderId="1" xfId="0" applyNumberFormat="1" applyFont="1" applyFill="1" applyBorder="1" applyAlignment="1">
      <alignment vertical="top"/>
    </xf>
    <xf numFmtId="0" fontId="15" fillId="0" borderId="0" xfId="0" applyFont="1" applyFill="1" applyAlignment="1">
      <alignment vertical="top"/>
    </xf>
    <xf numFmtId="166" fontId="7" fillId="0" borderId="1" xfId="0" applyNumberFormat="1" applyFont="1" applyFill="1" applyBorder="1" applyAlignment="1">
      <alignment vertical="top"/>
    </xf>
    <xf numFmtId="49" fontId="7" fillId="0" borderId="1" xfId="0" applyNumberFormat="1" applyFont="1" applyFill="1" applyBorder="1" applyAlignment="1">
      <alignment horizontal="left" vertical="top" wrapText="1"/>
    </xf>
    <xf numFmtId="167" fontId="7" fillId="0" borderId="1" xfId="0" applyNumberFormat="1" applyFont="1" applyFill="1" applyBorder="1" applyAlignment="1">
      <alignment vertical="top"/>
    </xf>
    <xf numFmtId="165" fontId="12" fillId="0" borderId="1" xfId="0" applyNumberFormat="1" applyFont="1" applyFill="1" applyBorder="1" applyAlignment="1">
      <alignment vertical="top"/>
    </xf>
    <xf numFmtId="0" fontId="7" fillId="0" borderId="0" xfId="0" applyFont="1" applyFill="1" applyAlignment="1">
      <alignment vertical="top"/>
    </xf>
    <xf numFmtId="166" fontId="6" fillId="0" borderId="7" xfId="0" applyNumberFormat="1" applyFont="1" applyFill="1" applyBorder="1" applyAlignment="1">
      <alignment vertical="top"/>
    </xf>
    <xf numFmtId="49" fontId="6" fillId="0" borderId="7" xfId="0" applyNumberFormat="1" applyFont="1" applyFill="1" applyBorder="1" applyAlignment="1">
      <alignment horizontal="left" vertical="top" wrapText="1"/>
    </xf>
    <xf numFmtId="164" fontId="6" fillId="0" borderId="0" xfId="1" applyFont="1" applyFill="1" applyAlignment="1">
      <alignment vertical="top"/>
    </xf>
    <xf numFmtId="164" fontId="6" fillId="0" borderId="0" xfId="1" applyNumberFormat="1" applyFont="1" applyFill="1" applyAlignment="1">
      <alignment vertical="top"/>
    </xf>
    <xf numFmtId="165" fontId="6" fillId="0" borderId="7" xfId="0" applyNumberFormat="1" applyFont="1" applyFill="1" applyBorder="1" applyAlignment="1">
      <alignment vertical="top"/>
    </xf>
    <xf numFmtId="0" fontId="10" fillId="0" borderId="0" xfId="0" applyFont="1" applyFill="1" applyAlignment="1">
      <alignment vertical="top"/>
    </xf>
    <xf numFmtId="9" fontId="10" fillId="0" borderId="0" xfId="3" applyFont="1" applyFill="1" applyAlignment="1">
      <alignment vertical="top"/>
    </xf>
    <xf numFmtId="164" fontId="10" fillId="0" borderId="0" xfId="1" applyNumberFormat="1" applyFont="1" applyFill="1" applyAlignment="1">
      <alignment vertical="top"/>
    </xf>
    <xf numFmtId="0" fontId="11" fillId="0" borderId="0" xfId="0" applyFont="1" applyFill="1" applyAlignment="1">
      <alignment vertical="top"/>
    </xf>
    <xf numFmtId="0" fontId="11" fillId="0" borderId="0" xfId="0" applyFont="1" applyFill="1" applyAlignment="1">
      <alignment horizontal="center" vertical="top"/>
    </xf>
    <xf numFmtId="164" fontId="11" fillId="0" borderId="0" xfId="1" applyNumberFormat="1" applyFont="1" applyFill="1" applyAlignment="1">
      <alignment horizontal="center" vertical="top"/>
    </xf>
    <xf numFmtId="0" fontId="11" fillId="0" borderId="0" xfId="0" applyFont="1" applyFill="1" applyAlignment="1">
      <alignment horizontal="center" vertical="top"/>
    </xf>
    <xf numFmtId="167" fontId="15" fillId="4" borderId="1" xfId="0" applyNumberFormat="1" applyFont="1" applyFill="1" applyBorder="1" applyAlignment="1">
      <alignment vertical="top"/>
    </xf>
    <xf numFmtId="9" fontId="6" fillId="4" borderId="1" xfId="3" applyFont="1" applyFill="1" applyBorder="1" applyAlignment="1">
      <alignment vertical="top"/>
    </xf>
    <xf numFmtId="0" fontId="15" fillId="4" borderId="0" xfId="0" applyFont="1" applyFill="1" applyAlignment="1">
      <alignment vertical="top"/>
    </xf>
    <xf numFmtId="0" fontId="14" fillId="0" borderId="1" xfId="0" applyFont="1" applyBorder="1" applyAlignment="1">
      <alignment horizontal="center" vertical="center" wrapText="1"/>
    </xf>
    <xf numFmtId="0" fontId="14" fillId="0" borderId="1" xfId="0" applyFont="1" applyBorder="1" applyAlignment="1">
      <alignment vertical="center" wrapText="1"/>
    </xf>
    <xf numFmtId="49" fontId="13" fillId="0" borderId="1" xfId="0" applyNumberFormat="1" applyFont="1" applyFill="1" applyBorder="1" applyAlignment="1">
      <alignment horizontal="left" vertical="top" wrapText="1"/>
    </xf>
    <xf numFmtId="168" fontId="14" fillId="0" borderId="1" xfId="0" applyNumberFormat="1" applyFont="1" applyBorder="1"/>
    <xf numFmtId="168" fontId="14" fillId="0" borderId="0" xfId="0" applyNumberFormat="1" applyFont="1"/>
    <xf numFmtId="168" fontId="14" fillId="0" borderId="1" xfId="0" applyNumberFormat="1" applyFont="1" applyBorder="1" applyAlignment="1">
      <alignment horizontal="center" vertical="center" wrapText="1"/>
    </xf>
    <xf numFmtId="0" fontId="11" fillId="0" borderId="0" xfId="0" applyFont="1" applyFill="1" applyAlignment="1">
      <alignment horizontal="center" vertical="top"/>
    </xf>
    <xf numFmtId="0" fontId="3" fillId="0" borderId="0" xfId="0" applyFont="1" applyFill="1" applyAlignment="1">
      <alignment horizontal="center" vertical="top"/>
    </xf>
    <xf numFmtId="0" fontId="5" fillId="0" borderId="0" xfId="0" applyFont="1" applyFill="1" applyAlignment="1">
      <alignment horizontal="center" vertical="top" wrapText="1"/>
    </xf>
    <xf numFmtId="0" fontId="5" fillId="0" borderId="0" xfId="0" applyFont="1" applyFill="1" applyAlignment="1">
      <alignment horizontal="center" vertical="top" wrapText="1"/>
    </xf>
    <xf numFmtId="0" fontId="2" fillId="0" borderId="0" xfId="0" applyFont="1" applyFill="1" applyAlignment="1">
      <alignment vertical="top" wrapText="1"/>
    </xf>
    <xf numFmtId="0" fontId="4" fillId="0" borderId="0" xfId="0" applyFont="1" applyFill="1" applyAlignment="1">
      <alignment vertical="top" wrapText="1"/>
    </xf>
    <xf numFmtId="165" fontId="6" fillId="0" borderId="1" xfId="0" applyNumberFormat="1" applyFont="1" applyFill="1" applyBorder="1" applyAlignment="1">
      <alignment vertical="top" wrapText="1"/>
    </xf>
    <xf numFmtId="165" fontId="13" fillId="0" borderId="1" xfId="0" applyNumberFormat="1" applyFont="1" applyFill="1" applyBorder="1" applyAlignment="1">
      <alignment vertical="top" wrapText="1"/>
    </xf>
    <xf numFmtId="165" fontId="12" fillId="0" borderId="1" xfId="0" applyNumberFormat="1" applyFont="1" applyFill="1" applyBorder="1" applyAlignment="1">
      <alignment vertical="top" wrapText="1"/>
    </xf>
    <xf numFmtId="165" fontId="6" fillId="0" borderId="0" xfId="0" applyNumberFormat="1" applyFont="1" applyFill="1" applyAlignment="1">
      <alignment vertical="top" wrapText="1"/>
    </xf>
    <xf numFmtId="0" fontId="6" fillId="0" borderId="0" xfId="0" applyFont="1" applyFill="1" applyAlignment="1">
      <alignment vertical="top" wrapText="1"/>
    </xf>
    <xf numFmtId="165" fontId="6" fillId="0" borderId="7" xfId="0" applyNumberFormat="1" applyFont="1" applyFill="1" applyBorder="1" applyAlignment="1">
      <alignment vertical="top" wrapText="1"/>
    </xf>
    <xf numFmtId="0" fontId="5" fillId="0" borderId="0" xfId="0" applyFont="1" applyFill="1" applyAlignment="1">
      <alignment horizontal="center" vertical="top" wrapText="1"/>
    </xf>
    <xf numFmtId="0" fontId="38" fillId="0" borderId="0" xfId="0" applyFont="1" applyFill="1" applyAlignment="1">
      <alignment vertical="top"/>
    </xf>
    <xf numFmtId="0" fontId="38" fillId="4" borderId="1" xfId="0" applyFont="1" applyFill="1" applyBorder="1" applyAlignment="1">
      <alignment horizontal="left" wrapText="1"/>
    </xf>
    <xf numFmtId="0" fontId="38" fillId="4" borderId="1" xfId="8" applyFont="1" applyFill="1" applyBorder="1" applyAlignment="1">
      <alignment horizontal="left" wrapText="1"/>
    </xf>
    <xf numFmtId="0" fontId="38" fillId="4" borderId="1" xfId="8" quotePrefix="1" applyFont="1" applyFill="1" applyBorder="1" applyAlignment="1">
      <alignment horizontal="left" wrapText="1"/>
    </xf>
    <xf numFmtId="0" fontId="38" fillId="4" borderId="1" xfId="0" quotePrefix="1" applyFont="1" applyFill="1" applyBorder="1" applyAlignment="1">
      <alignment horizontal="left" wrapText="1"/>
    </xf>
    <xf numFmtId="0" fontId="4" fillId="0" borderId="0" xfId="0" applyFont="1" applyFill="1" applyAlignment="1">
      <alignment horizontal="center" vertical="top"/>
    </xf>
    <xf numFmtId="0" fontId="36" fillId="0" borderId="0" xfId="0" applyFont="1" applyFill="1" applyAlignment="1">
      <alignment horizontal="center" vertical="top" wrapText="1"/>
    </xf>
    <xf numFmtId="0" fontId="6" fillId="6" borderId="0" xfId="0" applyFont="1" applyFill="1" applyAlignment="1">
      <alignment horizontal="center" vertical="top"/>
    </xf>
    <xf numFmtId="0" fontId="3" fillId="0" borderId="0" xfId="0" applyFont="1" applyFill="1" applyAlignment="1">
      <alignment horizontal="center" vertical="top"/>
    </xf>
    <xf numFmtId="0" fontId="3" fillId="0" borderId="0" xfId="0" applyFont="1" applyFill="1" applyAlignment="1">
      <alignment horizontal="center" vertical="top" wrapText="1"/>
    </xf>
    <xf numFmtId="0" fontId="6" fillId="6" borderId="0" xfId="0" applyFont="1" applyFill="1" applyAlignment="1">
      <alignment horizontal="center" vertical="top" wrapText="1"/>
    </xf>
    <xf numFmtId="0" fontId="10" fillId="0" borderId="0" xfId="0" applyFont="1" applyFill="1" applyAlignment="1">
      <alignment vertical="top" wrapText="1"/>
    </xf>
    <xf numFmtId="0" fontId="11" fillId="0" borderId="0" xfId="0" applyFont="1" applyFill="1" applyAlignment="1">
      <alignment horizontal="center" vertical="top"/>
    </xf>
    <xf numFmtId="0" fontId="2" fillId="0" borderId="0" xfId="0" applyFont="1" applyFill="1" applyAlignment="1">
      <alignment horizontal="center" vertical="top"/>
    </xf>
    <xf numFmtId="0" fontId="3" fillId="0" borderId="0" xfId="0" applyFont="1" applyFill="1" applyAlignment="1">
      <alignment horizontal="center" vertical="top"/>
    </xf>
    <xf numFmtId="0" fontId="10" fillId="0" borderId="0" xfId="0" applyFont="1" applyFill="1" applyAlignment="1">
      <alignment horizontal="center" vertical="top" wrapText="1"/>
    </xf>
    <xf numFmtId="168" fontId="18" fillId="0" borderId="1" xfId="1" applyNumberFormat="1" applyFont="1" applyFill="1" applyBorder="1" applyAlignment="1">
      <alignment horizontal="center" vertical="center" wrapText="1"/>
    </xf>
    <xf numFmtId="168" fontId="18" fillId="0" borderId="13" xfId="1" applyNumberFormat="1" applyFont="1" applyFill="1" applyBorder="1" applyAlignment="1">
      <alignment horizontal="center" vertical="center" wrapText="1"/>
    </xf>
    <xf numFmtId="168" fontId="18" fillId="0" borderId="7" xfId="1" applyNumberFormat="1" applyFont="1" applyFill="1" applyBorder="1" applyAlignment="1">
      <alignment horizontal="center" vertical="center" wrapText="1"/>
    </xf>
    <xf numFmtId="168" fontId="18" fillId="0" borderId="8" xfId="1" applyNumberFormat="1" applyFont="1" applyFill="1" applyBorder="1" applyAlignment="1">
      <alignment horizontal="center"/>
    </xf>
    <xf numFmtId="168" fontId="18" fillId="0" borderId="9" xfId="1" applyNumberFormat="1" applyFont="1" applyFill="1" applyBorder="1" applyAlignment="1">
      <alignment horizontal="center"/>
    </xf>
    <xf numFmtId="168" fontId="18" fillId="0" borderId="10" xfId="1" applyNumberFormat="1" applyFont="1" applyFill="1" applyBorder="1" applyAlignment="1">
      <alignment horizontal="center"/>
    </xf>
    <xf numFmtId="168" fontId="18" fillId="0" borderId="11" xfId="1" applyNumberFormat="1" applyFont="1" applyFill="1" applyBorder="1" applyAlignment="1">
      <alignment horizontal="center"/>
    </xf>
    <xf numFmtId="168" fontId="18" fillId="0" borderId="2" xfId="1" applyNumberFormat="1" applyFont="1" applyFill="1" applyBorder="1" applyAlignment="1">
      <alignment horizontal="center"/>
    </xf>
    <xf numFmtId="168" fontId="18" fillId="0" borderId="12" xfId="1" applyNumberFormat="1" applyFont="1" applyFill="1" applyBorder="1" applyAlignment="1">
      <alignment horizontal="center"/>
    </xf>
    <xf numFmtId="0" fontId="2" fillId="2" borderId="0" xfId="0" applyFont="1" applyFill="1" applyAlignment="1">
      <alignment horizontal="center" vertical="top"/>
    </xf>
    <xf numFmtId="0" fontId="3" fillId="2" borderId="0" xfId="0" applyFont="1" applyFill="1" applyAlignment="1">
      <alignment horizontal="center" vertical="top"/>
    </xf>
    <xf numFmtId="0" fontId="5" fillId="2" borderId="0" xfId="0" applyFont="1" applyFill="1" applyAlignment="1">
      <alignment horizontal="center" vertical="top" wrapText="1"/>
    </xf>
    <xf numFmtId="0" fontId="5" fillId="2" borderId="0" xfId="0" applyFont="1" applyFill="1" applyAlignment="1">
      <alignment horizontal="center" vertical="top"/>
    </xf>
    <xf numFmtId="0" fontId="5" fillId="2" borderId="2" xfId="0" applyFont="1" applyFill="1" applyBorder="1" applyAlignment="1">
      <alignment horizontal="center" vertical="center" wrapText="1"/>
    </xf>
    <xf numFmtId="0" fontId="11" fillId="2" borderId="0" xfId="0" applyFont="1" applyFill="1" applyAlignment="1">
      <alignment horizontal="center" vertical="top"/>
    </xf>
    <xf numFmtId="0" fontId="10" fillId="2" borderId="0" xfId="0" applyFont="1" applyFill="1" applyAlignment="1">
      <alignment horizontal="center" vertical="top"/>
    </xf>
    <xf numFmtId="0" fontId="28" fillId="3" borderId="4" xfId="0" applyFont="1" applyFill="1" applyBorder="1" applyAlignment="1">
      <alignment horizontal="center"/>
    </xf>
    <xf numFmtId="0" fontId="28" fillId="3" borderId="5" xfId="0" applyFont="1" applyFill="1" applyBorder="1" applyAlignment="1">
      <alignment horizontal="center"/>
    </xf>
    <xf numFmtId="0" fontId="29" fillId="4" borderId="4" xfId="0" applyFont="1" applyFill="1" applyBorder="1" applyAlignment="1">
      <alignment horizontal="center"/>
    </xf>
    <xf numFmtId="0" fontId="29" fillId="4" borderId="5" xfId="0" applyFont="1" applyFill="1" applyBorder="1" applyAlignment="1">
      <alignment horizontal="center"/>
    </xf>
    <xf numFmtId="0" fontId="29" fillId="4" borderId="3" xfId="0" applyFont="1" applyFill="1" applyBorder="1" applyAlignment="1">
      <alignment horizontal="center"/>
    </xf>
    <xf numFmtId="0" fontId="5" fillId="0" borderId="0" xfId="0" applyFont="1" applyFill="1" applyAlignment="1">
      <alignment horizontal="center" vertical="top" wrapText="1"/>
    </xf>
    <xf numFmtId="0" fontId="5" fillId="0" borderId="2" xfId="0" applyFont="1" applyFill="1" applyBorder="1" applyAlignment="1">
      <alignment horizontal="center" vertical="center" wrapText="1"/>
    </xf>
    <xf numFmtId="0" fontId="10" fillId="0" borderId="0" xfId="0" applyFont="1" applyFill="1" applyAlignment="1">
      <alignment horizontal="center" vertical="top"/>
    </xf>
  </cellXfs>
  <cellStyles count="9">
    <cellStyle name="Bad" xfId="8" builtinId="27"/>
    <cellStyle name="Comma" xfId="1" builtinId="3"/>
    <cellStyle name="Comma 2 3" xfId="6" xr:uid="{00000000-0005-0000-0000-000001000000}"/>
    <cellStyle name="Hyperlink" xfId="4" builtinId="8"/>
    <cellStyle name="Normal" xfId="0" builtinId="0"/>
    <cellStyle name="Normal 2" xfId="2" xr:uid="{00000000-0005-0000-0000-000004000000}"/>
    <cellStyle name="Normal 2 2 2" xfId="5" xr:uid="{00000000-0005-0000-0000-000005000000}"/>
    <cellStyle name="Normal 6" xfId="7" xr:uid="{00000000-0005-0000-0000-000006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mailto:trankhanhvu@vietlott.vn"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204"/>
  <sheetViews>
    <sheetView tabSelected="1" zoomScale="115" zoomScaleNormal="115" workbookViewId="0">
      <selection activeCell="I6" sqref="I6"/>
    </sheetView>
  </sheetViews>
  <sheetFormatPr defaultColWidth="9.109375" defaultRowHeight="10.199999999999999" x14ac:dyDescent="0.3"/>
  <cols>
    <col min="1" max="1" width="4.33203125" style="175" customWidth="1"/>
    <col min="2" max="2" width="10.88671875" style="175" customWidth="1"/>
    <col min="3" max="3" width="18.5546875" style="175" customWidth="1"/>
    <col min="4" max="4" width="12" style="175" customWidth="1"/>
    <col min="5" max="5" width="8.88671875" style="175" hidden="1" customWidth="1"/>
    <col min="6" max="6" width="7.5546875" style="175" hidden="1" customWidth="1"/>
    <col min="7" max="7" width="13.33203125" style="175" customWidth="1"/>
    <col min="8" max="8" width="12.88671875" style="249" bestFit="1" customWidth="1"/>
    <col min="9" max="9" width="12.88671875" style="175" customWidth="1"/>
    <col min="10" max="10" width="7" style="175" customWidth="1"/>
    <col min="11" max="11" width="5.88671875" style="221" customWidth="1"/>
    <col min="12" max="12" width="8.109375" style="175" customWidth="1"/>
    <col min="13" max="13" width="9.5546875" style="175" bestFit="1" customWidth="1"/>
    <col min="14" max="14" width="11.5546875" style="175" customWidth="1"/>
    <col min="15" max="18" width="10.33203125" style="175" customWidth="1"/>
    <col min="19" max="19" width="11.5546875" style="175" bestFit="1" customWidth="1"/>
    <col min="20" max="20" width="8.5546875" style="175" customWidth="1"/>
    <col min="21" max="21" width="10.6640625" style="175" customWidth="1"/>
    <col min="22" max="22" width="9.6640625" style="175" bestFit="1" customWidth="1"/>
    <col min="23" max="23" width="10.88671875" style="175" bestFit="1" customWidth="1"/>
    <col min="24" max="24" width="9.88671875" style="175" customWidth="1"/>
    <col min="25" max="25" width="9.5546875" style="175" hidden="1" customWidth="1"/>
    <col min="26" max="27" width="7.88671875" style="175" hidden="1" customWidth="1"/>
    <col min="28" max="28" width="10.88671875" style="175" bestFit="1" customWidth="1"/>
    <col min="29" max="29" width="11" style="175" hidden="1" customWidth="1"/>
    <col min="30" max="30" width="7.88671875" style="175" hidden="1" customWidth="1"/>
    <col min="31" max="31" width="8.6640625" style="175" hidden="1" customWidth="1"/>
    <col min="32" max="32" width="11" style="175" customWidth="1"/>
    <col min="33" max="46" width="14.88671875" style="175" hidden="1" customWidth="1"/>
    <col min="47" max="47" width="10.33203125" style="175" customWidth="1"/>
    <col min="48" max="48" width="7.109375" style="175" hidden="1" customWidth="1"/>
    <col min="49" max="49" width="11.33203125" style="249" customWidth="1"/>
    <col min="50" max="51" width="0" style="249" hidden="1" customWidth="1"/>
    <col min="52" max="52" width="8.6640625" style="249" bestFit="1" customWidth="1"/>
    <col min="53" max="53" width="10.88671875" style="249" customWidth="1"/>
    <col min="54" max="54" width="9.5546875" style="249" bestFit="1" customWidth="1"/>
    <col min="55" max="55" width="11.6640625" style="249" bestFit="1" customWidth="1"/>
    <col min="56" max="56" width="10.88671875" style="175" bestFit="1" customWidth="1"/>
    <col min="57" max="16384" width="9.109375" style="175"/>
  </cols>
  <sheetData>
    <row r="1" spans="1:56" s="195" customFormat="1" ht="15" customHeight="1" x14ac:dyDescent="0.3">
      <c r="A1" s="265" t="s">
        <v>0</v>
      </c>
      <c r="B1" s="265"/>
      <c r="C1" s="265"/>
      <c r="D1" s="265"/>
      <c r="E1" s="265"/>
      <c r="F1" s="265"/>
      <c r="G1" s="265"/>
      <c r="H1" s="265"/>
      <c r="I1" s="265"/>
      <c r="J1" s="265"/>
      <c r="K1" s="265"/>
      <c r="L1" s="265"/>
      <c r="M1" s="265"/>
      <c r="AW1" s="243"/>
      <c r="AX1" s="243"/>
      <c r="AY1" s="243"/>
      <c r="AZ1" s="243"/>
      <c r="BA1" s="243"/>
      <c r="BB1" s="243"/>
      <c r="BC1" s="243"/>
    </row>
    <row r="2" spans="1:56" s="196" customFormat="1" ht="39" customHeight="1" x14ac:dyDescent="0.3">
      <c r="A2" s="266" t="s">
        <v>1</v>
      </c>
      <c r="B2" s="266"/>
      <c r="C2" s="266"/>
      <c r="D2" s="266"/>
      <c r="E2" s="266"/>
      <c r="F2" s="266"/>
      <c r="G2" s="266"/>
      <c r="H2" s="266"/>
      <c r="I2" s="266"/>
      <c r="J2" s="266"/>
      <c r="K2" s="266"/>
      <c r="L2" s="266"/>
      <c r="M2" s="266"/>
      <c r="N2" s="197" t="s">
        <v>841</v>
      </c>
      <c r="O2" s="197"/>
      <c r="P2" s="197"/>
      <c r="Q2" s="197"/>
      <c r="R2" s="197"/>
      <c r="S2" s="197"/>
      <c r="T2" s="197"/>
      <c r="U2" s="197"/>
      <c r="V2" s="197"/>
      <c r="W2" s="197"/>
      <c r="X2" s="197"/>
      <c r="Y2" s="197"/>
      <c r="Z2" s="197"/>
      <c r="AA2" s="197"/>
      <c r="AB2" s="197"/>
      <c r="AC2" s="197"/>
      <c r="AD2" s="197"/>
      <c r="AE2" s="197"/>
      <c r="AF2" s="197"/>
      <c r="AW2" s="244"/>
      <c r="AX2" s="244"/>
      <c r="AY2" s="244"/>
      <c r="AZ2" s="244"/>
      <c r="BA2" s="244"/>
      <c r="BB2" s="244"/>
      <c r="BC2" s="244"/>
    </row>
    <row r="3" spans="1:56" s="196" customFormat="1" ht="39" hidden="1" customHeight="1" x14ac:dyDescent="0.3">
      <c r="A3" s="240"/>
      <c r="B3" s="240"/>
      <c r="C3" s="240"/>
      <c r="D3" s="240"/>
      <c r="E3" s="240"/>
      <c r="F3" s="240"/>
      <c r="G3" s="240"/>
      <c r="H3" s="261"/>
      <c r="I3" s="240"/>
      <c r="J3" s="240"/>
      <c r="K3" s="240"/>
      <c r="L3" s="240"/>
      <c r="M3" s="240"/>
      <c r="N3" s="241"/>
      <c r="O3" s="251"/>
      <c r="P3" s="241"/>
      <c r="Q3" s="241"/>
      <c r="R3" s="242"/>
      <c r="S3" s="241"/>
      <c r="T3" s="241"/>
      <c r="U3" s="241"/>
      <c r="V3" s="241"/>
      <c r="W3" s="241"/>
      <c r="X3" s="241"/>
      <c r="Y3" s="241"/>
      <c r="Z3" s="241"/>
      <c r="AA3" s="241"/>
      <c r="AB3" s="241"/>
      <c r="AC3" s="241"/>
      <c r="AD3" s="241"/>
      <c r="AE3" s="241"/>
      <c r="AF3" s="241"/>
      <c r="AW3" s="244"/>
      <c r="AX3" s="244"/>
      <c r="AY3" s="244"/>
      <c r="AZ3" s="244"/>
      <c r="BA3" s="244"/>
      <c r="BB3" s="244"/>
      <c r="BC3" s="244"/>
    </row>
    <row r="4" spans="1:56" s="196" customFormat="1" ht="51" customHeight="1" x14ac:dyDescent="0.3">
      <c r="A4" s="260"/>
      <c r="B4" s="260"/>
      <c r="C4" s="260"/>
      <c r="D4" s="260"/>
      <c r="E4" s="260"/>
      <c r="F4" s="260"/>
      <c r="G4" s="260"/>
      <c r="H4" s="261" t="s">
        <v>883</v>
      </c>
      <c r="I4" s="260"/>
      <c r="J4" s="260"/>
      <c r="K4" s="260"/>
      <c r="L4" s="260"/>
      <c r="M4" s="260"/>
      <c r="N4" s="261"/>
      <c r="O4" s="261"/>
      <c r="P4" s="261"/>
      <c r="Q4" s="261"/>
      <c r="R4" s="261"/>
      <c r="S4" s="261"/>
      <c r="T4" s="261"/>
      <c r="U4" s="261"/>
      <c r="V4" s="261"/>
      <c r="W4" s="261"/>
      <c r="X4" s="261"/>
      <c r="Y4" s="261"/>
      <c r="Z4" s="261"/>
      <c r="AA4" s="261"/>
      <c r="AB4" s="261"/>
      <c r="AC4" s="261"/>
      <c r="AD4" s="261"/>
      <c r="AE4" s="261"/>
      <c r="AF4" s="261"/>
      <c r="AW4" s="244"/>
      <c r="AX4" s="244"/>
      <c r="AY4" s="244"/>
      <c r="AZ4" s="244"/>
      <c r="BA4" s="244"/>
      <c r="BB4" s="244"/>
      <c r="BC4" s="244"/>
    </row>
    <row r="5" spans="1:56" s="196" customFormat="1" ht="39" customHeight="1" x14ac:dyDescent="0.3">
      <c r="A5" s="257"/>
      <c r="B5" s="257"/>
      <c r="C5" s="257"/>
      <c r="D5" s="257"/>
      <c r="E5" s="257"/>
      <c r="F5" s="257"/>
      <c r="G5" s="259" t="s">
        <v>881</v>
      </c>
      <c r="H5" s="262" t="s">
        <v>881</v>
      </c>
      <c r="I5" s="257"/>
      <c r="J5" s="257"/>
      <c r="K5" s="257"/>
      <c r="L5" s="257"/>
      <c r="M5" s="259" t="s">
        <v>881</v>
      </c>
      <c r="N5" s="259" t="s">
        <v>881</v>
      </c>
      <c r="O5" s="259" t="s">
        <v>881</v>
      </c>
      <c r="P5" s="259" t="s">
        <v>881</v>
      </c>
      <c r="Q5" s="259" t="s">
        <v>881</v>
      </c>
      <c r="R5" s="258"/>
      <c r="S5" s="259" t="s">
        <v>881</v>
      </c>
      <c r="T5" s="259" t="s">
        <v>881</v>
      </c>
      <c r="U5" s="258"/>
      <c r="V5" s="258"/>
      <c r="W5" s="259" t="s">
        <v>881</v>
      </c>
      <c r="X5" s="258"/>
      <c r="Y5" s="258"/>
      <c r="Z5" s="258"/>
      <c r="AA5" s="258"/>
      <c r="AB5" s="258"/>
      <c r="AC5" s="258"/>
      <c r="AD5" s="258"/>
      <c r="AE5" s="258"/>
      <c r="AF5" s="259" t="s">
        <v>881</v>
      </c>
      <c r="AW5" s="259" t="s">
        <v>881</v>
      </c>
      <c r="AX5" s="244"/>
      <c r="AY5" s="244"/>
      <c r="AZ5" s="244"/>
      <c r="BA5" s="244"/>
      <c r="BB5" s="244"/>
      <c r="BC5" s="244"/>
    </row>
    <row r="6" spans="1:56" s="252" customFormat="1" ht="59.25" customHeight="1" x14ac:dyDescent="0.2">
      <c r="A6" s="253"/>
      <c r="B6" s="253" t="s">
        <v>858</v>
      </c>
      <c r="C6" s="253" t="s">
        <v>858</v>
      </c>
      <c r="D6" s="253" t="s">
        <v>853</v>
      </c>
      <c r="E6" s="253"/>
      <c r="F6" s="254"/>
      <c r="G6" s="253" t="s">
        <v>860</v>
      </c>
      <c r="H6" s="253" t="s">
        <v>861</v>
      </c>
      <c r="I6" s="253" t="s">
        <v>871</v>
      </c>
      <c r="J6" s="255" t="s">
        <v>876</v>
      </c>
      <c r="K6" s="253" t="s">
        <v>862</v>
      </c>
      <c r="L6" s="254" t="s">
        <v>880</v>
      </c>
      <c r="M6" s="256" t="s">
        <v>873</v>
      </c>
      <c r="N6" s="256" t="s">
        <v>875</v>
      </c>
      <c r="O6" s="253" t="s">
        <v>863</v>
      </c>
      <c r="P6" s="255" t="s">
        <v>864</v>
      </c>
      <c r="Q6" s="254" t="s">
        <v>865</v>
      </c>
      <c r="R6" s="253" t="s">
        <v>866</v>
      </c>
      <c r="S6" s="256" t="s">
        <v>874</v>
      </c>
      <c r="T6" s="253" t="s">
        <v>882</v>
      </c>
      <c r="U6" s="254" t="s">
        <v>879</v>
      </c>
      <c r="V6" s="254" t="s">
        <v>879</v>
      </c>
      <c r="W6" s="256" t="s">
        <v>850</v>
      </c>
      <c r="X6" s="254" t="s">
        <v>867</v>
      </c>
      <c r="Y6" s="253"/>
      <c r="Z6" s="253"/>
      <c r="AA6" s="253"/>
      <c r="AB6" s="253" t="s">
        <v>868</v>
      </c>
      <c r="AC6" s="253"/>
      <c r="AD6" s="253"/>
      <c r="AE6" s="253"/>
      <c r="AF6" s="256" t="s">
        <v>851</v>
      </c>
      <c r="AG6" s="253"/>
      <c r="AH6" s="253"/>
      <c r="AI6" s="253"/>
      <c r="AJ6" s="253"/>
      <c r="AK6" s="253"/>
      <c r="AL6" s="253"/>
      <c r="AM6" s="253"/>
      <c r="AN6" s="253"/>
      <c r="AO6" s="253"/>
      <c r="AP6" s="253"/>
      <c r="AQ6" s="253"/>
      <c r="AR6" s="253"/>
      <c r="AS6" s="253"/>
      <c r="AT6" s="253"/>
      <c r="AU6" s="254" t="s">
        <v>869</v>
      </c>
      <c r="AV6" s="254" t="s">
        <v>859</v>
      </c>
      <c r="AW6" s="256" t="s">
        <v>854</v>
      </c>
      <c r="AX6" s="253"/>
      <c r="AY6" s="253"/>
      <c r="AZ6" s="256" t="s">
        <v>852</v>
      </c>
      <c r="BA6" s="256" t="s">
        <v>877</v>
      </c>
      <c r="BB6" s="254" t="s">
        <v>878</v>
      </c>
      <c r="BC6" s="254" t="s">
        <v>870</v>
      </c>
    </row>
    <row r="7" spans="1:56" ht="100.95" customHeight="1" x14ac:dyDescent="0.3">
      <c r="A7" s="198" t="s">
        <v>2</v>
      </c>
      <c r="B7" s="198" t="s">
        <v>3</v>
      </c>
      <c r="C7" s="198" t="s">
        <v>4</v>
      </c>
      <c r="D7" s="198" t="s">
        <v>5</v>
      </c>
      <c r="E7" s="198" t="s">
        <v>6</v>
      </c>
      <c r="F7" s="198" t="s">
        <v>7</v>
      </c>
      <c r="G7" s="198" t="s">
        <v>8</v>
      </c>
      <c r="H7" s="198" t="s">
        <v>845</v>
      </c>
      <c r="I7" s="198" t="s">
        <v>857</v>
      </c>
      <c r="J7" s="199" t="s">
        <v>872</v>
      </c>
      <c r="K7" s="200" t="s">
        <v>36</v>
      </c>
      <c r="L7" s="198" t="s">
        <v>416</v>
      </c>
      <c r="M7" s="198" t="s">
        <v>417</v>
      </c>
      <c r="N7" s="198" t="s">
        <v>846</v>
      </c>
      <c r="O7" s="198" t="s">
        <v>856</v>
      </c>
      <c r="P7" s="198" t="s">
        <v>849</v>
      </c>
      <c r="Q7" s="198" t="s">
        <v>848</v>
      </c>
      <c r="R7" s="198" t="s">
        <v>847</v>
      </c>
      <c r="S7" s="198" t="s">
        <v>9</v>
      </c>
      <c r="T7" s="198" t="s">
        <v>10</v>
      </c>
      <c r="U7" s="198" t="s">
        <v>11</v>
      </c>
      <c r="V7" s="198" t="s">
        <v>12</v>
      </c>
      <c r="W7" s="198" t="s">
        <v>13</v>
      </c>
      <c r="X7" s="198" t="s">
        <v>14</v>
      </c>
      <c r="Y7" s="198" t="s">
        <v>15</v>
      </c>
      <c r="Z7" s="198" t="s">
        <v>16</v>
      </c>
      <c r="AA7" s="198" t="s">
        <v>17</v>
      </c>
      <c r="AB7" s="198" t="s">
        <v>18</v>
      </c>
      <c r="AC7" s="198" t="s">
        <v>19</v>
      </c>
      <c r="AD7" s="198" t="s">
        <v>20</v>
      </c>
      <c r="AE7" s="198" t="s">
        <v>21</v>
      </c>
      <c r="AF7" s="198" t="s">
        <v>22</v>
      </c>
      <c r="AG7" s="201" t="s">
        <v>23</v>
      </c>
      <c r="AH7" s="202">
        <v>0.05</v>
      </c>
      <c r="AI7" s="201" t="s">
        <v>23</v>
      </c>
      <c r="AJ7" s="202">
        <v>0.1</v>
      </c>
      <c r="AK7" s="201" t="s">
        <v>23</v>
      </c>
      <c r="AL7" s="202">
        <v>0.15</v>
      </c>
      <c r="AM7" s="201" t="s">
        <v>23</v>
      </c>
      <c r="AN7" s="202">
        <v>0.2</v>
      </c>
      <c r="AO7" s="201" t="s">
        <v>23</v>
      </c>
      <c r="AP7" s="202">
        <v>0.25</v>
      </c>
      <c r="AQ7" s="201" t="s">
        <v>23</v>
      </c>
      <c r="AR7" s="202">
        <v>0.3</v>
      </c>
      <c r="AS7" s="201" t="s">
        <v>23</v>
      </c>
      <c r="AT7" s="202">
        <v>0.35</v>
      </c>
      <c r="AU7" s="198" t="s">
        <v>24</v>
      </c>
      <c r="AV7" s="198" t="s">
        <v>25</v>
      </c>
      <c r="AW7" s="198" t="s">
        <v>26</v>
      </c>
      <c r="AX7" s="198" t="s">
        <v>27</v>
      </c>
      <c r="AY7" s="198" t="s">
        <v>28</v>
      </c>
      <c r="AZ7" s="198" t="s">
        <v>35</v>
      </c>
      <c r="BA7" s="198" t="s">
        <v>27</v>
      </c>
      <c r="BB7" s="198" t="s">
        <v>421</v>
      </c>
      <c r="BC7" s="198" t="s">
        <v>29</v>
      </c>
    </row>
    <row r="8" spans="1:56" ht="24" customHeight="1" x14ac:dyDescent="0.3">
      <c r="A8" s="203">
        <v>1</v>
      </c>
      <c r="B8" s="203"/>
      <c r="C8" s="203">
        <v>2</v>
      </c>
      <c r="D8" s="203">
        <v>3</v>
      </c>
      <c r="E8" s="203"/>
      <c r="F8" s="203">
        <v>3</v>
      </c>
      <c r="G8" s="203">
        <v>4</v>
      </c>
      <c r="H8" s="203">
        <v>5</v>
      </c>
      <c r="I8" s="203"/>
      <c r="J8" s="203">
        <v>6</v>
      </c>
      <c r="K8" s="204">
        <v>7</v>
      </c>
      <c r="L8" s="203">
        <v>8</v>
      </c>
      <c r="M8" s="203">
        <v>9</v>
      </c>
      <c r="N8" s="203">
        <f t="shared" ref="N8:V8" si="0">1+M8</f>
        <v>10</v>
      </c>
      <c r="O8" s="203"/>
      <c r="P8" s="203"/>
      <c r="Q8" s="203"/>
      <c r="R8" s="203"/>
      <c r="S8" s="203">
        <f>1+N8</f>
        <v>11</v>
      </c>
      <c r="T8" s="203">
        <f t="shared" si="0"/>
        <v>12</v>
      </c>
      <c r="U8" s="203">
        <f t="shared" si="0"/>
        <v>13</v>
      </c>
      <c r="V8" s="203">
        <f t="shared" si="0"/>
        <v>14</v>
      </c>
      <c r="W8" s="203" t="s">
        <v>434</v>
      </c>
      <c r="X8" s="203">
        <v>16</v>
      </c>
      <c r="Y8" s="203"/>
      <c r="Z8" s="203"/>
      <c r="AA8" s="203"/>
      <c r="AB8" s="203">
        <f>X8+1</f>
        <v>17</v>
      </c>
      <c r="AC8" s="203">
        <f t="shared" ref="AC8:AT8" si="1">Y8+1</f>
        <v>1</v>
      </c>
      <c r="AD8" s="203">
        <f t="shared" si="1"/>
        <v>1</v>
      </c>
      <c r="AE8" s="203">
        <f t="shared" si="1"/>
        <v>1</v>
      </c>
      <c r="AF8" s="203">
        <f t="shared" si="1"/>
        <v>18</v>
      </c>
      <c r="AG8" s="203">
        <f t="shared" si="1"/>
        <v>2</v>
      </c>
      <c r="AH8" s="203">
        <f t="shared" si="1"/>
        <v>2</v>
      </c>
      <c r="AI8" s="203">
        <f t="shared" si="1"/>
        <v>2</v>
      </c>
      <c r="AJ8" s="203">
        <f t="shared" si="1"/>
        <v>19</v>
      </c>
      <c r="AK8" s="203">
        <f t="shared" si="1"/>
        <v>3</v>
      </c>
      <c r="AL8" s="203">
        <f t="shared" si="1"/>
        <v>3</v>
      </c>
      <c r="AM8" s="203">
        <f t="shared" si="1"/>
        <v>3</v>
      </c>
      <c r="AN8" s="203">
        <f t="shared" si="1"/>
        <v>20</v>
      </c>
      <c r="AO8" s="203">
        <f t="shared" si="1"/>
        <v>4</v>
      </c>
      <c r="AP8" s="203">
        <f t="shared" si="1"/>
        <v>4</v>
      </c>
      <c r="AQ8" s="203">
        <f t="shared" si="1"/>
        <v>4</v>
      </c>
      <c r="AR8" s="203">
        <f t="shared" si="1"/>
        <v>21</v>
      </c>
      <c r="AS8" s="203">
        <f t="shared" si="1"/>
        <v>5</v>
      </c>
      <c r="AT8" s="203">
        <f t="shared" si="1"/>
        <v>5</v>
      </c>
      <c r="AU8" s="203">
        <v>19</v>
      </c>
      <c r="AV8" s="203">
        <v>18</v>
      </c>
      <c r="AW8" s="203" t="s">
        <v>435</v>
      </c>
      <c r="AX8" s="203"/>
      <c r="AY8" s="203"/>
      <c r="AZ8" s="203">
        <v>21</v>
      </c>
      <c r="BA8" s="203">
        <v>22</v>
      </c>
      <c r="BB8" s="203">
        <v>23</v>
      </c>
      <c r="BC8" s="203" t="s">
        <v>436</v>
      </c>
    </row>
    <row r="9" spans="1:56" ht="36.6" customHeight="1" x14ac:dyDescent="0.3">
      <c r="A9" s="203"/>
      <c r="B9" s="203"/>
      <c r="C9" s="203"/>
      <c r="D9" s="203"/>
      <c r="E9" s="203"/>
      <c r="F9" s="203"/>
      <c r="G9" s="203" t="s">
        <v>843</v>
      </c>
      <c r="H9" s="203" t="s">
        <v>844</v>
      </c>
      <c r="I9" s="203"/>
      <c r="J9" s="203"/>
      <c r="K9" s="204"/>
      <c r="L9" s="203"/>
      <c r="M9" s="203"/>
      <c r="N9" s="203"/>
      <c r="O9" s="203"/>
      <c r="P9" s="203"/>
      <c r="Q9" s="203"/>
      <c r="R9" s="203"/>
      <c r="S9" s="203"/>
      <c r="T9" s="203"/>
      <c r="U9" s="203"/>
      <c r="V9" s="203"/>
      <c r="W9" s="203"/>
      <c r="X9" s="203"/>
      <c r="Y9" s="203"/>
      <c r="Z9" s="203"/>
      <c r="AA9" s="203"/>
      <c r="AB9" s="203"/>
      <c r="AC9" s="203"/>
      <c r="AD9" s="203"/>
      <c r="AE9" s="203"/>
      <c r="AF9" s="203"/>
      <c r="AG9" s="203"/>
      <c r="AH9" s="203"/>
      <c r="AI9" s="203"/>
      <c r="AJ9" s="203"/>
      <c r="AK9" s="203"/>
      <c r="AL9" s="203"/>
      <c r="AM9" s="203"/>
      <c r="AN9" s="203"/>
      <c r="AO9" s="203"/>
      <c r="AP9" s="203"/>
      <c r="AQ9" s="203"/>
      <c r="AR9" s="203"/>
      <c r="AS9" s="203"/>
      <c r="AT9" s="203"/>
      <c r="AU9" s="203"/>
      <c r="AV9" s="203"/>
      <c r="AW9" s="203"/>
      <c r="AX9" s="203"/>
      <c r="AY9" s="203"/>
      <c r="AZ9" s="203"/>
      <c r="BA9" s="203"/>
      <c r="BB9" s="203"/>
      <c r="BC9" s="203"/>
    </row>
    <row r="10" spans="1:56" ht="12" customHeight="1" x14ac:dyDescent="0.3">
      <c r="A10" s="205">
        <v>0</v>
      </c>
      <c r="B10" s="171" t="s">
        <v>40</v>
      </c>
      <c r="C10" s="171" t="s">
        <v>41</v>
      </c>
      <c r="D10" s="171"/>
      <c r="E10" s="172"/>
      <c r="F10" s="172">
        <v>97</v>
      </c>
      <c r="G10" s="170">
        <f t="shared" ref="G10:T10" si="2">SUM(G11:G14)</f>
        <v>20</v>
      </c>
      <c r="H10" s="245">
        <f t="shared" si="2"/>
        <v>8418500</v>
      </c>
      <c r="I10" s="170"/>
      <c r="J10" s="170">
        <f t="shared" si="2"/>
        <v>0</v>
      </c>
      <c r="K10" s="170"/>
      <c r="L10" s="170">
        <f t="shared" si="2"/>
        <v>0</v>
      </c>
      <c r="M10" s="170">
        <f t="shared" si="2"/>
        <v>0</v>
      </c>
      <c r="N10" s="170">
        <f t="shared" si="2"/>
        <v>25200000</v>
      </c>
      <c r="O10" s="170"/>
      <c r="P10" s="170"/>
      <c r="Q10" s="170"/>
      <c r="R10" s="170"/>
      <c r="S10" s="170">
        <f t="shared" si="2"/>
        <v>25200000</v>
      </c>
      <c r="T10" s="170">
        <f t="shared" si="2"/>
        <v>0</v>
      </c>
      <c r="U10" s="170">
        <f t="shared" ref="U10:BC10" si="3">SUM(U11:U14)</f>
        <v>3000000</v>
      </c>
      <c r="V10" s="170">
        <f t="shared" si="3"/>
        <v>0</v>
      </c>
      <c r="W10" s="170">
        <f t="shared" si="3"/>
        <v>28200000</v>
      </c>
      <c r="X10" s="170">
        <f t="shared" si="3"/>
        <v>883943</v>
      </c>
      <c r="Y10" s="170">
        <f t="shared" si="3"/>
        <v>0</v>
      </c>
      <c r="Z10" s="170">
        <f t="shared" si="3"/>
        <v>0</v>
      </c>
      <c r="AA10" s="170">
        <f t="shared" si="3"/>
        <v>0</v>
      </c>
      <c r="AB10" s="170">
        <f t="shared" si="3"/>
        <v>12600000</v>
      </c>
      <c r="AC10" s="170">
        <f t="shared" si="3"/>
        <v>0</v>
      </c>
      <c r="AD10" s="170">
        <f t="shared" si="3"/>
        <v>0</v>
      </c>
      <c r="AE10" s="170">
        <f t="shared" si="3"/>
        <v>0</v>
      </c>
      <c r="AF10" s="170">
        <f t="shared" si="3"/>
        <v>14716057</v>
      </c>
      <c r="AG10" s="170">
        <f t="shared" si="3"/>
        <v>0</v>
      </c>
      <c r="AH10" s="170">
        <f t="shared" si="3"/>
        <v>0</v>
      </c>
      <c r="AI10" s="170">
        <f t="shared" si="3"/>
        <v>0</v>
      </c>
      <c r="AJ10" s="170">
        <f t="shared" si="3"/>
        <v>0</v>
      </c>
      <c r="AK10" s="170">
        <f t="shared" si="3"/>
        <v>0</v>
      </c>
      <c r="AL10" s="170">
        <f t="shared" si="3"/>
        <v>0</v>
      </c>
      <c r="AM10" s="170">
        <f t="shared" si="3"/>
        <v>0</v>
      </c>
      <c r="AN10" s="170">
        <f t="shared" si="3"/>
        <v>0</v>
      </c>
      <c r="AO10" s="170">
        <f t="shared" si="3"/>
        <v>0</v>
      </c>
      <c r="AP10" s="170">
        <f t="shared" si="3"/>
        <v>0</v>
      </c>
      <c r="AQ10" s="170">
        <f t="shared" si="3"/>
        <v>0</v>
      </c>
      <c r="AR10" s="170">
        <f t="shared" si="3"/>
        <v>0</v>
      </c>
      <c r="AS10" s="170">
        <f t="shared" si="3"/>
        <v>0</v>
      </c>
      <c r="AT10" s="170">
        <f t="shared" si="3"/>
        <v>0</v>
      </c>
      <c r="AU10" s="170">
        <f t="shared" si="3"/>
        <v>1457409</v>
      </c>
      <c r="AV10" s="170">
        <f t="shared" si="3"/>
        <v>0</v>
      </c>
      <c r="AW10" s="245">
        <f t="shared" si="3"/>
        <v>25858648</v>
      </c>
      <c r="AX10" s="245">
        <f t="shared" si="3"/>
        <v>0</v>
      </c>
      <c r="AY10" s="245">
        <f t="shared" si="3"/>
        <v>0</v>
      </c>
      <c r="AZ10" s="245">
        <f>SUM(AZ11:AZ14)</f>
        <v>149000</v>
      </c>
      <c r="BA10" s="245">
        <f t="shared" si="3"/>
        <v>3000000</v>
      </c>
      <c r="BB10" s="245"/>
      <c r="BC10" s="245">
        <f t="shared" si="3"/>
        <v>22709648</v>
      </c>
      <c r="BD10" s="206"/>
    </row>
    <row r="11" spans="1:56" ht="12" customHeight="1" x14ac:dyDescent="0.3">
      <c r="A11" s="205"/>
      <c r="B11" s="171"/>
      <c r="C11" s="171"/>
      <c r="D11" s="171"/>
      <c r="E11" s="172"/>
      <c r="F11" s="172"/>
      <c r="G11" s="209"/>
      <c r="H11" s="245"/>
      <c r="I11" s="170"/>
      <c r="J11" s="170"/>
      <c r="K11" s="174"/>
      <c r="L11" s="170"/>
      <c r="M11" s="170"/>
      <c r="N11" s="170"/>
      <c r="O11" s="170"/>
      <c r="P11" s="170"/>
      <c r="Q11" s="170"/>
      <c r="R11" s="170"/>
      <c r="S11" s="170"/>
      <c r="T11" s="170"/>
      <c r="U11" s="170"/>
      <c r="V11" s="170"/>
      <c r="W11" s="170"/>
      <c r="X11" s="170"/>
      <c r="Y11" s="170"/>
      <c r="Z11" s="170"/>
      <c r="AA11" s="170"/>
      <c r="AB11" s="170"/>
      <c r="AC11" s="170"/>
      <c r="AD11" s="170"/>
      <c r="AE11" s="170"/>
      <c r="AF11" s="170"/>
      <c r="AG11" s="170"/>
      <c r="AH11" s="170"/>
      <c r="AI11" s="170"/>
      <c r="AJ11" s="170"/>
      <c r="AK11" s="170"/>
      <c r="AL11" s="170"/>
      <c r="AM11" s="170"/>
      <c r="AN11" s="170"/>
      <c r="AO11" s="170"/>
      <c r="AP11" s="170"/>
      <c r="AQ11" s="170"/>
      <c r="AR11" s="170"/>
      <c r="AS11" s="170"/>
      <c r="AT11" s="170"/>
      <c r="AU11" s="170"/>
      <c r="AV11" s="170"/>
      <c r="AW11" s="245"/>
      <c r="AX11" s="245"/>
      <c r="AY11" s="245"/>
      <c r="AZ11" s="245"/>
      <c r="BA11" s="245"/>
      <c r="BB11" s="245"/>
      <c r="BC11" s="245"/>
    </row>
    <row r="12" spans="1:56" ht="12" customHeight="1" x14ac:dyDescent="0.3">
      <c r="A12" s="205"/>
      <c r="B12" s="171"/>
      <c r="C12" s="171"/>
      <c r="D12" s="171"/>
      <c r="E12" s="172"/>
      <c r="F12" s="172"/>
      <c r="G12" s="209"/>
      <c r="H12" s="245"/>
      <c r="I12" s="170"/>
      <c r="J12" s="170"/>
      <c r="K12" s="174"/>
      <c r="L12" s="170"/>
      <c r="M12" s="170"/>
      <c r="N12" s="170"/>
      <c r="O12" s="170"/>
      <c r="P12" s="170"/>
      <c r="Q12" s="170"/>
      <c r="R12" s="170"/>
      <c r="S12" s="170"/>
      <c r="T12" s="170"/>
      <c r="U12" s="170"/>
      <c r="V12" s="170"/>
      <c r="W12" s="170"/>
      <c r="X12" s="170"/>
      <c r="Y12" s="170"/>
      <c r="Z12" s="170"/>
      <c r="AA12" s="170"/>
      <c r="AB12" s="170"/>
      <c r="AC12" s="170"/>
      <c r="AD12" s="170"/>
      <c r="AE12" s="170"/>
      <c r="AF12" s="170"/>
      <c r="AG12" s="170"/>
      <c r="AH12" s="170"/>
      <c r="AI12" s="170"/>
      <c r="AJ12" s="170"/>
      <c r="AK12" s="170"/>
      <c r="AL12" s="170"/>
      <c r="AM12" s="170"/>
      <c r="AN12" s="170"/>
      <c r="AO12" s="170"/>
      <c r="AP12" s="170"/>
      <c r="AQ12" s="170"/>
      <c r="AR12" s="170"/>
      <c r="AS12" s="170"/>
      <c r="AT12" s="170"/>
      <c r="AU12" s="170"/>
      <c r="AV12" s="170"/>
      <c r="AW12" s="245"/>
      <c r="AX12" s="245"/>
      <c r="AY12" s="245"/>
      <c r="AZ12" s="245"/>
      <c r="BA12" s="245"/>
      <c r="BB12" s="245"/>
      <c r="BC12" s="245"/>
    </row>
    <row r="13" spans="1:56" ht="12" customHeight="1" x14ac:dyDescent="0.3">
      <c r="A13" s="205"/>
      <c r="B13" s="171"/>
      <c r="C13" s="171"/>
      <c r="D13" s="171"/>
      <c r="E13" s="172"/>
      <c r="F13" s="172"/>
      <c r="G13" s="209"/>
      <c r="H13" s="245"/>
      <c r="I13" s="170"/>
      <c r="J13" s="170"/>
      <c r="K13" s="174"/>
      <c r="L13" s="170"/>
      <c r="M13" s="170"/>
      <c r="N13" s="170"/>
      <c r="O13" s="170"/>
      <c r="P13" s="170"/>
      <c r="Q13" s="170"/>
      <c r="R13" s="170"/>
      <c r="S13" s="170"/>
      <c r="T13" s="170"/>
      <c r="U13" s="170"/>
      <c r="V13" s="170"/>
      <c r="W13" s="170"/>
      <c r="X13" s="170"/>
      <c r="Y13" s="170"/>
      <c r="Z13" s="170"/>
      <c r="AA13" s="170"/>
      <c r="AB13" s="170"/>
      <c r="AC13" s="170"/>
      <c r="AD13" s="170"/>
      <c r="AE13" s="170"/>
      <c r="AF13" s="170"/>
      <c r="AG13" s="170"/>
      <c r="AH13" s="170"/>
      <c r="AI13" s="170"/>
      <c r="AJ13" s="170"/>
      <c r="AK13" s="170"/>
      <c r="AL13" s="170"/>
      <c r="AM13" s="170"/>
      <c r="AN13" s="170"/>
      <c r="AO13" s="170"/>
      <c r="AP13" s="170"/>
      <c r="AQ13" s="170"/>
      <c r="AR13" s="170"/>
      <c r="AS13" s="170"/>
      <c r="AT13" s="170"/>
      <c r="AU13" s="170"/>
      <c r="AV13" s="170"/>
      <c r="AW13" s="245"/>
      <c r="AX13" s="245"/>
      <c r="AY13" s="245"/>
      <c r="AZ13" s="245"/>
      <c r="BA13" s="245"/>
      <c r="BB13" s="245"/>
      <c r="BC13" s="245"/>
    </row>
    <row r="14" spans="1:56" ht="12" customHeight="1" x14ac:dyDescent="0.3">
      <c r="A14" s="205">
        <v>4</v>
      </c>
      <c r="B14" s="171" t="s">
        <v>51</v>
      </c>
      <c r="C14" s="171" t="s">
        <v>52</v>
      </c>
      <c r="D14" s="171" t="s">
        <v>53</v>
      </c>
      <c r="E14" s="172"/>
      <c r="F14" s="172">
        <v>21</v>
      </c>
      <c r="G14" s="209">
        <f>VLOOKUP(B14,'Bảng lương tính trên HTfast'!$B$7:$H$194,6,0)</f>
        <v>20</v>
      </c>
      <c r="H14" s="245">
        <v>8418500</v>
      </c>
      <c r="I14" s="170"/>
      <c r="J14" s="170"/>
      <c r="K14" s="174">
        <v>1</v>
      </c>
      <c r="L14" s="170"/>
      <c r="M14" s="170"/>
      <c r="N14" s="170">
        <v>25200000</v>
      </c>
      <c r="O14" s="170"/>
      <c r="P14" s="170"/>
      <c r="Q14" s="170"/>
      <c r="R14" s="170"/>
      <c r="S14" s="170">
        <v>25200000</v>
      </c>
      <c r="T14" s="170">
        <v>0</v>
      </c>
      <c r="U14" s="170">
        <f>IFERROR(VLOOKUP(B14,'BS lương'!$B$2:$M$188,9,0),0)</f>
        <v>3000000</v>
      </c>
      <c r="V14" s="170">
        <f>IFERROR(VLOOKUP(B14,'Bảng lương tính trên HTfast'!$B$7:$AV$186,14,0),0)</f>
        <v>0</v>
      </c>
      <c r="W14" s="170">
        <f t="shared" ref="W14" si="4">S14+T14+U14+V14</f>
        <v>28200000</v>
      </c>
      <c r="X14" s="170">
        <f>IFERROR(VLOOKUP(B14,'Bảng lương tính trên HTfast'!$B$7:$AV$186,16,0),0)</f>
        <v>883943</v>
      </c>
      <c r="Y14" s="170"/>
      <c r="Z14" s="170"/>
      <c r="AA14" s="170"/>
      <c r="AB14" s="170">
        <f>IFERROR(VLOOKUP(B14,'Bảng lương tính trên HTfast'!$B$7:$AV$186,20,0),0)</f>
        <v>12600000</v>
      </c>
      <c r="AC14" s="170"/>
      <c r="AD14" s="170"/>
      <c r="AE14" s="170"/>
      <c r="AF14" s="170">
        <f t="shared" ref="AF14" si="5">IF((W14-X14-AB14-T14-V14)&gt;0,(W14-X14-AB14-T14-V14),0)</f>
        <v>14716057</v>
      </c>
      <c r="AG14" s="170"/>
      <c r="AH14" s="170"/>
      <c r="AI14" s="170"/>
      <c r="AJ14" s="170"/>
      <c r="AK14" s="170"/>
      <c r="AL14" s="170"/>
      <c r="AM14" s="170"/>
      <c r="AN14" s="170"/>
      <c r="AO14" s="170"/>
      <c r="AP14" s="170"/>
      <c r="AQ14" s="170"/>
      <c r="AR14" s="170"/>
      <c r="AS14" s="170"/>
      <c r="AT14" s="170"/>
      <c r="AU14" s="170">
        <f t="shared" ref="AU14" si="6">ROUND(IF(AF14&lt;5000000,AF14*0.05,IF(AF14&lt;10000000,250000+(AF14-5000000)*0.1,IF(AF14&lt;18000000,750000+(AF14-10000000)*0.15,IF(AF14&lt;32000000,1950000+(AF14-18000000)*0.2,IF(AF14&lt;52000000,4750000+(AF14-32000000)*0.25,IF(AF14&lt;80000000,9750000+(AF14-52000000)*0.3,IF(AF14&gt;80000000,18150000+(AF14-80000000)*0.35,0))))))),0)</f>
        <v>1457409</v>
      </c>
      <c r="AV14" s="170">
        <v>0</v>
      </c>
      <c r="AW14" s="245">
        <f t="shared" ref="AW14" si="7">W14-X14-AU14</f>
        <v>25858648</v>
      </c>
      <c r="AX14" s="245"/>
      <c r="AY14" s="245"/>
      <c r="AZ14" s="245">
        <f>IF(AW14*1%&gt;149000,149000,ROUND(AW14*1%,0))</f>
        <v>149000</v>
      </c>
      <c r="BA14" s="245">
        <f>IFERROR(VLOOKUP(B14,'BS lương'!$B$2:$M$188,12,0),0)</f>
        <v>3000000</v>
      </c>
      <c r="BB14" s="245"/>
      <c r="BC14" s="245">
        <f t="shared" ref="BC14" si="8">ROUND(AW14-AZ14-BA14-BB14,0)</f>
        <v>22709648</v>
      </c>
    </row>
    <row r="15" spans="1:56" ht="12" customHeight="1" x14ac:dyDescent="0.3">
      <c r="A15" s="205">
        <v>0</v>
      </c>
      <c r="B15" s="171" t="s">
        <v>40</v>
      </c>
      <c r="C15" s="171" t="s">
        <v>54</v>
      </c>
      <c r="D15" s="207"/>
      <c r="E15" s="172"/>
      <c r="F15" s="172">
        <v>347.82</v>
      </c>
      <c r="G15" s="170">
        <f>SUM(G16:G193)</f>
        <v>60</v>
      </c>
      <c r="H15" s="245">
        <f t="shared" ref="H15" si="9">SUM(H16:H198)</f>
        <v>27184000</v>
      </c>
      <c r="I15" s="170"/>
      <c r="J15" s="170">
        <f t="shared" ref="J15" si="10">SUM(J16:J198)</f>
        <v>0.1</v>
      </c>
      <c r="K15" s="170">
        <f t="shared" ref="K15" si="11">SUM(K16:K198)</f>
        <v>3.3899999999999997</v>
      </c>
      <c r="L15" s="170">
        <f t="shared" ref="L15" si="12">SUM(L16:L198)</f>
        <v>1.3</v>
      </c>
      <c r="M15" s="170">
        <f t="shared" ref="M15" si="13">SUM(M16:M198)</f>
        <v>12112600</v>
      </c>
      <c r="N15" s="170">
        <f t="shared" ref="N15" si="14">SUM(N16:N198)</f>
        <v>3633780</v>
      </c>
      <c r="O15" s="170"/>
      <c r="P15" s="170"/>
      <c r="Q15" s="170"/>
      <c r="R15" s="170"/>
      <c r="S15" s="170">
        <f t="shared" ref="S15" si="15">SUM(S16:S198)</f>
        <v>35709960</v>
      </c>
      <c r="T15" s="170">
        <f t="shared" ref="T15" si="16">SUM(T16:T198)</f>
        <v>0</v>
      </c>
      <c r="U15" s="170">
        <f t="shared" ref="U15" si="17">SUM(U16:U198)</f>
        <v>2024432</v>
      </c>
      <c r="V15" s="170">
        <f t="shared" ref="V15" si="18">SUM(V16:V198)</f>
        <v>819545</v>
      </c>
      <c r="W15" s="170">
        <f t="shared" ref="W15" si="19">SUM(W16:W198)</f>
        <v>38553937</v>
      </c>
      <c r="X15" s="170">
        <f>SUM(X16:X198)</f>
        <v>2854320</v>
      </c>
      <c r="Y15" s="170">
        <f t="shared" ref="Y15" si="20">SUM(Y16:Y198)</f>
        <v>0</v>
      </c>
      <c r="Z15" s="170">
        <f t="shared" ref="Z15" si="21">SUM(Z16:Z198)</f>
        <v>0</v>
      </c>
      <c r="AA15" s="170">
        <f t="shared" ref="AA15" si="22">SUM(AA16:AA198)</f>
        <v>0</v>
      </c>
      <c r="AB15" s="170">
        <f t="shared" ref="AB15" si="23">SUM(AB16:AB198)</f>
        <v>30600000</v>
      </c>
      <c r="AC15" s="170">
        <f t="shared" ref="AC15" si="24">SUM(AC16:AC198)</f>
        <v>0</v>
      </c>
      <c r="AD15" s="170">
        <f t="shared" ref="AD15" si="25">SUM(AD16:AD198)</f>
        <v>0</v>
      </c>
      <c r="AE15" s="170">
        <f t="shared" ref="AE15" si="26">SUM(AE16:AE198)</f>
        <v>0</v>
      </c>
      <c r="AF15" s="170">
        <f t="shared" ref="AF15" si="27">SUM(AF16:AF198)</f>
        <v>4785392</v>
      </c>
      <c r="AG15" s="170">
        <f t="shared" ref="AG15" si="28">SUM(AG16:AG198)</f>
        <v>0</v>
      </c>
      <c r="AH15" s="170">
        <f t="shared" ref="AH15" si="29">SUM(AH16:AH198)</f>
        <v>0</v>
      </c>
      <c r="AI15" s="170">
        <f t="shared" ref="AI15" si="30">SUM(AI16:AI198)</f>
        <v>0</v>
      </c>
      <c r="AJ15" s="170">
        <f t="shared" ref="AJ15" si="31">SUM(AJ16:AJ198)</f>
        <v>0</v>
      </c>
      <c r="AK15" s="170">
        <f t="shared" ref="AK15" si="32">SUM(AK16:AK198)</f>
        <v>0</v>
      </c>
      <c r="AL15" s="170">
        <f t="shared" ref="AL15" si="33">SUM(AL16:AL198)</f>
        <v>0</v>
      </c>
      <c r="AM15" s="170">
        <f t="shared" ref="AM15" si="34">SUM(AM16:AM198)</f>
        <v>0</v>
      </c>
      <c r="AN15" s="170">
        <f t="shared" ref="AN15" si="35">SUM(AN16:AN198)</f>
        <v>0</v>
      </c>
      <c r="AO15" s="170">
        <f t="shared" ref="AO15" si="36">SUM(AO16:AO198)</f>
        <v>0</v>
      </c>
      <c r="AP15" s="170">
        <f t="shared" ref="AP15" si="37">SUM(AP16:AP198)</f>
        <v>0</v>
      </c>
      <c r="AQ15" s="170">
        <f t="shared" ref="AQ15" si="38">SUM(AQ16:AQ198)</f>
        <v>0</v>
      </c>
      <c r="AR15" s="170">
        <f t="shared" ref="AR15" si="39">SUM(AR16:AR198)</f>
        <v>0</v>
      </c>
      <c r="AS15" s="170">
        <f t="shared" ref="AS15" si="40">SUM(AS16:AS198)</f>
        <v>0</v>
      </c>
      <c r="AT15" s="170">
        <f t="shared" ref="AT15" si="41">SUM(AT16:AT198)</f>
        <v>0</v>
      </c>
      <c r="AU15" s="170">
        <f t="shared" ref="AU15" si="42">SUM(AU16:AU198)</f>
        <v>239270</v>
      </c>
      <c r="AV15" s="170">
        <f t="shared" ref="AV15" si="43">SUM(AV16:AV198)</f>
        <v>0</v>
      </c>
      <c r="AW15" s="245">
        <f t="shared" ref="AW15" si="44">SUM(AW16:AW198)</f>
        <v>35460347</v>
      </c>
      <c r="AX15" s="245">
        <f t="shared" ref="AX15" si="45">SUM(AX16:AX198)</f>
        <v>0</v>
      </c>
      <c r="AY15" s="245">
        <f t="shared" ref="AY15" si="46">SUM(AY16:AY198)</f>
        <v>0</v>
      </c>
      <c r="AZ15" s="245">
        <f t="shared" ref="AZ15" si="47">SUM(AZ16:AZ198)</f>
        <v>324855</v>
      </c>
      <c r="BA15" s="245">
        <f t="shared" ref="BA15" si="48">SUM(BA16:BA198)</f>
        <v>1000000</v>
      </c>
      <c r="BB15" s="245">
        <f t="shared" ref="BB15" si="49">SUM(BB16:BB198)</f>
        <v>0</v>
      </c>
      <c r="BC15" s="245">
        <f t="shared" ref="BC15" si="50">SUM(BC16:BC198)</f>
        <v>34135492</v>
      </c>
    </row>
    <row r="16" spans="1:56" ht="12" customHeight="1" x14ac:dyDescent="0.3">
      <c r="A16" s="205">
        <v>0</v>
      </c>
      <c r="B16" s="171" t="s">
        <v>40</v>
      </c>
      <c r="C16" s="171" t="s">
        <v>55</v>
      </c>
      <c r="D16" s="171"/>
      <c r="E16" s="172"/>
      <c r="F16" s="172"/>
      <c r="G16" s="209"/>
      <c r="H16" s="245"/>
      <c r="I16" s="170"/>
      <c r="J16" s="173"/>
      <c r="K16" s="174"/>
      <c r="L16" s="170"/>
      <c r="M16" s="170"/>
      <c r="N16" s="170"/>
      <c r="O16" s="170"/>
      <c r="P16" s="170"/>
      <c r="Q16" s="170"/>
      <c r="R16" s="170"/>
      <c r="S16" s="170"/>
      <c r="T16" s="170"/>
      <c r="U16" s="170"/>
      <c r="V16" s="170"/>
      <c r="W16" s="170"/>
      <c r="X16" s="170"/>
      <c r="Y16" s="170"/>
      <c r="Z16" s="170"/>
      <c r="AA16" s="170"/>
      <c r="AB16" s="170"/>
      <c r="AC16" s="170"/>
      <c r="AD16" s="170"/>
      <c r="AE16" s="170"/>
      <c r="AF16" s="170"/>
      <c r="AG16" s="170"/>
      <c r="AH16" s="170"/>
      <c r="AI16" s="170"/>
      <c r="AJ16" s="170"/>
      <c r="AK16" s="170"/>
      <c r="AL16" s="170"/>
      <c r="AM16" s="170"/>
      <c r="AN16" s="170"/>
      <c r="AO16" s="170"/>
      <c r="AP16" s="170"/>
      <c r="AQ16" s="170"/>
      <c r="AR16" s="170"/>
      <c r="AS16" s="170"/>
      <c r="AT16" s="170"/>
      <c r="AU16" s="170"/>
      <c r="AV16" s="170"/>
      <c r="AW16" s="245"/>
      <c r="AX16" s="245"/>
      <c r="AY16" s="245"/>
      <c r="AZ16" s="245"/>
      <c r="BA16" s="245"/>
      <c r="BB16" s="245"/>
      <c r="BC16" s="245"/>
      <c r="BD16" s="206"/>
    </row>
    <row r="17" spans="1:55" s="210" customFormat="1" ht="12" customHeight="1" x14ac:dyDescent="0.3">
      <c r="A17" s="205"/>
      <c r="B17" s="171"/>
      <c r="C17" s="171"/>
      <c r="D17" s="171"/>
      <c r="E17" s="208"/>
      <c r="F17" s="208"/>
      <c r="G17" s="209"/>
      <c r="H17" s="245"/>
      <c r="I17" s="170"/>
      <c r="J17" s="173"/>
      <c r="K17" s="174"/>
      <c r="L17" s="173"/>
      <c r="M17" s="170"/>
      <c r="N17" s="170"/>
      <c r="O17" s="170"/>
      <c r="P17" s="170"/>
      <c r="Q17" s="170"/>
      <c r="R17" s="170"/>
      <c r="S17" s="170"/>
      <c r="T17" s="170"/>
      <c r="U17" s="170"/>
      <c r="V17" s="170"/>
      <c r="W17" s="170"/>
      <c r="X17" s="170"/>
      <c r="Y17" s="170"/>
      <c r="Z17" s="170"/>
      <c r="AA17" s="170"/>
      <c r="AB17" s="170"/>
      <c r="AC17" s="170"/>
      <c r="AD17" s="170"/>
      <c r="AE17" s="170"/>
      <c r="AF17" s="170"/>
      <c r="AG17" s="170"/>
      <c r="AH17" s="170"/>
      <c r="AI17" s="170"/>
      <c r="AJ17" s="170"/>
      <c r="AK17" s="170"/>
      <c r="AL17" s="170"/>
      <c r="AM17" s="170"/>
      <c r="AN17" s="170"/>
      <c r="AO17" s="170"/>
      <c r="AP17" s="170"/>
      <c r="AQ17" s="170"/>
      <c r="AR17" s="170"/>
      <c r="AS17" s="170"/>
      <c r="AT17" s="170"/>
      <c r="AU17" s="170"/>
      <c r="AV17" s="170"/>
      <c r="AW17" s="245"/>
      <c r="AX17" s="245"/>
      <c r="AY17" s="245"/>
      <c r="AZ17" s="245"/>
      <c r="BA17" s="245"/>
      <c r="BB17" s="245"/>
      <c r="BC17" s="245"/>
    </row>
    <row r="18" spans="1:55" ht="12" customHeight="1" x14ac:dyDescent="0.3">
      <c r="A18" s="205"/>
      <c r="B18" s="171"/>
      <c r="C18" s="171"/>
      <c r="D18" s="171"/>
      <c r="E18" s="172"/>
      <c r="F18" s="172"/>
      <c r="G18" s="209"/>
      <c r="H18" s="245"/>
      <c r="I18" s="170"/>
      <c r="J18" s="173"/>
      <c r="K18" s="174"/>
      <c r="L18" s="173"/>
      <c r="M18" s="170"/>
      <c r="N18" s="170"/>
      <c r="O18" s="170"/>
      <c r="P18" s="170"/>
      <c r="Q18" s="170"/>
      <c r="R18" s="170"/>
      <c r="S18" s="170"/>
      <c r="T18" s="170"/>
      <c r="U18" s="170"/>
      <c r="V18" s="170"/>
      <c r="W18" s="170"/>
      <c r="X18" s="170"/>
      <c r="Y18" s="170"/>
      <c r="Z18" s="170"/>
      <c r="AA18" s="170"/>
      <c r="AB18" s="170"/>
      <c r="AC18" s="170"/>
      <c r="AD18" s="170"/>
      <c r="AE18" s="170"/>
      <c r="AF18" s="170"/>
      <c r="AG18" s="170"/>
      <c r="AH18" s="170"/>
      <c r="AI18" s="170"/>
      <c r="AJ18" s="170"/>
      <c r="AK18" s="170"/>
      <c r="AL18" s="170"/>
      <c r="AM18" s="170"/>
      <c r="AN18" s="170"/>
      <c r="AO18" s="170"/>
      <c r="AP18" s="170"/>
      <c r="AQ18" s="170"/>
      <c r="AR18" s="170"/>
      <c r="AS18" s="170"/>
      <c r="AT18" s="170"/>
      <c r="AU18" s="170"/>
      <c r="AV18" s="170"/>
      <c r="AW18" s="245"/>
      <c r="AX18" s="245"/>
      <c r="AY18" s="245"/>
      <c r="AZ18" s="245"/>
      <c r="BA18" s="245"/>
      <c r="BB18" s="245"/>
      <c r="BC18" s="245"/>
    </row>
    <row r="19" spans="1:55" ht="12" customHeight="1" x14ac:dyDescent="0.3">
      <c r="A19" s="205"/>
      <c r="B19" s="171"/>
      <c r="C19" s="171"/>
      <c r="D19" s="171"/>
      <c r="E19" s="172"/>
      <c r="F19" s="172"/>
      <c r="G19" s="209"/>
      <c r="H19" s="245"/>
      <c r="I19" s="170"/>
      <c r="J19" s="173"/>
      <c r="K19" s="174"/>
      <c r="L19" s="173"/>
      <c r="M19" s="170"/>
      <c r="N19" s="170"/>
      <c r="O19" s="170"/>
      <c r="P19" s="170"/>
      <c r="Q19" s="170"/>
      <c r="R19" s="170"/>
      <c r="S19" s="170"/>
      <c r="T19" s="170"/>
      <c r="U19" s="170"/>
      <c r="V19" s="170"/>
      <c r="W19" s="170"/>
      <c r="X19" s="170"/>
      <c r="Y19" s="170"/>
      <c r="Z19" s="170"/>
      <c r="AA19" s="170"/>
      <c r="AB19" s="170"/>
      <c r="AC19" s="170"/>
      <c r="AD19" s="170"/>
      <c r="AE19" s="170"/>
      <c r="AF19" s="170"/>
      <c r="AG19" s="170"/>
      <c r="AH19" s="170"/>
      <c r="AI19" s="170"/>
      <c r="AJ19" s="170"/>
      <c r="AK19" s="170"/>
      <c r="AL19" s="170"/>
      <c r="AM19" s="170"/>
      <c r="AN19" s="170"/>
      <c r="AO19" s="170"/>
      <c r="AP19" s="170"/>
      <c r="AQ19" s="170"/>
      <c r="AR19" s="170"/>
      <c r="AS19" s="170"/>
      <c r="AT19" s="170"/>
      <c r="AU19" s="170"/>
      <c r="AV19" s="170"/>
      <c r="AW19" s="245"/>
      <c r="AX19" s="245"/>
      <c r="AY19" s="245"/>
      <c r="AZ19" s="245"/>
      <c r="BA19" s="245"/>
      <c r="BB19" s="245"/>
      <c r="BC19" s="245"/>
    </row>
    <row r="20" spans="1:55" ht="12" customHeight="1" x14ac:dyDescent="0.3">
      <c r="A20" s="205"/>
      <c r="B20" s="171"/>
      <c r="C20" s="171"/>
      <c r="D20" s="171"/>
      <c r="E20" s="172"/>
      <c r="F20" s="172"/>
      <c r="G20" s="209"/>
      <c r="H20" s="245"/>
      <c r="I20" s="170"/>
      <c r="J20" s="173"/>
      <c r="K20" s="174"/>
      <c r="L20" s="173"/>
      <c r="M20" s="170"/>
      <c r="N20" s="170"/>
      <c r="O20" s="170"/>
      <c r="P20" s="170"/>
      <c r="Q20" s="170"/>
      <c r="R20" s="170"/>
      <c r="S20" s="170"/>
      <c r="T20" s="170"/>
      <c r="U20" s="170"/>
      <c r="V20" s="170"/>
      <c r="W20" s="170"/>
      <c r="X20" s="170"/>
      <c r="Y20" s="170"/>
      <c r="Z20" s="170"/>
      <c r="AA20" s="170"/>
      <c r="AB20" s="170"/>
      <c r="AC20" s="170"/>
      <c r="AD20" s="170"/>
      <c r="AE20" s="170"/>
      <c r="AF20" s="170"/>
      <c r="AG20" s="170"/>
      <c r="AH20" s="170"/>
      <c r="AI20" s="170"/>
      <c r="AJ20" s="170"/>
      <c r="AK20" s="170"/>
      <c r="AL20" s="170"/>
      <c r="AM20" s="170"/>
      <c r="AN20" s="170"/>
      <c r="AO20" s="170"/>
      <c r="AP20" s="170"/>
      <c r="AQ20" s="170"/>
      <c r="AR20" s="170"/>
      <c r="AS20" s="170"/>
      <c r="AT20" s="170"/>
      <c r="AU20" s="170"/>
      <c r="AV20" s="170"/>
      <c r="AW20" s="245"/>
      <c r="AX20" s="245"/>
      <c r="AY20" s="245"/>
      <c r="AZ20" s="245"/>
      <c r="BA20" s="245"/>
      <c r="BB20" s="245"/>
      <c r="BC20" s="245"/>
    </row>
    <row r="21" spans="1:55" ht="12" customHeight="1" x14ac:dyDescent="0.3">
      <c r="A21" s="205"/>
      <c r="B21" s="171"/>
      <c r="C21" s="171"/>
      <c r="D21" s="171"/>
      <c r="E21" s="172"/>
      <c r="F21" s="172"/>
      <c r="G21" s="209"/>
      <c r="H21" s="245"/>
      <c r="I21" s="170"/>
      <c r="J21" s="173"/>
      <c r="K21" s="174"/>
      <c r="L21" s="173"/>
      <c r="M21" s="170"/>
      <c r="N21" s="170"/>
      <c r="O21" s="170"/>
      <c r="P21" s="170"/>
      <c r="Q21" s="170"/>
      <c r="R21" s="170"/>
      <c r="S21" s="170"/>
      <c r="T21" s="170"/>
      <c r="U21" s="170"/>
      <c r="V21" s="170"/>
      <c r="W21" s="170"/>
      <c r="X21" s="170"/>
      <c r="Y21" s="170"/>
      <c r="Z21" s="170"/>
      <c r="AA21" s="170"/>
      <c r="AB21" s="170"/>
      <c r="AC21" s="170"/>
      <c r="AD21" s="170"/>
      <c r="AE21" s="170"/>
      <c r="AF21" s="170"/>
      <c r="AG21" s="170"/>
      <c r="AH21" s="170"/>
      <c r="AI21" s="170"/>
      <c r="AJ21" s="170"/>
      <c r="AK21" s="170"/>
      <c r="AL21" s="170"/>
      <c r="AM21" s="170"/>
      <c r="AN21" s="170"/>
      <c r="AO21" s="170"/>
      <c r="AP21" s="170"/>
      <c r="AQ21" s="170"/>
      <c r="AR21" s="170"/>
      <c r="AS21" s="170"/>
      <c r="AT21" s="170"/>
      <c r="AU21" s="170"/>
      <c r="AV21" s="170"/>
      <c r="AW21" s="245"/>
      <c r="AX21" s="245"/>
      <c r="AY21" s="245"/>
      <c r="AZ21" s="245"/>
      <c r="BA21" s="245"/>
      <c r="BB21" s="245"/>
      <c r="BC21" s="245"/>
    </row>
    <row r="22" spans="1:55" ht="12" customHeight="1" x14ac:dyDescent="0.3">
      <c r="A22" s="205"/>
      <c r="B22" s="171"/>
      <c r="C22" s="171"/>
      <c r="D22" s="171"/>
      <c r="E22" s="172"/>
      <c r="F22" s="172"/>
      <c r="G22" s="209"/>
      <c r="H22" s="245"/>
      <c r="I22" s="170"/>
      <c r="J22" s="173"/>
      <c r="K22" s="174"/>
      <c r="L22" s="173"/>
      <c r="M22" s="170"/>
      <c r="N22" s="170"/>
      <c r="O22" s="170"/>
      <c r="P22" s="170"/>
      <c r="Q22" s="170"/>
      <c r="R22" s="170"/>
      <c r="S22" s="170"/>
      <c r="T22" s="170"/>
      <c r="U22" s="170"/>
      <c r="V22" s="170"/>
      <c r="W22" s="170"/>
      <c r="X22" s="170"/>
      <c r="Y22" s="170"/>
      <c r="Z22" s="170"/>
      <c r="AA22" s="170"/>
      <c r="AB22" s="170"/>
      <c r="AC22" s="170"/>
      <c r="AD22" s="170"/>
      <c r="AE22" s="170"/>
      <c r="AF22" s="170"/>
      <c r="AG22" s="170"/>
      <c r="AH22" s="170"/>
      <c r="AI22" s="170"/>
      <c r="AJ22" s="170"/>
      <c r="AK22" s="170"/>
      <c r="AL22" s="170"/>
      <c r="AM22" s="170"/>
      <c r="AN22" s="170"/>
      <c r="AO22" s="170"/>
      <c r="AP22" s="170"/>
      <c r="AQ22" s="170"/>
      <c r="AR22" s="170"/>
      <c r="AS22" s="170"/>
      <c r="AT22" s="170"/>
      <c r="AU22" s="170"/>
      <c r="AV22" s="170"/>
      <c r="AW22" s="245"/>
      <c r="AX22" s="245"/>
      <c r="AY22" s="245"/>
      <c r="AZ22" s="245"/>
      <c r="BA22" s="245"/>
      <c r="BB22" s="245"/>
      <c r="BC22" s="245"/>
    </row>
    <row r="23" spans="1:55" ht="12" customHeight="1" x14ac:dyDescent="0.3">
      <c r="A23" s="205"/>
      <c r="B23" s="171"/>
      <c r="C23" s="171"/>
      <c r="D23" s="171"/>
      <c r="E23" s="172"/>
      <c r="F23" s="172"/>
      <c r="G23" s="209"/>
      <c r="H23" s="245"/>
      <c r="I23" s="170"/>
      <c r="J23" s="173"/>
      <c r="K23" s="174"/>
      <c r="L23" s="173"/>
      <c r="M23" s="170"/>
      <c r="N23" s="170"/>
      <c r="O23" s="170"/>
      <c r="P23" s="170"/>
      <c r="Q23" s="170"/>
      <c r="R23" s="170"/>
      <c r="S23" s="170"/>
      <c r="T23" s="170"/>
      <c r="U23" s="170"/>
      <c r="V23" s="170"/>
      <c r="W23" s="170"/>
      <c r="X23" s="170"/>
      <c r="Y23" s="170"/>
      <c r="Z23" s="170"/>
      <c r="AA23" s="170"/>
      <c r="AB23" s="170"/>
      <c r="AC23" s="170"/>
      <c r="AD23" s="170"/>
      <c r="AE23" s="170"/>
      <c r="AF23" s="170"/>
      <c r="AG23" s="170"/>
      <c r="AH23" s="170"/>
      <c r="AI23" s="170"/>
      <c r="AJ23" s="170"/>
      <c r="AK23" s="170"/>
      <c r="AL23" s="170"/>
      <c r="AM23" s="170"/>
      <c r="AN23" s="170"/>
      <c r="AO23" s="170"/>
      <c r="AP23" s="170"/>
      <c r="AQ23" s="170"/>
      <c r="AR23" s="170"/>
      <c r="AS23" s="170"/>
      <c r="AT23" s="170"/>
      <c r="AU23" s="170"/>
      <c r="AV23" s="170"/>
      <c r="AW23" s="245"/>
      <c r="AX23" s="245"/>
      <c r="AY23" s="245"/>
      <c r="AZ23" s="245"/>
      <c r="BA23" s="245"/>
      <c r="BB23" s="245"/>
      <c r="BC23" s="245"/>
    </row>
    <row r="24" spans="1:55" ht="12" customHeight="1" x14ac:dyDescent="0.3">
      <c r="A24" s="205"/>
      <c r="B24" s="171"/>
      <c r="C24" s="171"/>
      <c r="D24" s="171"/>
      <c r="E24" s="172"/>
      <c r="F24" s="172"/>
      <c r="G24" s="209"/>
      <c r="H24" s="245"/>
      <c r="I24" s="170"/>
      <c r="J24" s="173"/>
      <c r="K24" s="174"/>
      <c r="L24" s="173"/>
      <c r="M24" s="170"/>
      <c r="N24" s="170"/>
      <c r="O24" s="170"/>
      <c r="P24" s="170"/>
      <c r="Q24" s="170"/>
      <c r="R24" s="170"/>
      <c r="S24" s="170"/>
      <c r="T24" s="170"/>
      <c r="U24" s="170"/>
      <c r="V24" s="170"/>
      <c r="W24" s="170"/>
      <c r="X24" s="170"/>
      <c r="Y24" s="170"/>
      <c r="Z24" s="170"/>
      <c r="AA24" s="170"/>
      <c r="AB24" s="170"/>
      <c r="AC24" s="170"/>
      <c r="AD24" s="170"/>
      <c r="AE24" s="170"/>
      <c r="AF24" s="170"/>
      <c r="AG24" s="170"/>
      <c r="AH24" s="170"/>
      <c r="AI24" s="170"/>
      <c r="AJ24" s="170"/>
      <c r="AK24" s="170"/>
      <c r="AL24" s="170"/>
      <c r="AM24" s="170"/>
      <c r="AN24" s="170"/>
      <c r="AO24" s="170"/>
      <c r="AP24" s="170"/>
      <c r="AQ24" s="170"/>
      <c r="AR24" s="170"/>
      <c r="AS24" s="170"/>
      <c r="AT24" s="170"/>
      <c r="AU24" s="170"/>
      <c r="AV24" s="170"/>
      <c r="AW24" s="245"/>
      <c r="AX24" s="245"/>
      <c r="AY24" s="245"/>
      <c r="AZ24" s="245"/>
      <c r="BA24" s="245"/>
      <c r="BB24" s="245"/>
      <c r="BC24" s="245"/>
    </row>
    <row r="25" spans="1:55" ht="12" customHeight="1" x14ac:dyDescent="0.3">
      <c r="A25" s="205"/>
      <c r="B25" s="171"/>
      <c r="C25" s="171"/>
      <c r="D25" s="171"/>
      <c r="E25" s="172"/>
      <c r="F25" s="172"/>
      <c r="G25" s="209"/>
      <c r="H25" s="245"/>
      <c r="I25" s="170"/>
      <c r="J25" s="173"/>
      <c r="K25" s="174"/>
      <c r="L25" s="173"/>
      <c r="M25" s="170"/>
      <c r="N25" s="170"/>
      <c r="O25" s="170"/>
      <c r="P25" s="170"/>
      <c r="Q25" s="170"/>
      <c r="R25" s="170"/>
      <c r="S25" s="170"/>
      <c r="T25" s="170"/>
      <c r="U25" s="170"/>
      <c r="V25" s="170"/>
      <c r="W25" s="170"/>
      <c r="X25" s="170"/>
      <c r="Y25" s="170"/>
      <c r="Z25" s="170"/>
      <c r="AA25" s="170"/>
      <c r="AB25" s="170"/>
      <c r="AC25" s="170"/>
      <c r="AD25" s="170"/>
      <c r="AE25" s="170"/>
      <c r="AF25" s="170"/>
      <c r="AG25" s="170"/>
      <c r="AH25" s="170"/>
      <c r="AI25" s="170"/>
      <c r="AJ25" s="170"/>
      <c r="AK25" s="170"/>
      <c r="AL25" s="170"/>
      <c r="AM25" s="170"/>
      <c r="AN25" s="170"/>
      <c r="AO25" s="170"/>
      <c r="AP25" s="170"/>
      <c r="AQ25" s="170"/>
      <c r="AR25" s="170"/>
      <c r="AS25" s="170"/>
      <c r="AT25" s="170"/>
      <c r="AU25" s="170"/>
      <c r="AV25" s="170"/>
      <c r="AW25" s="245"/>
      <c r="AX25" s="245"/>
      <c r="AY25" s="245"/>
      <c r="AZ25" s="245"/>
      <c r="BA25" s="245"/>
      <c r="BB25" s="245"/>
      <c r="BC25" s="245"/>
    </row>
    <row r="26" spans="1:55" ht="12" customHeight="1" x14ac:dyDescent="0.3">
      <c r="A26" s="205">
        <f t="shared" ref="A26:A27" si="51">A25+1</f>
        <v>1</v>
      </c>
      <c r="B26" s="171" t="s">
        <v>75</v>
      </c>
      <c r="C26" s="171" t="s">
        <v>76</v>
      </c>
      <c r="D26" s="171" t="s">
        <v>66</v>
      </c>
      <c r="E26" s="172"/>
      <c r="F26" s="172">
        <v>1.85</v>
      </c>
      <c r="G26" s="209">
        <f>VLOOKUP(B26,'Bảng lương tính trên HTfast'!$B$13:$H$194,6,0)</f>
        <v>20</v>
      </c>
      <c r="H26" s="245">
        <f>VLOOKUP(B26,'Bảng lương tính trên HTfast'!$B$13:$H$194,7,0)</f>
        <v>7841000</v>
      </c>
      <c r="I26" s="170"/>
      <c r="J26" s="173">
        <f>IFERROR(VLOOKUP(B26,'Luong vitri'!$C$6:$O$179,10,0),0)</f>
        <v>0</v>
      </c>
      <c r="K26" s="174">
        <f>VLOOKUP(B26,'Bảng lương tính trên HTfast'!$B$13:$I$194,8,0)</f>
        <v>1.1299999999999999</v>
      </c>
      <c r="L26" s="173">
        <f>IFERROR(VLOOKUP(B26,'Luong vitri'!$C$6:$O$187,12,0),0)</f>
        <v>0.45</v>
      </c>
      <c r="M26" s="170">
        <f>ROUND((H26+H26*J26)*L26,0)</f>
        <v>3528450</v>
      </c>
      <c r="N26" s="170">
        <f>ROUND(M26*0.3,0)</f>
        <v>1058535</v>
      </c>
      <c r="O26" s="170"/>
      <c r="P26" s="170"/>
      <c r="Q26" s="170"/>
      <c r="R26" s="170"/>
      <c r="S26" s="170">
        <f>ROUND((H26+H26*J26)*K26+N26,0)</f>
        <v>9918865</v>
      </c>
      <c r="T26" s="170">
        <f>IFERROR(VLOOKUP(B26,'Bảng lương tính trên HTfast'!$B$13:$O$194,12,0),0)</f>
        <v>0</v>
      </c>
      <c r="U26" s="170">
        <f>IFERROR(VLOOKUP(B26,'BS lương'!$B$2:$M$188,9,0),0)</f>
        <v>0</v>
      </c>
      <c r="V26" s="170">
        <f>IFERROR(VLOOKUP(B26,'BS lương'!$B$2:$M$188,10,0),0)</f>
        <v>0</v>
      </c>
      <c r="W26" s="170">
        <f>S26+T26+U26+V26</f>
        <v>9918865</v>
      </c>
      <c r="X26" s="170">
        <f>IFERROR(VLOOKUP(B26,'Bảng lương tính trên HTfast'!$B$13:$U$194,16,0),0)</f>
        <v>823305</v>
      </c>
      <c r="Y26" s="170"/>
      <c r="Z26" s="170"/>
      <c r="AA26" s="170"/>
      <c r="AB26" s="170">
        <f>IFERROR(VLOOKUP(B26,'Bảng lương tính trên HTfast'!$B$13:$U$190,20,0),0)</f>
        <v>9000000</v>
      </c>
      <c r="AC26" s="170"/>
      <c r="AD26" s="170"/>
      <c r="AE26" s="170"/>
      <c r="AF26" s="170">
        <f>IF((W26-X26-AB26-T26-V26)&gt;0,(W26-X26-AB26-T26-V26),0)</f>
        <v>95560</v>
      </c>
      <c r="AG26" s="170"/>
      <c r="AH26" s="170"/>
      <c r="AI26" s="170"/>
      <c r="AJ26" s="170"/>
      <c r="AK26" s="170"/>
      <c r="AL26" s="170"/>
      <c r="AM26" s="170"/>
      <c r="AN26" s="170"/>
      <c r="AO26" s="170"/>
      <c r="AP26" s="170"/>
      <c r="AQ26" s="170"/>
      <c r="AR26" s="170"/>
      <c r="AS26" s="170"/>
      <c r="AT26" s="170"/>
      <c r="AU26" s="170">
        <f>ROUND(IF(AF26&lt;5000000,AF26*0.05,IF(AF26&lt;10000000,250000+(AF26-5000000)*0.1,IF(AF26&lt;18000000,750000+(AF26-10000000)*0.15,IF(AF26&lt;32000000,1950000+(AF26-18000000)*0.2,IF(AF26&lt;52000000,4750000+(AF26-32000000)*0.25,IF(AF26&lt;80000000,9750000+(AF26-52000000)*0.3,IF(AF26&gt;80000000,18150000+(AF26-80000000)*0.35,0))))))),0)</f>
        <v>4778</v>
      </c>
      <c r="AV26" s="170"/>
      <c r="AW26" s="245">
        <f>W26-X26-AU26</f>
        <v>9090782</v>
      </c>
      <c r="AX26" s="245"/>
      <c r="AY26" s="245"/>
      <c r="AZ26" s="245">
        <f>IF(G26&gt;0,IF(AW26*1%&gt;149000,149000,ROUND(AW26*1%,0)),0)</f>
        <v>90908</v>
      </c>
      <c r="BA26" s="245">
        <f>IFERROR(VLOOKUP(B26,'BS lương'!$B$2:$M$188,12,0),0)</f>
        <v>0</v>
      </c>
      <c r="BB26" s="245"/>
      <c r="BC26" s="245">
        <f>AW26-AZ26-BA26-BB26</f>
        <v>8999874</v>
      </c>
    </row>
    <row r="27" spans="1:55" ht="12" customHeight="1" x14ac:dyDescent="0.3">
      <c r="A27" s="205">
        <f t="shared" si="51"/>
        <v>2</v>
      </c>
      <c r="B27" s="171" t="s">
        <v>803</v>
      </c>
      <c r="C27" s="171" t="s">
        <v>804</v>
      </c>
      <c r="D27" s="171" t="s">
        <v>66</v>
      </c>
      <c r="E27" s="172"/>
      <c r="F27" s="172">
        <v>15.51</v>
      </c>
      <c r="G27" s="209">
        <f>VLOOKUP(B27,'Bảng lương tính trên HTfast'!$B$13:$H$194,6,0)</f>
        <v>20</v>
      </c>
      <c r="H27" s="245">
        <f>VLOOKUP(B27,'Bảng lương tính trên HTfast'!$B$13:$H$194,7,0)</f>
        <v>7323000</v>
      </c>
      <c r="I27" s="170"/>
      <c r="J27" s="173">
        <f>IFERROR(VLOOKUP(B27,'Luong vitri'!$C$6:$O$179,10,0),0)</f>
        <v>0</v>
      </c>
      <c r="K27" s="174">
        <f>VLOOKUP(B27,'Bảng lương tính trên HTfast'!$B$13:$I$194,8,0)</f>
        <v>1.1299999999999999</v>
      </c>
      <c r="L27" s="173">
        <f>IFERROR(VLOOKUP(B27,'Luong vitri'!$C$6:$O$187,12,0),0)</f>
        <v>0.45</v>
      </c>
      <c r="M27" s="170">
        <f t="shared" ref="M27:M29" si="52">ROUND((H27+H27*J27)*L27,0)</f>
        <v>3295350</v>
      </c>
      <c r="N27" s="170">
        <f t="shared" ref="N27:N29" si="53">ROUND(M27*0.3,0)</f>
        <v>988605</v>
      </c>
      <c r="O27" s="170"/>
      <c r="P27" s="170"/>
      <c r="Q27" s="170"/>
      <c r="R27" s="170"/>
      <c r="S27" s="170">
        <f>ROUND((H27+H27*J27)*K27+N27,0)</f>
        <v>9263595</v>
      </c>
      <c r="T27" s="170">
        <f>IFERROR(VLOOKUP(B27,'Bảng lương tính trên HTfast'!$B$13:$O$194,12,0),0)</f>
        <v>0</v>
      </c>
      <c r="U27" s="170">
        <f>IFERROR(VLOOKUP(B27,'BS lương'!$B$2:$M$188,9,0),0)</f>
        <v>0</v>
      </c>
      <c r="V27" s="170">
        <f>IFERROR(VLOOKUP(B27,'BS lương'!$B$2:$M$188,10,0),0)</f>
        <v>0</v>
      </c>
      <c r="W27" s="170">
        <f t="shared" ref="W27:W29" si="54">S27+T27+U27+V27</f>
        <v>9263595</v>
      </c>
      <c r="X27" s="170">
        <f>IFERROR(VLOOKUP(B27,'Bảng lương tính trên HTfast'!$B$13:$U$194,16,0),0)</f>
        <v>768915</v>
      </c>
      <c r="Y27" s="170"/>
      <c r="Z27" s="170"/>
      <c r="AA27" s="170"/>
      <c r="AB27" s="170">
        <f>IFERROR(VLOOKUP(B27,'Bảng lương tính trên HTfast'!$B$13:$U$190,20,0),0)</f>
        <v>9000000</v>
      </c>
      <c r="AC27" s="170"/>
      <c r="AD27" s="170"/>
      <c r="AE27" s="170"/>
      <c r="AF27" s="170">
        <f>IF((W27-X27-AB27-T27-V27)&gt;0,(W27-X27-AB27-T27-V27),0)</f>
        <v>0</v>
      </c>
      <c r="AG27" s="170"/>
      <c r="AH27" s="170"/>
      <c r="AI27" s="170"/>
      <c r="AJ27" s="170"/>
      <c r="AK27" s="170"/>
      <c r="AL27" s="170"/>
      <c r="AM27" s="170"/>
      <c r="AN27" s="170"/>
      <c r="AO27" s="170"/>
      <c r="AP27" s="170"/>
      <c r="AQ27" s="170"/>
      <c r="AR27" s="170"/>
      <c r="AS27" s="170"/>
      <c r="AT27" s="170"/>
      <c r="AU27" s="170">
        <f t="shared" ref="AU27:AU29" si="55">ROUND(IF(AF27&lt;5000000,AF27*0.05,IF(AF27&lt;10000000,250000+(AF27-5000000)*0.1,IF(AF27&lt;18000000,750000+(AF27-10000000)*0.15,IF(AF27&lt;32000000,1950000+(AF27-18000000)*0.2,IF(AF27&lt;52000000,4750000+(AF27-32000000)*0.25,IF(AF27&lt;80000000,9750000+(AF27-52000000)*0.3,IF(AF27&gt;80000000,18150000+(AF27-80000000)*0.35,0))))))),0)</f>
        <v>0</v>
      </c>
      <c r="AV27" s="170"/>
      <c r="AW27" s="245">
        <f t="shared" ref="AW27:AW29" si="56">W27-X27-AU27</f>
        <v>8494680</v>
      </c>
      <c r="AX27" s="245"/>
      <c r="AY27" s="245"/>
      <c r="AZ27" s="245">
        <f>IF(G27&gt;0,IF(AW27*1%&gt;149000,149000,ROUND(AW27*1%,0)),0)</f>
        <v>84947</v>
      </c>
      <c r="BA27" s="245">
        <f>IFERROR(VLOOKUP(B27,'BS lương'!$B$2:$M$188,12,0),0)</f>
        <v>0</v>
      </c>
      <c r="BB27" s="245"/>
      <c r="BC27" s="245">
        <f t="shared" ref="BC27:BC29" si="57">AW27-AZ27-BA27-BB27</f>
        <v>8409733</v>
      </c>
    </row>
    <row r="28" spans="1:55" ht="12" customHeight="1" x14ac:dyDescent="0.3">
      <c r="A28" s="205">
        <v>0</v>
      </c>
      <c r="B28" s="171" t="s">
        <v>40</v>
      </c>
      <c r="C28" s="171" t="s">
        <v>79</v>
      </c>
      <c r="D28" s="171"/>
      <c r="E28" s="172"/>
      <c r="F28" s="172">
        <v>3.13</v>
      </c>
      <c r="G28" s="209"/>
      <c r="H28" s="245"/>
      <c r="I28" s="170"/>
      <c r="J28" s="173"/>
      <c r="K28" s="174"/>
      <c r="L28" s="173"/>
      <c r="M28" s="170"/>
      <c r="N28" s="170"/>
      <c r="O28" s="170"/>
      <c r="P28" s="170"/>
      <c r="Q28" s="170"/>
      <c r="R28" s="170"/>
      <c r="S28" s="170"/>
      <c r="T28" s="170"/>
      <c r="U28" s="170"/>
      <c r="V28" s="170"/>
      <c r="W28" s="170"/>
      <c r="X28" s="170"/>
      <c r="Y28" s="170"/>
      <c r="Z28" s="170"/>
      <c r="AA28" s="170"/>
      <c r="AB28" s="170"/>
      <c r="AC28" s="170"/>
      <c r="AD28" s="170"/>
      <c r="AE28" s="170"/>
      <c r="AF28" s="170"/>
      <c r="AG28" s="170"/>
      <c r="AH28" s="170"/>
      <c r="AI28" s="170"/>
      <c r="AJ28" s="170"/>
      <c r="AK28" s="170"/>
      <c r="AL28" s="170"/>
      <c r="AM28" s="170"/>
      <c r="AN28" s="170"/>
      <c r="AO28" s="170"/>
      <c r="AP28" s="170"/>
      <c r="AQ28" s="170"/>
      <c r="AR28" s="170"/>
      <c r="AS28" s="170"/>
      <c r="AT28" s="170"/>
      <c r="AU28" s="170"/>
      <c r="AV28" s="170"/>
      <c r="AW28" s="245"/>
      <c r="AX28" s="245"/>
      <c r="AY28" s="245"/>
      <c r="AZ28" s="245"/>
      <c r="BA28" s="245">
        <f>IFERROR(VLOOKUP(B28,'BS lương'!$B$2:$M$188,12,0),0)</f>
        <v>0</v>
      </c>
      <c r="BB28" s="245"/>
      <c r="BC28" s="245"/>
    </row>
    <row r="29" spans="1:55" ht="12" customHeight="1" x14ac:dyDescent="0.3">
      <c r="A29" s="205">
        <f>A28+1</f>
        <v>1</v>
      </c>
      <c r="B29" s="171" t="s">
        <v>80</v>
      </c>
      <c r="C29" s="171" t="s">
        <v>81</v>
      </c>
      <c r="D29" s="171" t="s">
        <v>58</v>
      </c>
      <c r="E29" s="172"/>
      <c r="F29" s="172">
        <v>3.13</v>
      </c>
      <c r="G29" s="209">
        <f>VLOOKUP(B29,'Bảng lương tính trên HTfast'!$B$13:$H$194,6,0)</f>
        <v>20</v>
      </c>
      <c r="H29" s="245">
        <f>VLOOKUP(B29,'Bảng lương tính trên HTfast'!$B$13:$H$194,7,0)</f>
        <v>12020000</v>
      </c>
      <c r="I29" s="170"/>
      <c r="J29" s="173">
        <f>IFERROR(VLOOKUP(B29,'Luong vitri'!$C$6:$O$179,10,0),0)</f>
        <v>0.1</v>
      </c>
      <c r="K29" s="174">
        <f>VLOOKUP(B29,'Bảng lương tính trên HTfast'!$B$13:$I$194,8,0)</f>
        <v>1.1299999999999999</v>
      </c>
      <c r="L29" s="173">
        <f>IFERROR(VLOOKUP(B29,'Luong vitri'!$C$6:$O$201,12,0),0)</f>
        <v>0.4</v>
      </c>
      <c r="M29" s="170">
        <f t="shared" si="52"/>
        <v>5288800</v>
      </c>
      <c r="N29" s="170">
        <f t="shared" si="53"/>
        <v>1586640</v>
      </c>
      <c r="O29" s="170"/>
      <c r="P29" s="170"/>
      <c r="Q29" s="170"/>
      <c r="R29" s="170"/>
      <c r="S29" s="170">
        <f>ROUND((H29+H29*J29)*K29+N29,0)</f>
        <v>16527500</v>
      </c>
      <c r="T29" s="170">
        <f>IFERROR(VLOOKUP(B29,'Bảng lương tính trên HTfast'!$B$13:$O$194,12,0),0)</f>
        <v>0</v>
      </c>
      <c r="U29" s="170">
        <f>IFERROR(VLOOKUP(B29,'BS lương'!$B$2:$M$188,9,0),0)</f>
        <v>2024432</v>
      </c>
      <c r="V29" s="170">
        <f>IFERROR(VLOOKUP(B29,'BS lương'!$B$2:$M$188,10,0),0)</f>
        <v>819545</v>
      </c>
      <c r="W29" s="170">
        <f t="shared" si="54"/>
        <v>19371477</v>
      </c>
      <c r="X29" s="170">
        <f>IFERROR(VLOOKUP(B29,'Bảng lương tính trên HTfast'!$B$13:$U$194,16,0),0)</f>
        <v>1262100</v>
      </c>
      <c r="Y29" s="170"/>
      <c r="Z29" s="170"/>
      <c r="AA29" s="170"/>
      <c r="AB29" s="170">
        <f>IFERROR(VLOOKUP(B29,'Bảng lương tính trên HTfast'!$B$13:$U$190,20,0),0)</f>
        <v>12600000</v>
      </c>
      <c r="AC29" s="170"/>
      <c r="AD29" s="170"/>
      <c r="AE29" s="170"/>
      <c r="AF29" s="170">
        <f t="shared" ref="AF29" si="58">IF((W29-X29-AB29-T29-V29)&gt;0,(W29-X29-AB29-T29-V29),0)</f>
        <v>4689832</v>
      </c>
      <c r="AG29" s="170"/>
      <c r="AH29" s="170"/>
      <c r="AI29" s="170"/>
      <c r="AJ29" s="170"/>
      <c r="AK29" s="170"/>
      <c r="AL29" s="170"/>
      <c r="AM29" s="170"/>
      <c r="AN29" s="170"/>
      <c r="AO29" s="170"/>
      <c r="AP29" s="170"/>
      <c r="AQ29" s="170"/>
      <c r="AR29" s="170"/>
      <c r="AS29" s="170"/>
      <c r="AT29" s="170"/>
      <c r="AU29" s="170">
        <f t="shared" si="55"/>
        <v>234492</v>
      </c>
      <c r="AV29" s="170"/>
      <c r="AW29" s="245">
        <f t="shared" si="56"/>
        <v>17874885</v>
      </c>
      <c r="AX29" s="245"/>
      <c r="AY29" s="245"/>
      <c r="AZ29" s="245">
        <f>IF(G29&gt;0,IF(AW29*1%&gt;149000,149000,ROUND(AW29*1%,0)),0)</f>
        <v>149000</v>
      </c>
      <c r="BA29" s="245">
        <f>IFERROR(VLOOKUP(B29,'BS lương'!$B$2:$M$188,12,0),0)</f>
        <v>1000000</v>
      </c>
      <c r="BB29" s="245"/>
      <c r="BC29" s="245">
        <f t="shared" si="57"/>
        <v>16725885</v>
      </c>
    </row>
    <row r="30" spans="1:55" ht="12" customHeight="1" x14ac:dyDescent="0.3">
      <c r="A30" s="205"/>
      <c r="B30" s="171"/>
      <c r="C30" s="171"/>
      <c r="D30" s="171"/>
      <c r="E30" s="172"/>
      <c r="F30" s="172"/>
      <c r="G30" s="209"/>
      <c r="H30" s="245"/>
      <c r="I30" s="170"/>
      <c r="J30" s="173"/>
      <c r="K30" s="174"/>
      <c r="L30" s="173"/>
      <c r="M30" s="170"/>
      <c r="N30" s="170"/>
      <c r="O30" s="170"/>
      <c r="P30" s="170"/>
      <c r="Q30" s="170"/>
      <c r="R30" s="170"/>
      <c r="S30" s="170"/>
      <c r="T30" s="170"/>
      <c r="U30" s="170"/>
      <c r="V30" s="170"/>
      <c r="W30" s="170"/>
      <c r="X30" s="170"/>
      <c r="Y30" s="170"/>
      <c r="Z30" s="170"/>
      <c r="AA30" s="170"/>
      <c r="AB30" s="170"/>
      <c r="AC30" s="170"/>
      <c r="AD30" s="170"/>
      <c r="AE30" s="170"/>
      <c r="AF30" s="170"/>
      <c r="AG30" s="170"/>
      <c r="AH30" s="170"/>
      <c r="AI30" s="170"/>
      <c r="AJ30" s="170"/>
      <c r="AK30" s="170"/>
      <c r="AL30" s="170"/>
      <c r="AM30" s="170"/>
      <c r="AN30" s="170"/>
      <c r="AO30" s="170"/>
      <c r="AP30" s="170"/>
      <c r="AQ30" s="170"/>
      <c r="AR30" s="170"/>
      <c r="AS30" s="170"/>
      <c r="AT30" s="170"/>
      <c r="AU30" s="170"/>
      <c r="AV30" s="170"/>
      <c r="AW30" s="245"/>
      <c r="AX30" s="245"/>
      <c r="AY30" s="245"/>
      <c r="AZ30" s="245"/>
      <c r="BA30" s="245"/>
      <c r="BB30" s="245"/>
      <c r="BC30" s="245"/>
    </row>
    <row r="31" spans="1:55" ht="12" customHeight="1" x14ac:dyDescent="0.3">
      <c r="A31" s="205"/>
      <c r="B31" s="171"/>
      <c r="C31" s="171"/>
      <c r="D31" s="171"/>
      <c r="E31" s="172"/>
      <c r="F31" s="172"/>
      <c r="G31" s="209"/>
      <c r="H31" s="245"/>
      <c r="I31" s="170"/>
      <c r="J31" s="173"/>
      <c r="K31" s="174"/>
      <c r="L31" s="173"/>
      <c r="M31" s="170"/>
      <c r="N31" s="170"/>
      <c r="O31" s="170"/>
      <c r="P31" s="170"/>
      <c r="Q31" s="170"/>
      <c r="R31" s="170"/>
      <c r="S31" s="170"/>
      <c r="T31" s="170"/>
      <c r="U31" s="170"/>
      <c r="V31" s="170"/>
      <c r="W31" s="170"/>
      <c r="X31" s="170"/>
      <c r="Y31" s="170"/>
      <c r="Z31" s="170"/>
      <c r="AA31" s="170"/>
      <c r="AB31" s="170"/>
      <c r="AC31" s="170"/>
      <c r="AD31" s="170"/>
      <c r="AE31" s="170"/>
      <c r="AF31" s="170"/>
      <c r="AG31" s="170"/>
      <c r="AH31" s="170"/>
      <c r="AI31" s="170"/>
      <c r="AJ31" s="170"/>
      <c r="AK31" s="170"/>
      <c r="AL31" s="170"/>
      <c r="AM31" s="170"/>
      <c r="AN31" s="170"/>
      <c r="AO31" s="170"/>
      <c r="AP31" s="170"/>
      <c r="AQ31" s="170"/>
      <c r="AR31" s="170"/>
      <c r="AS31" s="170"/>
      <c r="AT31" s="170"/>
      <c r="AU31" s="170"/>
      <c r="AV31" s="170"/>
      <c r="AW31" s="245"/>
      <c r="AX31" s="245"/>
      <c r="AY31" s="245"/>
      <c r="AZ31" s="245"/>
      <c r="BA31" s="245"/>
      <c r="BB31" s="245"/>
      <c r="BC31" s="245"/>
    </row>
    <row r="32" spans="1:55" ht="12" customHeight="1" x14ac:dyDescent="0.3">
      <c r="A32" s="205"/>
      <c r="B32" s="171"/>
      <c r="C32" s="171"/>
      <c r="D32" s="171"/>
      <c r="E32" s="172"/>
      <c r="F32" s="172"/>
      <c r="G32" s="209"/>
      <c r="H32" s="245"/>
      <c r="I32" s="170"/>
      <c r="J32" s="173"/>
      <c r="K32" s="174"/>
      <c r="L32" s="173"/>
      <c r="M32" s="170"/>
      <c r="N32" s="170"/>
      <c r="O32" s="170"/>
      <c r="P32" s="170"/>
      <c r="Q32" s="170"/>
      <c r="R32" s="170"/>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245"/>
      <c r="AX32" s="245"/>
      <c r="AY32" s="245"/>
      <c r="AZ32" s="245"/>
      <c r="BA32" s="245"/>
      <c r="BB32" s="245"/>
      <c r="BC32" s="245"/>
    </row>
    <row r="33" spans="1:55" ht="12" customHeight="1" x14ac:dyDescent="0.3">
      <c r="A33" s="205"/>
      <c r="B33" s="171"/>
      <c r="C33" s="171"/>
      <c r="D33" s="171"/>
      <c r="E33" s="172"/>
      <c r="F33" s="172"/>
      <c r="G33" s="209"/>
      <c r="H33" s="245"/>
      <c r="I33" s="170"/>
      <c r="J33" s="173"/>
      <c r="K33" s="174"/>
      <c r="L33" s="173"/>
      <c r="M33" s="170"/>
      <c r="N33" s="170"/>
      <c r="O33" s="170"/>
      <c r="P33" s="170"/>
      <c r="Q33" s="170"/>
      <c r="R33" s="170"/>
      <c r="S33" s="170"/>
      <c r="T33" s="170"/>
      <c r="U33" s="170"/>
      <c r="V33" s="170"/>
      <c r="W33" s="170"/>
      <c r="X33" s="170"/>
      <c r="Y33" s="170"/>
      <c r="Z33" s="170"/>
      <c r="AA33" s="170"/>
      <c r="AB33" s="170"/>
      <c r="AC33" s="170"/>
      <c r="AD33" s="170"/>
      <c r="AE33" s="170"/>
      <c r="AF33" s="170"/>
      <c r="AG33" s="170"/>
      <c r="AH33" s="170"/>
      <c r="AI33" s="170"/>
      <c r="AJ33" s="170"/>
      <c r="AK33" s="170"/>
      <c r="AL33" s="170"/>
      <c r="AM33" s="170"/>
      <c r="AN33" s="170"/>
      <c r="AO33" s="170"/>
      <c r="AP33" s="170"/>
      <c r="AQ33" s="170"/>
      <c r="AR33" s="170"/>
      <c r="AS33" s="170"/>
      <c r="AT33" s="170"/>
      <c r="AU33" s="170"/>
      <c r="AV33" s="170"/>
      <c r="AW33" s="245"/>
      <c r="AX33" s="245"/>
      <c r="AY33" s="245"/>
      <c r="AZ33" s="245"/>
      <c r="BA33" s="245"/>
      <c r="BB33" s="245"/>
      <c r="BC33" s="245"/>
    </row>
    <row r="34" spans="1:55" ht="12" customHeight="1" x14ac:dyDescent="0.3">
      <c r="A34" s="205"/>
      <c r="B34" s="171"/>
      <c r="C34" s="171"/>
      <c r="D34" s="171"/>
      <c r="E34" s="172"/>
      <c r="F34" s="172"/>
      <c r="G34" s="209"/>
      <c r="H34" s="245"/>
      <c r="I34" s="170"/>
      <c r="J34" s="173"/>
      <c r="K34" s="174"/>
      <c r="L34" s="173"/>
      <c r="M34" s="170"/>
      <c r="N34" s="170"/>
      <c r="O34" s="170"/>
      <c r="P34" s="170"/>
      <c r="Q34" s="170"/>
      <c r="R34" s="170"/>
      <c r="S34" s="170"/>
      <c r="T34" s="170"/>
      <c r="U34" s="170"/>
      <c r="V34" s="170"/>
      <c r="W34" s="170"/>
      <c r="X34" s="17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245"/>
      <c r="AX34" s="245"/>
      <c r="AY34" s="245"/>
      <c r="AZ34" s="245"/>
      <c r="BA34" s="245"/>
      <c r="BB34" s="245"/>
      <c r="BC34" s="245"/>
    </row>
    <row r="35" spans="1:55" ht="12" customHeight="1" x14ac:dyDescent="0.3">
      <c r="A35" s="205"/>
      <c r="B35" s="171"/>
      <c r="C35" s="171"/>
      <c r="D35" s="171"/>
      <c r="E35" s="172"/>
      <c r="F35" s="172"/>
      <c r="G35" s="209"/>
      <c r="H35" s="245"/>
      <c r="I35" s="170"/>
      <c r="J35" s="173"/>
      <c r="K35" s="174"/>
      <c r="L35" s="173"/>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70"/>
      <c r="AO35" s="170"/>
      <c r="AP35" s="170"/>
      <c r="AQ35" s="170"/>
      <c r="AR35" s="170"/>
      <c r="AS35" s="170"/>
      <c r="AT35" s="170"/>
      <c r="AU35" s="170"/>
      <c r="AV35" s="170"/>
      <c r="AW35" s="245"/>
      <c r="AX35" s="245"/>
      <c r="AY35" s="245"/>
      <c r="AZ35" s="245"/>
      <c r="BA35" s="245"/>
      <c r="BB35" s="245"/>
      <c r="BC35" s="245"/>
    </row>
    <row r="36" spans="1:55" ht="12" customHeight="1" x14ac:dyDescent="0.3">
      <c r="A36" s="205"/>
      <c r="B36" s="171"/>
      <c r="C36" s="171"/>
      <c r="D36" s="171"/>
      <c r="E36" s="172"/>
      <c r="F36" s="172"/>
      <c r="G36" s="209"/>
      <c r="H36" s="245"/>
      <c r="I36" s="170"/>
      <c r="J36" s="173"/>
      <c r="K36" s="174"/>
      <c r="L36" s="173"/>
      <c r="M36" s="170"/>
      <c r="N36" s="170"/>
      <c r="O36" s="170"/>
      <c r="P36" s="170"/>
      <c r="Q36" s="170"/>
      <c r="R36" s="170"/>
      <c r="S36" s="170"/>
      <c r="T36" s="170"/>
      <c r="U36" s="170"/>
      <c r="V36" s="170"/>
      <c r="W36" s="170"/>
      <c r="X36" s="170"/>
      <c r="Y36" s="170"/>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245"/>
      <c r="AX36" s="245"/>
      <c r="AY36" s="245"/>
      <c r="AZ36" s="245"/>
      <c r="BA36" s="245"/>
      <c r="BB36" s="245"/>
      <c r="BC36" s="245"/>
    </row>
    <row r="37" spans="1:55" ht="12" customHeight="1" x14ac:dyDescent="0.3">
      <c r="A37" s="205"/>
      <c r="B37" s="171"/>
      <c r="C37" s="171"/>
      <c r="D37" s="171"/>
      <c r="E37" s="172"/>
      <c r="F37" s="172"/>
      <c r="G37" s="209"/>
      <c r="H37" s="245"/>
      <c r="I37" s="170"/>
      <c r="J37" s="173"/>
      <c r="K37" s="174"/>
      <c r="L37" s="173"/>
      <c r="M37" s="170"/>
      <c r="N37" s="170"/>
      <c r="O37" s="170"/>
      <c r="P37" s="170"/>
      <c r="Q37" s="170"/>
      <c r="R37" s="170"/>
      <c r="S37" s="170"/>
      <c r="T37" s="170"/>
      <c r="U37" s="170"/>
      <c r="V37" s="170"/>
      <c r="W37" s="170"/>
      <c r="X37" s="170"/>
      <c r="Y37" s="170"/>
      <c r="Z37" s="170"/>
      <c r="AA37" s="170"/>
      <c r="AB37" s="170"/>
      <c r="AC37" s="170"/>
      <c r="AD37" s="170"/>
      <c r="AE37" s="170"/>
      <c r="AF37" s="170"/>
      <c r="AG37" s="170"/>
      <c r="AH37" s="170"/>
      <c r="AI37" s="170"/>
      <c r="AJ37" s="170"/>
      <c r="AK37" s="170"/>
      <c r="AL37" s="170"/>
      <c r="AM37" s="170"/>
      <c r="AN37" s="170"/>
      <c r="AO37" s="170"/>
      <c r="AP37" s="170"/>
      <c r="AQ37" s="170"/>
      <c r="AR37" s="170"/>
      <c r="AS37" s="170"/>
      <c r="AT37" s="170"/>
      <c r="AU37" s="170"/>
      <c r="AV37" s="170"/>
      <c r="AW37" s="245"/>
      <c r="AX37" s="245"/>
      <c r="AY37" s="245"/>
      <c r="AZ37" s="245"/>
      <c r="BA37" s="245"/>
      <c r="BB37" s="245"/>
      <c r="BC37" s="245"/>
    </row>
    <row r="38" spans="1:55" ht="12" customHeight="1" x14ac:dyDescent="0.3">
      <c r="A38" s="205"/>
      <c r="B38" s="171"/>
      <c r="C38" s="171"/>
      <c r="D38" s="171"/>
      <c r="E38" s="172"/>
      <c r="F38" s="172"/>
      <c r="G38" s="209"/>
      <c r="H38" s="245"/>
      <c r="I38" s="170"/>
      <c r="J38" s="173"/>
      <c r="K38" s="174"/>
      <c r="L38" s="173"/>
      <c r="M38" s="170"/>
      <c r="N38" s="170"/>
      <c r="O38" s="170"/>
      <c r="P38" s="170"/>
      <c r="Q38" s="170"/>
      <c r="R38" s="170"/>
      <c r="S38" s="170"/>
      <c r="T38" s="170"/>
      <c r="U38" s="170"/>
      <c r="V38" s="170"/>
      <c r="W38" s="170"/>
      <c r="X38" s="170"/>
      <c r="Y38" s="170"/>
      <c r="Z38" s="170"/>
      <c r="AA38" s="170"/>
      <c r="AB38" s="170"/>
      <c r="AC38" s="170"/>
      <c r="AD38" s="170"/>
      <c r="AE38" s="170"/>
      <c r="AF38" s="170"/>
      <c r="AG38" s="170"/>
      <c r="AH38" s="170"/>
      <c r="AI38" s="170"/>
      <c r="AJ38" s="170"/>
      <c r="AK38" s="170"/>
      <c r="AL38" s="170"/>
      <c r="AM38" s="170"/>
      <c r="AN38" s="170"/>
      <c r="AO38" s="170"/>
      <c r="AP38" s="170"/>
      <c r="AQ38" s="170"/>
      <c r="AR38" s="170"/>
      <c r="AS38" s="170"/>
      <c r="AT38" s="170"/>
      <c r="AU38" s="170"/>
      <c r="AV38" s="170"/>
      <c r="AW38" s="245"/>
      <c r="AX38" s="245"/>
      <c r="AY38" s="245"/>
      <c r="AZ38" s="245"/>
      <c r="BA38" s="245"/>
      <c r="BB38" s="245"/>
      <c r="BC38" s="245"/>
    </row>
    <row r="39" spans="1:55" ht="12" customHeight="1" x14ac:dyDescent="0.3">
      <c r="A39" s="205"/>
      <c r="B39" s="171"/>
      <c r="C39" s="171"/>
      <c r="D39" s="171"/>
      <c r="E39" s="172"/>
      <c r="F39" s="172"/>
      <c r="G39" s="209"/>
      <c r="H39" s="245"/>
      <c r="I39" s="170"/>
      <c r="J39" s="173"/>
      <c r="K39" s="174"/>
      <c r="L39" s="173"/>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70"/>
      <c r="AJ39" s="170"/>
      <c r="AK39" s="170"/>
      <c r="AL39" s="170"/>
      <c r="AM39" s="170"/>
      <c r="AN39" s="170"/>
      <c r="AO39" s="170"/>
      <c r="AP39" s="170"/>
      <c r="AQ39" s="170"/>
      <c r="AR39" s="170"/>
      <c r="AS39" s="170"/>
      <c r="AT39" s="170"/>
      <c r="AU39" s="170"/>
      <c r="AV39" s="170"/>
      <c r="AW39" s="245"/>
      <c r="AX39" s="245"/>
      <c r="AY39" s="245"/>
      <c r="AZ39" s="245"/>
      <c r="BA39" s="245"/>
      <c r="BB39" s="245"/>
      <c r="BC39" s="245"/>
    </row>
    <row r="40" spans="1:55" ht="12" customHeight="1" x14ac:dyDescent="0.3">
      <c r="A40" s="205"/>
      <c r="B40" s="171"/>
      <c r="C40" s="171"/>
      <c r="D40" s="171"/>
      <c r="E40" s="172"/>
      <c r="F40" s="172"/>
      <c r="G40" s="209"/>
      <c r="H40" s="245"/>
      <c r="I40" s="170"/>
      <c r="J40" s="173"/>
      <c r="K40" s="174"/>
      <c r="L40" s="173"/>
      <c r="M40" s="170"/>
      <c r="N40" s="170"/>
      <c r="O40" s="170"/>
      <c r="P40" s="170"/>
      <c r="Q40" s="170"/>
      <c r="R40" s="170"/>
      <c r="S40" s="170"/>
      <c r="T40" s="170"/>
      <c r="U40" s="170"/>
      <c r="V40" s="170"/>
      <c r="W40" s="170"/>
      <c r="X40" s="170"/>
      <c r="Y40" s="170"/>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245"/>
      <c r="AX40" s="245"/>
      <c r="AY40" s="245"/>
      <c r="AZ40" s="245"/>
      <c r="BA40" s="245"/>
      <c r="BB40" s="245"/>
      <c r="BC40" s="245"/>
    </row>
    <row r="41" spans="1:55" ht="12" customHeight="1" x14ac:dyDescent="0.3">
      <c r="A41" s="205"/>
      <c r="B41" s="171"/>
      <c r="C41" s="171"/>
      <c r="D41" s="171"/>
      <c r="E41" s="172"/>
      <c r="F41" s="172"/>
      <c r="G41" s="209"/>
      <c r="H41" s="245"/>
      <c r="I41" s="170"/>
      <c r="J41" s="173"/>
      <c r="K41" s="174"/>
      <c r="L41" s="173"/>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245"/>
      <c r="AX41" s="245"/>
      <c r="AY41" s="245"/>
      <c r="AZ41" s="245"/>
      <c r="BA41" s="245"/>
      <c r="BB41" s="245"/>
      <c r="BC41" s="245"/>
    </row>
    <row r="42" spans="1:55" ht="12" customHeight="1" x14ac:dyDescent="0.3">
      <c r="A42" s="205"/>
      <c r="B42" s="171"/>
      <c r="C42" s="171"/>
      <c r="D42" s="171"/>
      <c r="E42" s="172"/>
      <c r="F42" s="172"/>
      <c r="G42" s="209"/>
      <c r="H42" s="245"/>
      <c r="I42" s="170"/>
      <c r="J42" s="173"/>
      <c r="K42" s="174"/>
      <c r="L42" s="173"/>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245"/>
      <c r="AX42" s="245"/>
      <c r="AY42" s="245"/>
      <c r="AZ42" s="245"/>
      <c r="BA42" s="245"/>
      <c r="BB42" s="245"/>
      <c r="BC42" s="245"/>
    </row>
    <row r="43" spans="1:55" ht="12" customHeight="1" x14ac:dyDescent="0.3">
      <c r="A43" s="205"/>
      <c r="B43" s="171"/>
      <c r="C43" s="171"/>
      <c r="D43" s="171"/>
      <c r="E43" s="172"/>
      <c r="F43" s="172"/>
      <c r="G43" s="209"/>
      <c r="H43" s="245"/>
      <c r="I43" s="170"/>
      <c r="J43" s="173"/>
      <c r="K43" s="174"/>
      <c r="L43" s="173"/>
      <c r="M43" s="170"/>
      <c r="N43" s="170"/>
      <c r="O43" s="170"/>
      <c r="P43" s="170"/>
      <c r="Q43" s="170"/>
      <c r="R43" s="170"/>
      <c r="S43" s="170"/>
      <c r="T43" s="170"/>
      <c r="U43" s="170"/>
      <c r="V43" s="170"/>
      <c r="W43" s="170"/>
      <c r="X43" s="170"/>
      <c r="Y43" s="170"/>
      <c r="Z43" s="170"/>
      <c r="AA43" s="170"/>
      <c r="AB43" s="170"/>
      <c r="AC43" s="170"/>
      <c r="AD43" s="170"/>
      <c r="AE43" s="170"/>
      <c r="AF43" s="170"/>
      <c r="AG43" s="170"/>
      <c r="AH43" s="170"/>
      <c r="AI43" s="170"/>
      <c r="AJ43" s="170"/>
      <c r="AK43" s="170"/>
      <c r="AL43" s="170"/>
      <c r="AM43" s="170"/>
      <c r="AN43" s="170"/>
      <c r="AO43" s="170"/>
      <c r="AP43" s="170"/>
      <c r="AQ43" s="170"/>
      <c r="AR43" s="170"/>
      <c r="AS43" s="170"/>
      <c r="AT43" s="170"/>
      <c r="AU43" s="170"/>
      <c r="AV43" s="170"/>
      <c r="AW43" s="245"/>
      <c r="AX43" s="245"/>
      <c r="AY43" s="245"/>
      <c r="AZ43" s="245"/>
      <c r="BA43" s="245"/>
      <c r="BB43" s="245"/>
      <c r="BC43" s="245"/>
    </row>
    <row r="44" spans="1:55" ht="12" customHeight="1" x14ac:dyDescent="0.3">
      <c r="A44" s="205"/>
      <c r="B44" s="171"/>
      <c r="C44" s="171"/>
      <c r="D44" s="171"/>
      <c r="E44" s="172"/>
      <c r="F44" s="172"/>
      <c r="G44" s="209"/>
      <c r="H44" s="245"/>
      <c r="I44" s="170"/>
      <c r="J44" s="173"/>
      <c r="K44" s="174"/>
      <c r="L44" s="173"/>
      <c r="M44" s="170"/>
      <c r="N44" s="170"/>
      <c r="O44" s="170"/>
      <c r="P44" s="170"/>
      <c r="Q44" s="170"/>
      <c r="R44" s="170"/>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245"/>
      <c r="AX44" s="245"/>
      <c r="AY44" s="245"/>
      <c r="AZ44" s="245"/>
      <c r="BA44" s="245"/>
      <c r="BB44" s="245"/>
      <c r="BC44" s="245"/>
    </row>
    <row r="45" spans="1:55" ht="12" customHeight="1" x14ac:dyDescent="0.3">
      <c r="A45" s="205"/>
      <c r="B45" s="171"/>
      <c r="C45" s="171"/>
      <c r="D45" s="171"/>
      <c r="E45" s="172"/>
      <c r="F45" s="172"/>
      <c r="G45" s="209"/>
      <c r="H45" s="245"/>
      <c r="I45" s="170"/>
      <c r="J45" s="173"/>
      <c r="K45" s="174"/>
      <c r="L45" s="173"/>
      <c r="M45" s="170"/>
      <c r="N45" s="170"/>
      <c r="O45" s="170"/>
      <c r="P45" s="170"/>
      <c r="Q45" s="170"/>
      <c r="R45" s="170"/>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245"/>
      <c r="AX45" s="245"/>
      <c r="AY45" s="245"/>
      <c r="AZ45" s="245"/>
      <c r="BA45" s="245"/>
      <c r="BB45" s="245"/>
      <c r="BC45" s="245"/>
    </row>
    <row r="46" spans="1:55" ht="12" customHeight="1" x14ac:dyDescent="0.3">
      <c r="A46" s="205"/>
      <c r="B46" s="171"/>
      <c r="C46" s="171"/>
      <c r="D46" s="171"/>
      <c r="E46" s="172"/>
      <c r="F46" s="172"/>
      <c r="G46" s="209"/>
      <c r="H46" s="245"/>
      <c r="I46" s="170"/>
      <c r="J46" s="173"/>
      <c r="K46" s="174"/>
      <c r="L46" s="173"/>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245"/>
      <c r="AX46" s="245"/>
      <c r="AY46" s="245"/>
      <c r="AZ46" s="245"/>
      <c r="BA46" s="245"/>
      <c r="BB46" s="245"/>
      <c r="BC46" s="245"/>
    </row>
    <row r="47" spans="1:55" ht="12" customHeight="1" x14ac:dyDescent="0.3">
      <c r="A47" s="205"/>
      <c r="B47" s="171"/>
      <c r="C47" s="171"/>
      <c r="D47" s="171"/>
      <c r="E47" s="172"/>
      <c r="F47" s="172"/>
      <c r="G47" s="209"/>
      <c r="H47" s="245"/>
      <c r="I47" s="170"/>
      <c r="J47" s="173"/>
      <c r="K47" s="174"/>
      <c r="L47" s="173"/>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245"/>
      <c r="AX47" s="245"/>
      <c r="AY47" s="245"/>
      <c r="AZ47" s="245"/>
      <c r="BA47" s="245"/>
      <c r="BB47" s="245"/>
      <c r="BC47" s="245"/>
    </row>
    <row r="48" spans="1:55" ht="12" customHeight="1" x14ac:dyDescent="0.3">
      <c r="A48" s="205"/>
      <c r="B48" s="171"/>
      <c r="C48" s="171"/>
      <c r="D48" s="171"/>
      <c r="E48" s="172"/>
      <c r="F48" s="172"/>
      <c r="G48" s="209"/>
      <c r="H48" s="245"/>
      <c r="I48" s="170"/>
      <c r="J48" s="173"/>
      <c r="K48" s="174"/>
      <c r="L48" s="173"/>
      <c r="M48" s="170"/>
      <c r="N48" s="170"/>
      <c r="O48" s="170"/>
      <c r="P48" s="170"/>
      <c r="Q48" s="170"/>
      <c r="R48" s="170"/>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245"/>
      <c r="AX48" s="245"/>
      <c r="AY48" s="245"/>
      <c r="AZ48" s="245"/>
      <c r="BA48" s="245"/>
      <c r="BB48" s="245"/>
      <c r="BC48" s="245"/>
    </row>
    <row r="49" spans="1:55" ht="12" customHeight="1" x14ac:dyDescent="0.3">
      <c r="A49" s="205"/>
      <c r="B49" s="171"/>
      <c r="C49" s="171"/>
      <c r="D49" s="171"/>
      <c r="E49" s="172"/>
      <c r="F49" s="172"/>
      <c r="G49" s="209"/>
      <c r="H49" s="245"/>
      <c r="I49" s="170"/>
      <c r="J49" s="173"/>
      <c r="K49" s="174"/>
      <c r="L49" s="173"/>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245"/>
      <c r="AX49" s="245"/>
      <c r="AY49" s="245"/>
      <c r="AZ49" s="245"/>
      <c r="BA49" s="245"/>
      <c r="BB49" s="245"/>
      <c r="BC49" s="245"/>
    </row>
    <row r="50" spans="1:55" ht="12" customHeight="1" x14ac:dyDescent="0.3">
      <c r="A50" s="205"/>
      <c r="B50" s="171"/>
      <c r="C50" s="171"/>
      <c r="D50" s="171"/>
      <c r="E50" s="172"/>
      <c r="F50" s="172"/>
      <c r="G50" s="209"/>
      <c r="H50" s="245"/>
      <c r="I50" s="170"/>
      <c r="J50" s="173"/>
      <c r="K50" s="174"/>
      <c r="L50" s="173"/>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245"/>
      <c r="AX50" s="245"/>
      <c r="AY50" s="245"/>
      <c r="AZ50" s="245"/>
      <c r="BA50" s="245"/>
      <c r="BB50" s="245"/>
      <c r="BC50" s="245"/>
    </row>
    <row r="51" spans="1:55" ht="12" customHeight="1" x14ac:dyDescent="0.3">
      <c r="A51" s="205"/>
      <c r="B51" s="171"/>
      <c r="C51" s="171"/>
      <c r="D51" s="171"/>
      <c r="E51" s="172"/>
      <c r="F51" s="172"/>
      <c r="G51" s="209"/>
      <c r="H51" s="245"/>
      <c r="I51" s="170"/>
      <c r="J51" s="173"/>
      <c r="K51" s="174"/>
      <c r="L51" s="173"/>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245"/>
      <c r="AX51" s="245"/>
      <c r="AY51" s="245"/>
      <c r="AZ51" s="245"/>
      <c r="BA51" s="245"/>
      <c r="BB51" s="245"/>
      <c r="BC51" s="245"/>
    </row>
    <row r="52" spans="1:55" ht="12" customHeight="1" x14ac:dyDescent="0.3">
      <c r="A52" s="205"/>
      <c r="B52" s="171"/>
      <c r="C52" s="171"/>
      <c r="D52" s="171"/>
      <c r="E52" s="172"/>
      <c r="F52" s="172"/>
      <c r="G52" s="209"/>
      <c r="H52" s="245"/>
      <c r="I52" s="170"/>
      <c r="J52" s="173"/>
      <c r="K52" s="174"/>
      <c r="L52" s="173"/>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245"/>
      <c r="AX52" s="245"/>
      <c r="AY52" s="245"/>
      <c r="AZ52" s="245"/>
      <c r="BA52" s="245"/>
      <c r="BB52" s="245"/>
      <c r="BC52" s="245"/>
    </row>
    <row r="53" spans="1:55" ht="12" customHeight="1" x14ac:dyDescent="0.3">
      <c r="A53" s="205"/>
      <c r="B53" s="171"/>
      <c r="C53" s="171"/>
      <c r="D53" s="171"/>
      <c r="E53" s="172"/>
      <c r="F53" s="172"/>
      <c r="G53" s="209"/>
      <c r="H53" s="245"/>
      <c r="I53" s="170"/>
      <c r="J53" s="173"/>
      <c r="K53" s="174"/>
      <c r="L53" s="173"/>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245"/>
      <c r="AX53" s="245"/>
      <c r="AY53" s="245"/>
      <c r="AZ53" s="245"/>
      <c r="BA53" s="245"/>
      <c r="BB53" s="245"/>
      <c r="BC53" s="245"/>
    </row>
    <row r="54" spans="1:55" ht="12" customHeight="1" x14ac:dyDescent="0.3">
      <c r="A54" s="205"/>
      <c r="B54" s="171"/>
      <c r="C54" s="171"/>
      <c r="D54" s="171"/>
      <c r="E54" s="172"/>
      <c r="F54" s="172"/>
      <c r="G54" s="209"/>
      <c r="H54" s="245"/>
      <c r="I54" s="170"/>
      <c r="J54" s="173"/>
      <c r="K54" s="174"/>
      <c r="L54" s="173"/>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245"/>
      <c r="AX54" s="245"/>
      <c r="AY54" s="245"/>
      <c r="AZ54" s="245"/>
      <c r="BA54" s="245"/>
      <c r="BB54" s="245"/>
      <c r="BC54" s="245"/>
    </row>
    <row r="55" spans="1:55" ht="12" customHeight="1" x14ac:dyDescent="0.3">
      <c r="A55" s="205"/>
      <c r="B55" s="171"/>
      <c r="C55" s="171"/>
      <c r="D55" s="171"/>
      <c r="E55" s="172"/>
      <c r="F55" s="172"/>
      <c r="G55" s="209"/>
      <c r="H55" s="245"/>
      <c r="I55" s="170"/>
      <c r="J55" s="173"/>
      <c r="K55" s="174"/>
      <c r="L55" s="173"/>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245"/>
      <c r="AX55" s="245"/>
      <c r="AY55" s="245"/>
      <c r="AZ55" s="245"/>
      <c r="BA55" s="245"/>
      <c r="BB55" s="245"/>
      <c r="BC55" s="245"/>
    </row>
    <row r="56" spans="1:55" ht="12" customHeight="1" x14ac:dyDescent="0.3">
      <c r="A56" s="205"/>
      <c r="B56" s="171"/>
      <c r="C56" s="171"/>
      <c r="D56" s="171"/>
      <c r="E56" s="172"/>
      <c r="F56" s="172"/>
      <c r="G56" s="209"/>
      <c r="H56" s="245"/>
      <c r="I56" s="170"/>
      <c r="J56" s="173"/>
      <c r="K56" s="174"/>
      <c r="L56" s="173"/>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245"/>
      <c r="AX56" s="245"/>
      <c r="AY56" s="245"/>
      <c r="AZ56" s="245"/>
      <c r="BA56" s="245"/>
      <c r="BB56" s="245"/>
      <c r="BC56" s="245"/>
    </row>
    <row r="57" spans="1:55" ht="12" customHeight="1" x14ac:dyDescent="0.3">
      <c r="A57" s="205"/>
      <c r="B57" s="171"/>
      <c r="C57" s="171"/>
      <c r="D57" s="171"/>
      <c r="E57" s="172"/>
      <c r="F57" s="172"/>
      <c r="G57" s="209"/>
      <c r="H57" s="245"/>
      <c r="I57" s="170"/>
      <c r="J57" s="173"/>
      <c r="K57" s="174"/>
      <c r="L57" s="173"/>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245"/>
      <c r="AX57" s="245"/>
      <c r="AY57" s="245"/>
      <c r="AZ57" s="245"/>
      <c r="BA57" s="245"/>
      <c r="BB57" s="245"/>
      <c r="BC57" s="245"/>
    </row>
    <row r="58" spans="1:55" ht="12" customHeight="1" x14ac:dyDescent="0.3">
      <c r="A58" s="205"/>
      <c r="B58" s="171"/>
      <c r="C58" s="171"/>
      <c r="D58" s="171"/>
      <c r="E58" s="172"/>
      <c r="F58" s="172"/>
      <c r="G58" s="209"/>
      <c r="H58" s="245"/>
      <c r="I58" s="170"/>
      <c r="J58" s="173"/>
      <c r="K58" s="174"/>
      <c r="L58" s="173"/>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245"/>
      <c r="AX58" s="245"/>
      <c r="AY58" s="245"/>
      <c r="AZ58" s="245"/>
      <c r="BA58" s="245"/>
      <c r="BB58" s="245"/>
      <c r="BC58" s="245"/>
    </row>
    <row r="59" spans="1:55" ht="12" customHeight="1" x14ac:dyDescent="0.3">
      <c r="A59" s="205"/>
      <c r="B59" s="171"/>
      <c r="C59" s="171"/>
      <c r="D59" s="171"/>
      <c r="E59" s="172"/>
      <c r="F59" s="172"/>
      <c r="G59" s="209"/>
      <c r="H59" s="245"/>
      <c r="I59" s="170"/>
      <c r="J59" s="173"/>
      <c r="K59" s="174"/>
      <c r="L59" s="173"/>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245"/>
      <c r="AX59" s="245"/>
      <c r="AY59" s="245"/>
      <c r="AZ59" s="245"/>
      <c r="BA59" s="245"/>
      <c r="BB59" s="245"/>
      <c r="BC59" s="245"/>
    </row>
    <row r="60" spans="1:55" ht="12" customHeight="1" x14ac:dyDescent="0.3">
      <c r="A60" s="205"/>
      <c r="B60" s="171"/>
      <c r="C60" s="171"/>
      <c r="D60" s="171"/>
      <c r="E60" s="172"/>
      <c r="F60" s="172"/>
      <c r="G60" s="209"/>
      <c r="H60" s="245"/>
      <c r="I60" s="170"/>
      <c r="J60" s="173"/>
      <c r="K60" s="174"/>
      <c r="L60" s="173"/>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245"/>
      <c r="AX60" s="245"/>
      <c r="AY60" s="245"/>
      <c r="AZ60" s="245"/>
      <c r="BA60" s="245"/>
      <c r="BB60" s="245"/>
      <c r="BC60" s="245"/>
    </row>
    <row r="61" spans="1:55" ht="12" customHeight="1" x14ac:dyDescent="0.3">
      <c r="A61" s="205"/>
      <c r="B61" s="171"/>
      <c r="C61" s="171"/>
      <c r="D61" s="171"/>
      <c r="E61" s="172"/>
      <c r="F61" s="172"/>
      <c r="G61" s="209"/>
      <c r="H61" s="245"/>
      <c r="I61" s="170"/>
      <c r="J61" s="173"/>
      <c r="K61" s="174"/>
      <c r="L61" s="173"/>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245"/>
      <c r="AX61" s="245"/>
      <c r="AY61" s="245"/>
      <c r="AZ61" s="245"/>
      <c r="BA61" s="245"/>
      <c r="BB61" s="245"/>
      <c r="BC61" s="245"/>
    </row>
    <row r="62" spans="1:55" ht="12" customHeight="1" x14ac:dyDescent="0.3">
      <c r="A62" s="205"/>
      <c r="B62" s="171"/>
      <c r="C62" s="171"/>
      <c r="D62" s="171"/>
      <c r="E62" s="172"/>
      <c r="F62" s="172"/>
      <c r="G62" s="209"/>
      <c r="H62" s="245"/>
      <c r="I62" s="170"/>
      <c r="J62" s="173"/>
      <c r="K62" s="174"/>
      <c r="L62" s="173"/>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245"/>
      <c r="AX62" s="245"/>
      <c r="AY62" s="245"/>
      <c r="AZ62" s="245"/>
      <c r="BA62" s="245"/>
      <c r="BB62" s="245"/>
      <c r="BC62" s="245"/>
    </row>
    <row r="63" spans="1:55" ht="12" customHeight="1" x14ac:dyDescent="0.3">
      <c r="A63" s="205"/>
      <c r="B63" s="171"/>
      <c r="C63" s="171"/>
      <c r="D63" s="171"/>
      <c r="E63" s="172"/>
      <c r="F63" s="172"/>
      <c r="G63" s="209"/>
      <c r="H63" s="245"/>
      <c r="I63" s="170"/>
      <c r="J63" s="173"/>
      <c r="K63" s="174"/>
      <c r="L63" s="173"/>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245"/>
      <c r="AX63" s="245"/>
      <c r="AY63" s="245"/>
      <c r="AZ63" s="245"/>
      <c r="BA63" s="245"/>
      <c r="BB63" s="245"/>
      <c r="BC63" s="245"/>
    </row>
    <row r="64" spans="1:55" ht="12" customHeight="1" x14ac:dyDescent="0.3">
      <c r="A64" s="205"/>
      <c r="B64" s="171"/>
      <c r="C64" s="171"/>
      <c r="D64" s="171"/>
      <c r="E64" s="172"/>
      <c r="F64" s="172"/>
      <c r="G64" s="209"/>
      <c r="H64" s="245"/>
      <c r="I64" s="170"/>
      <c r="J64" s="173"/>
      <c r="K64" s="174"/>
      <c r="L64" s="173"/>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245"/>
      <c r="AX64" s="245"/>
      <c r="AY64" s="245"/>
      <c r="AZ64" s="245"/>
      <c r="BA64" s="245"/>
      <c r="BB64" s="245"/>
      <c r="BC64" s="245"/>
    </row>
    <row r="65" spans="1:55" ht="12" customHeight="1" x14ac:dyDescent="0.3">
      <c r="A65" s="205"/>
      <c r="B65" s="171"/>
      <c r="C65" s="171"/>
      <c r="D65" s="171"/>
      <c r="E65" s="172"/>
      <c r="F65" s="172"/>
      <c r="G65" s="209"/>
      <c r="H65" s="245"/>
      <c r="I65" s="170"/>
      <c r="J65" s="173"/>
      <c r="K65" s="174"/>
      <c r="L65" s="173"/>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245"/>
      <c r="AX65" s="245"/>
      <c r="AY65" s="245"/>
      <c r="AZ65" s="245"/>
      <c r="BA65" s="245"/>
      <c r="BB65" s="245"/>
      <c r="BC65" s="245"/>
    </row>
    <row r="66" spans="1:55" ht="12" customHeight="1" x14ac:dyDescent="0.3">
      <c r="A66" s="205"/>
      <c r="B66" s="171"/>
      <c r="C66" s="171"/>
      <c r="D66" s="171"/>
      <c r="E66" s="172"/>
      <c r="F66" s="172"/>
      <c r="G66" s="209"/>
      <c r="H66" s="245"/>
      <c r="I66" s="170"/>
      <c r="J66" s="173"/>
      <c r="K66" s="174"/>
      <c r="L66" s="173"/>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245"/>
      <c r="AX66" s="245"/>
      <c r="AY66" s="245"/>
      <c r="AZ66" s="245"/>
      <c r="BA66" s="245"/>
      <c r="BB66" s="245"/>
      <c r="BC66" s="245"/>
    </row>
    <row r="67" spans="1:55" ht="12" customHeight="1" x14ac:dyDescent="0.3">
      <c r="A67" s="205"/>
      <c r="B67" s="171"/>
      <c r="C67" s="171"/>
      <c r="D67" s="171"/>
      <c r="E67" s="172"/>
      <c r="F67" s="172"/>
      <c r="G67" s="209"/>
      <c r="H67" s="245"/>
      <c r="I67" s="170"/>
      <c r="J67" s="173"/>
      <c r="K67" s="174"/>
      <c r="L67" s="173"/>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245"/>
      <c r="AX67" s="245"/>
      <c r="AY67" s="245"/>
      <c r="AZ67" s="245"/>
      <c r="BA67" s="245"/>
      <c r="BB67" s="245"/>
      <c r="BC67" s="245"/>
    </row>
    <row r="68" spans="1:55" ht="12" customHeight="1" x14ac:dyDescent="0.3">
      <c r="A68" s="205"/>
      <c r="B68" s="171"/>
      <c r="C68" s="171"/>
      <c r="D68" s="171"/>
      <c r="E68" s="172"/>
      <c r="F68" s="172"/>
      <c r="G68" s="209"/>
      <c r="H68" s="245"/>
      <c r="I68" s="170"/>
      <c r="J68" s="173"/>
      <c r="K68" s="174"/>
      <c r="L68" s="173"/>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245"/>
      <c r="AX68" s="245"/>
      <c r="AY68" s="245"/>
      <c r="AZ68" s="245"/>
      <c r="BA68" s="245"/>
      <c r="BB68" s="245"/>
      <c r="BC68" s="245"/>
    </row>
    <row r="69" spans="1:55" ht="12" customHeight="1" x14ac:dyDescent="0.3">
      <c r="A69" s="205"/>
      <c r="B69" s="171"/>
      <c r="C69" s="171"/>
      <c r="D69" s="171"/>
      <c r="E69" s="172"/>
      <c r="F69" s="172"/>
      <c r="G69" s="209"/>
      <c r="H69" s="245"/>
      <c r="I69" s="170"/>
      <c r="J69" s="173"/>
      <c r="K69" s="174"/>
      <c r="L69" s="173"/>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245"/>
      <c r="AX69" s="245"/>
      <c r="AY69" s="245"/>
      <c r="AZ69" s="245"/>
      <c r="BA69" s="245"/>
      <c r="BB69" s="245"/>
      <c r="BC69" s="245"/>
    </row>
    <row r="70" spans="1:55" ht="12" customHeight="1" x14ac:dyDescent="0.3">
      <c r="A70" s="205"/>
      <c r="B70" s="171"/>
      <c r="C70" s="171"/>
      <c r="D70" s="171"/>
      <c r="E70" s="172"/>
      <c r="F70" s="172"/>
      <c r="G70" s="209"/>
      <c r="H70" s="245"/>
      <c r="I70" s="170"/>
      <c r="J70" s="173"/>
      <c r="K70" s="174"/>
      <c r="L70" s="173"/>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245"/>
      <c r="AX70" s="245"/>
      <c r="AY70" s="245"/>
      <c r="AZ70" s="245"/>
      <c r="BA70" s="245"/>
      <c r="BB70" s="245"/>
      <c r="BC70" s="245"/>
    </row>
    <row r="71" spans="1:55" ht="12" customHeight="1" x14ac:dyDescent="0.3">
      <c r="A71" s="205"/>
      <c r="B71" s="171"/>
      <c r="C71" s="171"/>
      <c r="D71" s="171"/>
      <c r="E71" s="172"/>
      <c r="F71" s="172"/>
      <c r="G71" s="209"/>
      <c r="H71" s="245"/>
      <c r="I71" s="170"/>
      <c r="J71" s="173"/>
      <c r="K71" s="174"/>
      <c r="L71" s="173"/>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245"/>
      <c r="AX71" s="245"/>
      <c r="AY71" s="245"/>
      <c r="AZ71" s="245"/>
      <c r="BA71" s="245"/>
      <c r="BB71" s="245"/>
      <c r="BC71" s="245"/>
    </row>
    <row r="72" spans="1:55" ht="12" customHeight="1" x14ac:dyDescent="0.3">
      <c r="A72" s="205"/>
      <c r="B72" s="171"/>
      <c r="C72" s="171"/>
      <c r="D72" s="171"/>
      <c r="E72" s="172"/>
      <c r="F72" s="172"/>
      <c r="G72" s="209"/>
      <c r="H72" s="245"/>
      <c r="I72" s="170"/>
      <c r="J72" s="173"/>
      <c r="K72" s="174"/>
      <c r="L72" s="173"/>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245"/>
      <c r="AX72" s="245"/>
      <c r="AY72" s="245"/>
      <c r="AZ72" s="245"/>
      <c r="BA72" s="245"/>
      <c r="BB72" s="245"/>
      <c r="BC72" s="245"/>
    </row>
    <row r="73" spans="1:55" ht="12" customHeight="1" x14ac:dyDescent="0.3">
      <c r="A73" s="205"/>
      <c r="B73" s="171"/>
      <c r="C73" s="171"/>
      <c r="D73" s="171"/>
      <c r="E73" s="172"/>
      <c r="F73" s="172"/>
      <c r="G73" s="209"/>
      <c r="H73" s="245"/>
      <c r="I73" s="170"/>
      <c r="J73" s="173"/>
      <c r="K73" s="174"/>
      <c r="L73" s="173"/>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245"/>
      <c r="AX73" s="245"/>
      <c r="AY73" s="245"/>
      <c r="AZ73" s="245"/>
      <c r="BA73" s="245"/>
      <c r="BB73" s="245"/>
      <c r="BC73" s="245"/>
    </row>
    <row r="74" spans="1:55" ht="12" customHeight="1" x14ac:dyDescent="0.3">
      <c r="A74" s="205"/>
      <c r="B74" s="171"/>
      <c r="C74" s="171"/>
      <c r="D74" s="171"/>
      <c r="E74" s="172"/>
      <c r="F74" s="172"/>
      <c r="G74" s="209"/>
      <c r="H74" s="245"/>
      <c r="I74" s="170"/>
      <c r="J74" s="173"/>
      <c r="K74" s="174"/>
      <c r="L74" s="173"/>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245"/>
      <c r="AX74" s="245"/>
      <c r="AY74" s="245"/>
      <c r="AZ74" s="245"/>
      <c r="BA74" s="245"/>
      <c r="BB74" s="245"/>
      <c r="BC74" s="245"/>
    </row>
    <row r="75" spans="1:55" ht="12" customHeight="1" x14ac:dyDescent="0.3">
      <c r="A75" s="205"/>
      <c r="B75" s="171"/>
      <c r="C75" s="171"/>
      <c r="D75" s="171"/>
      <c r="E75" s="172"/>
      <c r="F75" s="172"/>
      <c r="G75" s="209"/>
      <c r="H75" s="245"/>
      <c r="I75" s="170"/>
      <c r="J75" s="173"/>
      <c r="K75" s="174"/>
      <c r="L75" s="173"/>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245"/>
      <c r="AX75" s="245"/>
      <c r="AY75" s="245"/>
      <c r="AZ75" s="245"/>
      <c r="BA75" s="245"/>
      <c r="BB75" s="245"/>
      <c r="BC75" s="245"/>
    </row>
    <row r="76" spans="1:55" ht="12" customHeight="1" x14ac:dyDescent="0.3">
      <c r="A76" s="205"/>
      <c r="B76" s="171"/>
      <c r="C76" s="171"/>
      <c r="D76" s="171"/>
      <c r="E76" s="172"/>
      <c r="F76" s="172"/>
      <c r="G76" s="209"/>
      <c r="H76" s="245"/>
      <c r="I76" s="170"/>
      <c r="J76" s="173"/>
      <c r="K76" s="174"/>
      <c r="L76" s="173"/>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245"/>
      <c r="AX76" s="245"/>
      <c r="AY76" s="245"/>
      <c r="AZ76" s="245"/>
      <c r="BA76" s="245"/>
      <c r="BB76" s="245"/>
      <c r="BC76" s="245"/>
    </row>
    <row r="77" spans="1:55" ht="12" customHeight="1" x14ac:dyDescent="0.3">
      <c r="A77" s="205"/>
      <c r="B77" s="171"/>
      <c r="C77" s="171"/>
      <c r="D77" s="171"/>
      <c r="E77" s="172"/>
      <c r="F77" s="172"/>
      <c r="G77" s="209"/>
      <c r="H77" s="245"/>
      <c r="I77" s="170"/>
      <c r="J77" s="173"/>
      <c r="K77" s="174"/>
      <c r="L77" s="173"/>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245"/>
      <c r="AX77" s="245"/>
      <c r="AY77" s="245"/>
      <c r="AZ77" s="245"/>
      <c r="BA77" s="245"/>
      <c r="BB77" s="245"/>
      <c r="BC77" s="245"/>
    </row>
    <row r="78" spans="1:55" s="212" customFormat="1" ht="12" customHeight="1" x14ac:dyDescent="0.3">
      <c r="A78" s="205"/>
      <c r="B78" s="171"/>
      <c r="C78" s="171"/>
      <c r="D78" s="171"/>
      <c r="E78" s="211"/>
      <c r="F78" s="211"/>
      <c r="G78" s="209"/>
      <c r="H78" s="245"/>
      <c r="I78" s="170"/>
      <c r="J78" s="173"/>
      <c r="K78" s="174"/>
      <c r="L78" s="173"/>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245"/>
      <c r="AX78" s="245"/>
      <c r="AY78" s="245"/>
      <c r="AZ78" s="245"/>
      <c r="BA78" s="245"/>
      <c r="BB78" s="245"/>
      <c r="BC78" s="245"/>
    </row>
    <row r="79" spans="1:55" s="212" customFormat="1" ht="12" customHeight="1" x14ac:dyDescent="0.3">
      <c r="A79" s="205"/>
      <c r="B79" s="171"/>
      <c r="C79" s="171"/>
      <c r="D79" s="171"/>
      <c r="E79" s="211"/>
      <c r="F79" s="211"/>
      <c r="G79" s="209"/>
      <c r="H79" s="245"/>
      <c r="I79" s="170"/>
      <c r="J79" s="173"/>
      <c r="K79" s="174"/>
      <c r="L79" s="173"/>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245"/>
      <c r="AX79" s="245"/>
      <c r="AY79" s="245"/>
      <c r="AZ79" s="245"/>
      <c r="BA79" s="245"/>
      <c r="BB79" s="245"/>
      <c r="BC79" s="245"/>
    </row>
    <row r="80" spans="1:55" ht="12" customHeight="1" x14ac:dyDescent="0.3">
      <c r="A80" s="205"/>
      <c r="B80" s="171"/>
      <c r="C80" s="171"/>
      <c r="D80" s="171"/>
      <c r="E80" s="172"/>
      <c r="F80" s="172"/>
      <c r="G80" s="209"/>
      <c r="H80" s="245"/>
      <c r="I80" s="170"/>
      <c r="J80" s="173"/>
      <c r="K80" s="174"/>
      <c r="L80" s="173"/>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245"/>
      <c r="AX80" s="245"/>
      <c r="AY80" s="245"/>
      <c r="AZ80" s="245"/>
      <c r="BA80" s="245"/>
      <c r="BB80" s="245"/>
      <c r="BC80" s="245"/>
    </row>
    <row r="81" spans="1:55" ht="12" customHeight="1" x14ac:dyDescent="0.3">
      <c r="A81" s="205"/>
      <c r="B81" s="171"/>
      <c r="C81" s="171"/>
      <c r="D81" s="171"/>
      <c r="E81" s="172"/>
      <c r="F81" s="172"/>
      <c r="G81" s="209"/>
      <c r="H81" s="245"/>
      <c r="I81" s="170"/>
      <c r="J81" s="173"/>
      <c r="K81" s="174"/>
      <c r="L81" s="173"/>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245"/>
      <c r="AX81" s="245"/>
      <c r="AY81" s="245"/>
      <c r="AZ81" s="245"/>
      <c r="BA81" s="245"/>
      <c r="BB81" s="245"/>
      <c r="BC81" s="245"/>
    </row>
    <row r="82" spans="1:55" ht="12" customHeight="1" x14ac:dyDescent="0.3">
      <c r="A82" s="205"/>
      <c r="B82" s="171"/>
      <c r="C82" s="171"/>
      <c r="D82" s="171"/>
      <c r="E82" s="172"/>
      <c r="F82" s="172"/>
      <c r="G82" s="209"/>
      <c r="H82" s="245"/>
      <c r="I82" s="170"/>
      <c r="J82" s="173"/>
      <c r="K82" s="174"/>
      <c r="L82" s="173"/>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245"/>
      <c r="AX82" s="245"/>
      <c r="AY82" s="245"/>
      <c r="AZ82" s="245"/>
      <c r="BA82" s="245"/>
      <c r="BB82" s="245"/>
      <c r="BC82" s="245"/>
    </row>
    <row r="83" spans="1:55" ht="12" customHeight="1" x14ac:dyDescent="0.3">
      <c r="A83" s="205"/>
      <c r="B83" s="171"/>
      <c r="C83" s="171"/>
      <c r="D83" s="171"/>
      <c r="E83" s="172"/>
      <c r="F83" s="172"/>
      <c r="G83" s="209"/>
      <c r="H83" s="245"/>
      <c r="I83" s="170"/>
      <c r="J83" s="173"/>
      <c r="K83" s="174"/>
      <c r="L83" s="173"/>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245"/>
      <c r="AX83" s="245"/>
      <c r="AY83" s="245"/>
      <c r="AZ83" s="245"/>
      <c r="BA83" s="245"/>
      <c r="BB83" s="245"/>
      <c r="BC83" s="245"/>
    </row>
    <row r="84" spans="1:55" ht="12" customHeight="1" x14ac:dyDescent="0.3">
      <c r="A84" s="205"/>
      <c r="B84" s="171"/>
      <c r="C84" s="171"/>
      <c r="D84" s="171"/>
      <c r="E84" s="172"/>
      <c r="F84" s="172"/>
      <c r="G84" s="209"/>
      <c r="H84" s="245"/>
      <c r="I84" s="170"/>
      <c r="J84" s="173"/>
      <c r="K84" s="174"/>
      <c r="L84" s="173"/>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245"/>
      <c r="AX84" s="245"/>
      <c r="AY84" s="245"/>
      <c r="AZ84" s="245"/>
      <c r="BA84" s="245"/>
      <c r="BB84" s="245"/>
      <c r="BC84" s="245"/>
    </row>
    <row r="85" spans="1:55" ht="12" customHeight="1" x14ac:dyDescent="0.3">
      <c r="A85" s="205"/>
      <c r="B85" s="171"/>
      <c r="C85" s="171"/>
      <c r="D85" s="171"/>
      <c r="E85" s="172"/>
      <c r="F85" s="172"/>
      <c r="G85" s="209"/>
      <c r="H85" s="245"/>
      <c r="I85" s="170"/>
      <c r="J85" s="173"/>
      <c r="K85" s="174"/>
      <c r="L85" s="173"/>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245"/>
      <c r="AX85" s="245"/>
      <c r="AY85" s="245"/>
      <c r="AZ85" s="245"/>
      <c r="BA85" s="245"/>
      <c r="BB85" s="245"/>
      <c r="BC85" s="245"/>
    </row>
    <row r="86" spans="1:55" ht="12" customHeight="1" x14ac:dyDescent="0.3">
      <c r="A86" s="205"/>
      <c r="B86" s="171"/>
      <c r="C86" s="171"/>
      <c r="D86" s="171"/>
      <c r="E86" s="172"/>
      <c r="F86" s="172"/>
      <c r="G86" s="209"/>
      <c r="H86" s="245"/>
      <c r="I86" s="170"/>
      <c r="J86" s="173"/>
      <c r="K86" s="174"/>
      <c r="L86" s="173"/>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245"/>
      <c r="AX86" s="245"/>
      <c r="AY86" s="245"/>
      <c r="AZ86" s="245"/>
      <c r="BA86" s="245"/>
      <c r="BB86" s="245"/>
      <c r="BC86" s="245"/>
    </row>
    <row r="87" spans="1:55" ht="12" customHeight="1" x14ac:dyDescent="0.3">
      <c r="A87" s="205"/>
      <c r="B87" s="171"/>
      <c r="C87" s="171"/>
      <c r="D87" s="171"/>
      <c r="E87" s="172"/>
      <c r="F87" s="172"/>
      <c r="G87" s="209"/>
      <c r="H87" s="245"/>
      <c r="I87" s="170"/>
      <c r="J87" s="173"/>
      <c r="K87" s="174"/>
      <c r="L87" s="173"/>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245"/>
      <c r="AX87" s="245"/>
      <c r="AY87" s="245"/>
      <c r="AZ87" s="245"/>
      <c r="BA87" s="245"/>
      <c r="BB87" s="245"/>
      <c r="BC87" s="245"/>
    </row>
    <row r="88" spans="1:55" ht="12" customHeight="1" x14ac:dyDescent="0.3">
      <c r="A88" s="205"/>
      <c r="B88" s="171"/>
      <c r="C88" s="171"/>
      <c r="D88" s="171"/>
      <c r="E88" s="172"/>
      <c r="F88" s="172"/>
      <c r="G88" s="209"/>
      <c r="H88" s="245"/>
      <c r="I88" s="170"/>
      <c r="J88" s="173"/>
      <c r="K88" s="174"/>
      <c r="L88" s="173"/>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245"/>
      <c r="AX88" s="245"/>
      <c r="AY88" s="245"/>
      <c r="AZ88" s="245"/>
      <c r="BA88" s="245"/>
      <c r="BB88" s="245"/>
      <c r="BC88" s="245"/>
    </row>
    <row r="89" spans="1:55" ht="12" customHeight="1" x14ac:dyDescent="0.3">
      <c r="A89" s="205"/>
      <c r="B89" s="171"/>
      <c r="C89" s="171"/>
      <c r="D89" s="171"/>
      <c r="E89" s="172"/>
      <c r="F89" s="172"/>
      <c r="G89" s="209"/>
      <c r="H89" s="245"/>
      <c r="I89" s="170"/>
      <c r="J89" s="173"/>
      <c r="K89" s="174"/>
      <c r="L89" s="173"/>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245"/>
      <c r="AX89" s="245"/>
      <c r="AY89" s="245"/>
      <c r="AZ89" s="245"/>
      <c r="BA89" s="245"/>
      <c r="BB89" s="245"/>
      <c r="BC89" s="245"/>
    </row>
    <row r="90" spans="1:55" ht="12" customHeight="1" x14ac:dyDescent="0.3">
      <c r="A90" s="205"/>
      <c r="B90" s="171"/>
      <c r="C90" s="171"/>
      <c r="D90" s="171"/>
      <c r="E90" s="172"/>
      <c r="F90" s="172"/>
      <c r="G90" s="209"/>
      <c r="H90" s="245"/>
      <c r="I90" s="170"/>
      <c r="J90" s="173"/>
      <c r="K90" s="174"/>
      <c r="L90" s="173"/>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245"/>
      <c r="AX90" s="245"/>
      <c r="AY90" s="245"/>
      <c r="AZ90" s="245"/>
      <c r="BA90" s="245"/>
      <c r="BB90" s="245"/>
      <c r="BC90" s="245"/>
    </row>
    <row r="91" spans="1:55" ht="12" customHeight="1" x14ac:dyDescent="0.3">
      <c r="A91" s="205"/>
      <c r="B91" s="171"/>
      <c r="C91" s="171"/>
      <c r="D91" s="171"/>
      <c r="E91" s="172"/>
      <c r="F91" s="172"/>
      <c r="G91" s="209"/>
      <c r="H91" s="245"/>
      <c r="I91" s="170"/>
      <c r="J91" s="173"/>
      <c r="K91" s="174"/>
      <c r="L91" s="173"/>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245"/>
      <c r="AX91" s="245"/>
      <c r="AY91" s="245"/>
      <c r="AZ91" s="245"/>
      <c r="BA91" s="245"/>
      <c r="BB91" s="245"/>
      <c r="BC91" s="245"/>
    </row>
    <row r="92" spans="1:55" ht="12" customHeight="1" x14ac:dyDescent="0.3">
      <c r="A92" s="205"/>
      <c r="B92" s="171"/>
      <c r="C92" s="171"/>
      <c r="D92" s="171"/>
      <c r="E92" s="172"/>
      <c r="F92" s="172"/>
      <c r="G92" s="209"/>
      <c r="H92" s="245"/>
      <c r="I92" s="170"/>
      <c r="J92" s="173"/>
      <c r="K92" s="174"/>
      <c r="L92" s="173"/>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245"/>
      <c r="AX92" s="245"/>
      <c r="AY92" s="245"/>
      <c r="AZ92" s="245"/>
      <c r="BA92" s="245"/>
      <c r="BB92" s="245"/>
      <c r="BC92" s="245"/>
    </row>
    <row r="93" spans="1:55" ht="12" customHeight="1" x14ac:dyDescent="0.3">
      <c r="A93" s="205"/>
      <c r="B93" s="171"/>
      <c r="C93" s="171"/>
      <c r="D93" s="171"/>
      <c r="E93" s="172"/>
      <c r="F93" s="172"/>
      <c r="G93" s="209"/>
      <c r="H93" s="245"/>
      <c r="I93" s="170"/>
      <c r="J93" s="173"/>
      <c r="K93" s="174"/>
      <c r="L93" s="173"/>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245"/>
      <c r="AX93" s="245"/>
      <c r="AY93" s="245"/>
      <c r="AZ93" s="245"/>
      <c r="BA93" s="245"/>
      <c r="BB93" s="245"/>
      <c r="BC93" s="245"/>
    </row>
    <row r="94" spans="1:55" ht="12" customHeight="1" x14ac:dyDescent="0.3">
      <c r="A94" s="205"/>
      <c r="B94" s="171"/>
      <c r="C94" s="171"/>
      <c r="D94" s="171"/>
      <c r="E94" s="172"/>
      <c r="F94" s="172"/>
      <c r="G94" s="209"/>
      <c r="H94" s="245"/>
      <c r="I94" s="170"/>
      <c r="J94" s="173"/>
      <c r="K94" s="174"/>
      <c r="L94" s="173"/>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245"/>
      <c r="AX94" s="245"/>
      <c r="AY94" s="245"/>
      <c r="AZ94" s="245"/>
      <c r="BA94" s="245"/>
      <c r="BB94" s="245"/>
      <c r="BC94" s="245"/>
    </row>
    <row r="95" spans="1:55" ht="12" customHeight="1" x14ac:dyDescent="0.3">
      <c r="A95" s="205"/>
      <c r="B95" s="171"/>
      <c r="C95" s="171"/>
      <c r="D95" s="171"/>
      <c r="E95" s="172"/>
      <c r="F95" s="172"/>
      <c r="G95" s="209"/>
      <c r="H95" s="245"/>
      <c r="I95" s="170"/>
      <c r="J95" s="173"/>
      <c r="K95" s="174"/>
      <c r="L95" s="173"/>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245"/>
      <c r="AX95" s="245"/>
      <c r="AY95" s="245"/>
      <c r="AZ95" s="245"/>
      <c r="BA95" s="245"/>
      <c r="BB95" s="245"/>
      <c r="BC95" s="245"/>
    </row>
    <row r="96" spans="1:55" ht="12" customHeight="1" x14ac:dyDescent="0.3">
      <c r="A96" s="205"/>
      <c r="B96" s="171"/>
      <c r="C96" s="171"/>
      <c r="D96" s="171"/>
      <c r="E96" s="172"/>
      <c r="F96" s="172"/>
      <c r="G96" s="209"/>
      <c r="H96" s="245"/>
      <c r="I96" s="170"/>
      <c r="J96" s="173"/>
      <c r="K96" s="174"/>
      <c r="L96" s="173"/>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245"/>
      <c r="AX96" s="245"/>
      <c r="AY96" s="245"/>
      <c r="AZ96" s="245"/>
      <c r="BA96" s="245"/>
      <c r="BB96" s="245"/>
      <c r="BC96" s="245"/>
    </row>
    <row r="97" spans="1:55" ht="12" customHeight="1" x14ac:dyDescent="0.3">
      <c r="A97" s="205"/>
      <c r="B97" s="171"/>
      <c r="C97" s="171"/>
      <c r="D97" s="171"/>
      <c r="E97" s="172"/>
      <c r="F97" s="172"/>
      <c r="G97" s="209"/>
      <c r="H97" s="245"/>
      <c r="I97" s="170"/>
      <c r="J97" s="173"/>
      <c r="K97" s="174"/>
      <c r="L97" s="173"/>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245"/>
      <c r="AX97" s="245"/>
      <c r="AY97" s="245"/>
      <c r="AZ97" s="245"/>
      <c r="BA97" s="245"/>
      <c r="BB97" s="245"/>
      <c r="BC97" s="245"/>
    </row>
    <row r="98" spans="1:55" ht="12" customHeight="1" x14ac:dyDescent="0.3">
      <c r="A98" s="205"/>
      <c r="B98" s="171"/>
      <c r="C98" s="171"/>
      <c r="D98" s="171"/>
      <c r="E98" s="172"/>
      <c r="F98" s="172"/>
      <c r="G98" s="209"/>
      <c r="H98" s="245"/>
      <c r="I98" s="170"/>
      <c r="J98" s="173"/>
      <c r="K98" s="174"/>
      <c r="L98" s="173"/>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245"/>
      <c r="AX98" s="245"/>
      <c r="AY98" s="245"/>
      <c r="AZ98" s="245"/>
      <c r="BA98" s="245"/>
      <c r="BB98" s="245"/>
      <c r="BC98" s="245"/>
    </row>
    <row r="99" spans="1:55" ht="12" customHeight="1" x14ac:dyDescent="0.3">
      <c r="A99" s="205"/>
      <c r="B99" s="171"/>
      <c r="C99" s="171"/>
      <c r="D99" s="171"/>
      <c r="E99" s="172"/>
      <c r="F99" s="172"/>
      <c r="G99" s="209"/>
      <c r="H99" s="245"/>
      <c r="I99" s="170"/>
      <c r="J99" s="173"/>
      <c r="K99" s="174"/>
      <c r="L99" s="173"/>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245"/>
      <c r="AX99" s="245"/>
      <c r="AY99" s="245"/>
      <c r="AZ99" s="245"/>
      <c r="BA99" s="245"/>
      <c r="BB99" s="245"/>
      <c r="BC99" s="245"/>
    </row>
    <row r="100" spans="1:55" ht="12" customHeight="1" x14ac:dyDescent="0.3">
      <c r="A100" s="205"/>
      <c r="B100" s="171"/>
      <c r="C100" s="171"/>
      <c r="D100" s="171"/>
      <c r="E100" s="172"/>
      <c r="F100" s="172"/>
      <c r="G100" s="209"/>
      <c r="H100" s="245"/>
      <c r="I100" s="170"/>
      <c r="J100" s="173"/>
      <c r="K100" s="174"/>
      <c r="L100" s="173"/>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245"/>
      <c r="AX100" s="245"/>
      <c r="AY100" s="245"/>
      <c r="AZ100" s="245"/>
      <c r="BA100" s="245"/>
      <c r="BB100" s="245"/>
      <c r="BC100" s="245"/>
    </row>
    <row r="101" spans="1:55" ht="12" customHeight="1" x14ac:dyDescent="0.3">
      <c r="A101" s="205"/>
      <c r="B101" s="171"/>
      <c r="C101" s="171"/>
      <c r="D101" s="171"/>
      <c r="E101" s="172"/>
      <c r="F101" s="172"/>
      <c r="G101" s="209"/>
      <c r="H101" s="245"/>
      <c r="I101" s="170"/>
      <c r="J101" s="173"/>
      <c r="K101" s="174"/>
      <c r="L101" s="173"/>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245"/>
      <c r="AX101" s="245"/>
      <c r="AY101" s="245"/>
      <c r="AZ101" s="245"/>
      <c r="BA101" s="245"/>
      <c r="BB101" s="245"/>
      <c r="BC101" s="245"/>
    </row>
    <row r="102" spans="1:55" ht="12" customHeight="1" x14ac:dyDescent="0.3">
      <c r="A102" s="205"/>
      <c r="B102" s="171"/>
      <c r="C102" s="171"/>
      <c r="D102" s="171"/>
      <c r="E102" s="172"/>
      <c r="F102" s="172"/>
      <c r="G102" s="209"/>
      <c r="H102" s="245"/>
      <c r="I102" s="170"/>
      <c r="J102" s="173"/>
      <c r="K102" s="174"/>
      <c r="L102" s="173"/>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245"/>
      <c r="AX102" s="245"/>
      <c r="AY102" s="245"/>
      <c r="AZ102" s="245"/>
      <c r="BA102" s="245"/>
      <c r="BB102" s="245"/>
      <c r="BC102" s="245"/>
    </row>
    <row r="103" spans="1:55" ht="12" customHeight="1" x14ac:dyDescent="0.3">
      <c r="A103" s="205"/>
      <c r="B103" s="171"/>
      <c r="C103" s="171"/>
      <c r="D103" s="171"/>
      <c r="E103" s="172"/>
      <c r="F103" s="172"/>
      <c r="G103" s="209"/>
      <c r="H103" s="245"/>
      <c r="I103" s="170"/>
      <c r="J103" s="173"/>
      <c r="K103" s="174"/>
      <c r="L103" s="173"/>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245"/>
      <c r="AX103" s="245"/>
      <c r="AY103" s="245"/>
      <c r="AZ103" s="245"/>
      <c r="BA103" s="245"/>
      <c r="BB103" s="245"/>
      <c r="BC103" s="245"/>
    </row>
    <row r="104" spans="1:55" ht="12" customHeight="1" x14ac:dyDescent="0.3">
      <c r="A104" s="205"/>
      <c r="B104" s="171"/>
      <c r="C104" s="171"/>
      <c r="D104" s="171"/>
      <c r="E104" s="172"/>
      <c r="F104" s="172"/>
      <c r="G104" s="209"/>
      <c r="H104" s="245"/>
      <c r="I104" s="170"/>
      <c r="J104" s="173"/>
      <c r="K104" s="174"/>
      <c r="L104" s="173"/>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245"/>
      <c r="AX104" s="245"/>
      <c r="AY104" s="245"/>
      <c r="AZ104" s="245"/>
      <c r="BA104" s="245"/>
      <c r="BB104" s="245"/>
      <c r="BC104" s="245"/>
    </row>
    <row r="105" spans="1:55" ht="12" customHeight="1" x14ac:dyDescent="0.3">
      <c r="A105" s="205"/>
      <c r="B105" s="171"/>
      <c r="C105" s="171"/>
      <c r="D105" s="171"/>
      <c r="E105" s="172"/>
      <c r="F105" s="172"/>
      <c r="G105" s="209"/>
      <c r="H105" s="245"/>
      <c r="I105" s="170"/>
      <c r="J105" s="173"/>
      <c r="K105" s="174"/>
      <c r="L105" s="173"/>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245"/>
      <c r="AX105" s="245"/>
      <c r="AY105" s="245"/>
      <c r="AZ105" s="245"/>
      <c r="BA105" s="245"/>
      <c r="BB105" s="245"/>
      <c r="BC105" s="245"/>
    </row>
    <row r="106" spans="1:55" ht="12" customHeight="1" x14ac:dyDescent="0.3">
      <c r="A106" s="205"/>
      <c r="B106" s="171"/>
      <c r="C106" s="171"/>
      <c r="D106" s="171"/>
      <c r="E106" s="172"/>
      <c r="F106" s="172"/>
      <c r="G106" s="209"/>
      <c r="H106" s="245"/>
      <c r="I106" s="170"/>
      <c r="J106" s="173"/>
      <c r="K106" s="174"/>
      <c r="L106" s="173"/>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245"/>
      <c r="AX106" s="245"/>
      <c r="AY106" s="245"/>
      <c r="AZ106" s="245"/>
      <c r="BA106" s="245"/>
      <c r="BB106" s="245"/>
      <c r="BC106" s="245"/>
    </row>
    <row r="107" spans="1:55" ht="12" customHeight="1" x14ac:dyDescent="0.3">
      <c r="A107" s="205"/>
      <c r="B107" s="171"/>
      <c r="C107" s="171"/>
      <c r="D107" s="171"/>
      <c r="E107" s="172"/>
      <c r="F107" s="172"/>
      <c r="G107" s="209"/>
      <c r="H107" s="245"/>
      <c r="I107" s="170"/>
      <c r="J107" s="173"/>
      <c r="K107" s="174"/>
      <c r="L107" s="173"/>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245"/>
      <c r="AX107" s="245"/>
      <c r="AY107" s="245"/>
      <c r="AZ107" s="245"/>
      <c r="BA107" s="245"/>
      <c r="BB107" s="245"/>
      <c r="BC107" s="245"/>
    </row>
    <row r="108" spans="1:55" ht="12" customHeight="1" x14ac:dyDescent="0.3">
      <c r="A108" s="205"/>
      <c r="B108" s="171"/>
      <c r="C108" s="171"/>
      <c r="D108" s="171"/>
      <c r="E108" s="172"/>
      <c r="F108" s="172"/>
      <c r="G108" s="209"/>
      <c r="H108" s="245"/>
      <c r="I108" s="170"/>
      <c r="J108" s="173"/>
      <c r="K108" s="174"/>
      <c r="L108" s="173"/>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245"/>
      <c r="AX108" s="245"/>
      <c r="AY108" s="245"/>
      <c r="AZ108" s="245"/>
      <c r="BA108" s="245"/>
      <c r="BB108" s="245"/>
      <c r="BC108" s="245"/>
    </row>
    <row r="109" spans="1:55" ht="12" customHeight="1" x14ac:dyDescent="0.3">
      <c r="A109" s="205"/>
      <c r="B109" s="171"/>
      <c r="C109" s="171"/>
      <c r="D109" s="171"/>
      <c r="E109" s="172"/>
      <c r="F109" s="172"/>
      <c r="G109" s="209"/>
      <c r="H109" s="245"/>
      <c r="I109" s="170"/>
      <c r="J109" s="173"/>
      <c r="K109" s="174"/>
      <c r="L109" s="173"/>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245"/>
      <c r="AX109" s="245"/>
      <c r="AY109" s="245"/>
      <c r="AZ109" s="245"/>
      <c r="BA109" s="245"/>
      <c r="BB109" s="245"/>
      <c r="BC109" s="245"/>
    </row>
    <row r="110" spans="1:55" ht="12" customHeight="1" x14ac:dyDescent="0.3">
      <c r="A110" s="205"/>
      <c r="B110" s="171"/>
      <c r="C110" s="171"/>
      <c r="D110" s="171"/>
      <c r="E110" s="172"/>
      <c r="F110" s="172"/>
      <c r="G110" s="209"/>
      <c r="H110" s="245"/>
      <c r="I110" s="170"/>
      <c r="J110" s="173"/>
      <c r="K110" s="174"/>
      <c r="L110" s="173"/>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245"/>
      <c r="AX110" s="245"/>
      <c r="AY110" s="245"/>
      <c r="AZ110" s="245"/>
      <c r="BA110" s="245"/>
      <c r="BB110" s="245"/>
      <c r="BC110" s="245"/>
    </row>
    <row r="111" spans="1:55" ht="12" customHeight="1" x14ac:dyDescent="0.3">
      <c r="A111" s="205"/>
      <c r="B111" s="171"/>
      <c r="C111" s="171"/>
      <c r="D111" s="171"/>
      <c r="E111" s="172"/>
      <c r="F111" s="172"/>
      <c r="G111" s="209"/>
      <c r="H111" s="245"/>
      <c r="I111" s="170"/>
      <c r="J111" s="173"/>
      <c r="K111" s="174"/>
      <c r="L111" s="173"/>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245"/>
      <c r="AX111" s="245"/>
      <c r="AY111" s="245"/>
      <c r="AZ111" s="245"/>
      <c r="BA111" s="245"/>
      <c r="BB111" s="245"/>
      <c r="BC111" s="245"/>
    </row>
    <row r="112" spans="1:55" ht="12" customHeight="1" x14ac:dyDescent="0.3">
      <c r="A112" s="205"/>
      <c r="B112" s="171"/>
      <c r="C112" s="171"/>
      <c r="D112" s="171"/>
      <c r="E112" s="172"/>
      <c r="F112" s="172"/>
      <c r="G112" s="209"/>
      <c r="H112" s="245"/>
      <c r="I112" s="170"/>
      <c r="J112" s="173"/>
      <c r="K112" s="174"/>
      <c r="L112" s="173"/>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245"/>
      <c r="AX112" s="245"/>
      <c r="AY112" s="245"/>
      <c r="AZ112" s="245"/>
      <c r="BA112" s="245"/>
      <c r="BB112" s="245"/>
      <c r="BC112" s="245"/>
    </row>
    <row r="113" spans="1:55" ht="12" customHeight="1" x14ac:dyDescent="0.3">
      <c r="A113" s="205"/>
      <c r="B113" s="171"/>
      <c r="C113" s="171"/>
      <c r="D113" s="171"/>
      <c r="E113" s="172"/>
      <c r="F113" s="172"/>
      <c r="G113" s="209"/>
      <c r="H113" s="245"/>
      <c r="I113" s="170"/>
      <c r="J113" s="173"/>
      <c r="K113" s="174"/>
      <c r="L113" s="173"/>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245"/>
      <c r="AX113" s="245"/>
      <c r="AY113" s="245"/>
      <c r="AZ113" s="245"/>
      <c r="BA113" s="245"/>
      <c r="BB113" s="245"/>
      <c r="BC113" s="245"/>
    </row>
    <row r="114" spans="1:55" ht="12" customHeight="1" x14ac:dyDescent="0.3">
      <c r="A114" s="205"/>
      <c r="B114" s="171"/>
      <c r="C114" s="171"/>
      <c r="D114" s="171"/>
      <c r="E114" s="172"/>
      <c r="F114" s="172"/>
      <c r="G114" s="209"/>
      <c r="H114" s="245"/>
      <c r="I114" s="170"/>
      <c r="J114" s="173"/>
      <c r="K114" s="174"/>
      <c r="L114" s="173"/>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245"/>
      <c r="AX114" s="245"/>
      <c r="AY114" s="245"/>
      <c r="AZ114" s="245"/>
      <c r="BA114" s="245"/>
      <c r="BB114" s="245"/>
      <c r="BC114" s="245"/>
    </row>
    <row r="115" spans="1:55" ht="12" customHeight="1" x14ac:dyDescent="0.3">
      <c r="A115" s="205"/>
      <c r="B115" s="171"/>
      <c r="C115" s="171"/>
      <c r="D115" s="171"/>
      <c r="E115" s="172"/>
      <c r="F115" s="172"/>
      <c r="G115" s="209"/>
      <c r="H115" s="245"/>
      <c r="I115" s="170"/>
      <c r="J115" s="173"/>
      <c r="K115" s="174"/>
      <c r="L115" s="173"/>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245"/>
      <c r="AX115" s="245"/>
      <c r="AY115" s="245"/>
      <c r="AZ115" s="245"/>
      <c r="BA115" s="245"/>
      <c r="BB115" s="245"/>
      <c r="BC115" s="245"/>
    </row>
    <row r="116" spans="1:55" ht="12" customHeight="1" x14ac:dyDescent="0.3">
      <c r="A116" s="205"/>
      <c r="B116" s="171"/>
      <c r="C116" s="171"/>
      <c r="D116" s="171"/>
      <c r="E116" s="172"/>
      <c r="F116" s="172"/>
      <c r="G116" s="209"/>
      <c r="H116" s="245"/>
      <c r="I116" s="170"/>
      <c r="J116" s="173"/>
      <c r="K116" s="174"/>
      <c r="L116" s="173"/>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245"/>
      <c r="AX116" s="245"/>
      <c r="AY116" s="245"/>
      <c r="AZ116" s="245"/>
      <c r="BA116" s="245"/>
      <c r="BB116" s="245"/>
      <c r="BC116" s="245"/>
    </row>
    <row r="117" spans="1:55" ht="12" customHeight="1" x14ac:dyDescent="0.3">
      <c r="A117" s="205"/>
      <c r="B117" s="171"/>
      <c r="C117" s="171"/>
      <c r="D117" s="171"/>
      <c r="E117" s="172"/>
      <c r="F117" s="172"/>
      <c r="G117" s="209"/>
      <c r="H117" s="245"/>
      <c r="I117" s="170"/>
      <c r="J117" s="173"/>
      <c r="K117" s="174"/>
      <c r="L117" s="173"/>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245"/>
      <c r="AX117" s="245"/>
      <c r="AY117" s="245"/>
      <c r="AZ117" s="245"/>
      <c r="BA117" s="245"/>
      <c r="BB117" s="245"/>
      <c r="BC117" s="245"/>
    </row>
    <row r="118" spans="1:55" ht="12" customHeight="1" x14ac:dyDescent="0.3">
      <c r="A118" s="205"/>
      <c r="B118" s="171"/>
      <c r="C118" s="171"/>
      <c r="D118" s="171"/>
      <c r="E118" s="172"/>
      <c r="F118" s="172"/>
      <c r="G118" s="209"/>
      <c r="H118" s="245"/>
      <c r="I118" s="170"/>
      <c r="J118" s="173"/>
      <c r="K118" s="174"/>
      <c r="L118" s="173"/>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245"/>
      <c r="AX118" s="245"/>
      <c r="AY118" s="245"/>
      <c r="AZ118" s="245"/>
      <c r="BA118" s="245"/>
      <c r="BB118" s="245"/>
      <c r="BC118" s="245"/>
    </row>
    <row r="119" spans="1:55" ht="12" customHeight="1" x14ac:dyDescent="0.3">
      <c r="A119" s="205"/>
      <c r="B119" s="171"/>
      <c r="C119" s="171"/>
      <c r="D119" s="171"/>
      <c r="E119" s="172"/>
      <c r="F119" s="172"/>
      <c r="G119" s="209"/>
      <c r="H119" s="245"/>
      <c r="I119" s="170"/>
      <c r="J119" s="173"/>
      <c r="K119" s="174"/>
      <c r="L119" s="173"/>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245"/>
      <c r="AX119" s="245"/>
      <c r="AY119" s="245"/>
      <c r="AZ119" s="245"/>
      <c r="BA119" s="245"/>
      <c r="BB119" s="245"/>
      <c r="BC119" s="245"/>
    </row>
    <row r="120" spans="1:55" ht="12" customHeight="1" x14ac:dyDescent="0.3">
      <c r="A120" s="205"/>
      <c r="B120" s="171"/>
      <c r="C120" s="171"/>
      <c r="D120" s="171"/>
      <c r="E120" s="172"/>
      <c r="F120" s="172"/>
      <c r="G120" s="209"/>
      <c r="H120" s="245"/>
      <c r="I120" s="170"/>
      <c r="J120" s="173"/>
      <c r="K120" s="174"/>
      <c r="L120" s="173"/>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245"/>
      <c r="AX120" s="245"/>
      <c r="AY120" s="245"/>
      <c r="AZ120" s="245"/>
      <c r="BA120" s="245"/>
      <c r="BB120" s="245"/>
      <c r="BC120" s="245"/>
    </row>
    <row r="121" spans="1:55" ht="12" customHeight="1" x14ac:dyDescent="0.3">
      <c r="A121" s="205"/>
      <c r="B121" s="171"/>
      <c r="C121" s="171"/>
      <c r="D121" s="171"/>
      <c r="E121" s="172"/>
      <c r="F121" s="172"/>
      <c r="G121" s="209"/>
      <c r="H121" s="245"/>
      <c r="I121" s="170"/>
      <c r="J121" s="173"/>
      <c r="K121" s="174"/>
      <c r="L121" s="173"/>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245"/>
      <c r="AX121" s="245"/>
      <c r="AY121" s="245"/>
      <c r="AZ121" s="245"/>
      <c r="BA121" s="245"/>
      <c r="BB121" s="245"/>
      <c r="BC121" s="245"/>
    </row>
    <row r="122" spans="1:55" ht="12" customHeight="1" x14ac:dyDescent="0.3">
      <c r="A122" s="205"/>
      <c r="B122" s="171"/>
      <c r="C122" s="171"/>
      <c r="D122" s="171"/>
      <c r="E122" s="172"/>
      <c r="F122" s="172"/>
      <c r="G122" s="209"/>
      <c r="H122" s="245"/>
      <c r="I122" s="170"/>
      <c r="J122" s="173"/>
      <c r="K122" s="174"/>
      <c r="L122" s="173"/>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245"/>
      <c r="AX122" s="245"/>
      <c r="AY122" s="245"/>
      <c r="AZ122" s="245"/>
      <c r="BA122" s="245"/>
      <c r="BB122" s="245"/>
      <c r="BC122" s="245"/>
    </row>
    <row r="123" spans="1:55" ht="12" customHeight="1" x14ac:dyDescent="0.3">
      <c r="A123" s="205"/>
      <c r="B123" s="171"/>
      <c r="C123" s="171"/>
      <c r="D123" s="171"/>
      <c r="E123" s="172"/>
      <c r="F123" s="172"/>
      <c r="G123" s="209"/>
      <c r="H123" s="245"/>
      <c r="I123" s="170"/>
      <c r="J123" s="173"/>
      <c r="K123" s="174"/>
      <c r="L123" s="173"/>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245"/>
      <c r="AX123" s="245"/>
      <c r="AY123" s="245"/>
      <c r="AZ123" s="245"/>
      <c r="BA123" s="245"/>
      <c r="BB123" s="245"/>
      <c r="BC123" s="245"/>
    </row>
    <row r="124" spans="1:55" ht="12" customHeight="1" x14ac:dyDescent="0.3">
      <c r="A124" s="205"/>
      <c r="B124" s="171"/>
      <c r="C124" s="171"/>
      <c r="D124" s="171"/>
      <c r="E124" s="172"/>
      <c r="F124" s="172"/>
      <c r="G124" s="209"/>
      <c r="H124" s="245"/>
      <c r="I124" s="170"/>
      <c r="J124" s="173"/>
      <c r="K124" s="174"/>
      <c r="L124" s="173"/>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245"/>
      <c r="AX124" s="245"/>
      <c r="AY124" s="245"/>
      <c r="AZ124" s="245"/>
      <c r="BA124" s="245"/>
      <c r="BB124" s="245"/>
      <c r="BC124" s="245"/>
    </row>
    <row r="125" spans="1:55" ht="12" customHeight="1" x14ac:dyDescent="0.3">
      <c r="A125" s="205"/>
      <c r="B125" s="171"/>
      <c r="C125" s="171"/>
      <c r="D125" s="171"/>
      <c r="E125" s="172"/>
      <c r="F125" s="172"/>
      <c r="G125" s="209"/>
      <c r="H125" s="245"/>
      <c r="I125" s="170"/>
      <c r="J125" s="173"/>
      <c r="K125" s="174"/>
      <c r="L125" s="173"/>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245"/>
      <c r="AX125" s="245"/>
      <c r="AY125" s="245"/>
      <c r="AZ125" s="245"/>
      <c r="BA125" s="245"/>
      <c r="BB125" s="245"/>
      <c r="BC125" s="245"/>
    </row>
    <row r="126" spans="1:55" ht="12" customHeight="1" x14ac:dyDescent="0.3">
      <c r="A126" s="205"/>
      <c r="B126" s="171"/>
      <c r="C126" s="171"/>
      <c r="D126" s="171"/>
      <c r="E126" s="172"/>
      <c r="F126" s="172"/>
      <c r="G126" s="209"/>
      <c r="H126" s="245"/>
      <c r="I126" s="170"/>
      <c r="J126" s="173"/>
      <c r="K126" s="174"/>
      <c r="L126" s="173"/>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245"/>
      <c r="AX126" s="245"/>
      <c r="AY126" s="245"/>
      <c r="AZ126" s="245"/>
      <c r="BA126" s="245"/>
      <c r="BB126" s="245"/>
      <c r="BC126" s="245"/>
    </row>
    <row r="127" spans="1:55" ht="12" customHeight="1" x14ac:dyDescent="0.3">
      <c r="A127" s="205"/>
      <c r="B127" s="171"/>
      <c r="C127" s="171"/>
      <c r="D127" s="171"/>
      <c r="E127" s="172"/>
      <c r="F127" s="172"/>
      <c r="G127" s="209"/>
      <c r="H127" s="245"/>
      <c r="I127" s="170"/>
      <c r="J127" s="173"/>
      <c r="K127" s="174"/>
      <c r="L127" s="173"/>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245"/>
      <c r="AX127" s="245"/>
      <c r="AY127" s="245"/>
      <c r="AZ127" s="245"/>
      <c r="BA127" s="245"/>
      <c r="BB127" s="245"/>
      <c r="BC127" s="245"/>
    </row>
    <row r="128" spans="1:55" ht="12" customHeight="1" x14ac:dyDescent="0.3">
      <c r="A128" s="205"/>
      <c r="B128" s="171"/>
      <c r="C128" s="171"/>
      <c r="D128" s="171"/>
      <c r="E128" s="172"/>
      <c r="F128" s="172"/>
      <c r="G128" s="209"/>
      <c r="H128" s="245"/>
      <c r="I128" s="170"/>
      <c r="J128" s="173"/>
      <c r="K128" s="174"/>
      <c r="L128" s="173"/>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245"/>
      <c r="AX128" s="245"/>
      <c r="AY128" s="245"/>
      <c r="AZ128" s="245"/>
      <c r="BA128" s="245"/>
      <c r="BB128" s="245"/>
      <c r="BC128" s="245"/>
    </row>
    <row r="129" spans="1:55" ht="12" customHeight="1" x14ac:dyDescent="0.3">
      <c r="A129" s="205"/>
      <c r="B129" s="171"/>
      <c r="C129" s="171"/>
      <c r="D129" s="171"/>
      <c r="E129" s="172"/>
      <c r="F129" s="172"/>
      <c r="G129" s="209"/>
      <c r="H129" s="245"/>
      <c r="I129" s="170"/>
      <c r="J129" s="173"/>
      <c r="K129" s="174"/>
      <c r="L129" s="173"/>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245"/>
      <c r="AX129" s="245"/>
      <c r="AY129" s="245"/>
      <c r="AZ129" s="245"/>
      <c r="BA129" s="245"/>
      <c r="BB129" s="245"/>
      <c r="BC129" s="245"/>
    </row>
    <row r="130" spans="1:55" ht="12" customHeight="1" x14ac:dyDescent="0.3">
      <c r="A130" s="205"/>
      <c r="B130" s="171"/>
      <c r="C130" s="171"/>
      <c r="D130" s="171"/>
      <c r="E130" s="172"/>
      <c r="F130" s="172"/>
      <c r="G130" s="209"/>
      <c r="H130" s="245"/>
      <c r="I130" s="170"/>
      <c r="J130" s="173"/>
      <c r="K130" s="174"/>
      <c r="L130" s="173"/>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245"/>
      <c r="AX130" s="245"/>
      <c r="AY130" s="245"/>
      <c r="AZ130" s="245"/>
      <c r="BA130" s="245"/>
      <c r="BB130" s="245"/>
      <c r="BC130" s="245"/>
    </row>
    <row r="131" spans="1:55" ht="12" customHeight="1" x14ac:dyDescent="0.3">
      <c r="A131" s="205"/>
      <c r="B131" s="171"/>
      <c r="C131" s="171"/>
      <c r="D131" s="171"/>
      <c r="E131" s="172"/>
      <c r="F131" s="172"/>
      <c r="G131" s="209"/>
      <c r="H131" s="245"/>
      <c r="I131" s="170"/>
      <c r="J131" s="173"/>
      <c r="K131" s="174"/>
      <c r="L131" s="173"/>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245"/>
      <c r="AX131" s="245"/>
      <c r="AY131" s="245"/>
      <c r="AZ131" s="245"/>
      <c r="BA131" s="245"/>
      <c r="BB131" s="245"/>
      <c r="BC131" s="245"/>
    </row>
    <row r="132" spans="1:55" ht="12" customHeight="1" x14ac:dyDescent="0.3">
      <c r="A132" s="205"/>
      <c r="B132" s="171"/>
      <c r="C132" s="171"/>
      <c r="D132" s="171"/>
      <c r="E132" s="172"/>
      <c r="F132" s="172"/>
      <c r="G132" s="209"/>
      <c r="H132" s="245"/>
      <c r="I132" s="170"/>
      <c r="J132" s="173"/>
      <c r="K132" s="174"/>
      <c r="L132" s="173"/>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245"/>
      <c r="AX132" s="245"/>
      <c r="AY132" s="245"/>
      <c r="AZ132" s="245"/>
      <c r="BA132" s="245"/>
      <c r="BB132" s="245"/>
      <c r="BC132" s="245"/>
    </row>
    <row r="133" spans="1:55" ht="12" customHeight="1" x14ac:dyDescent="0.3">
      <c r="A133" s="205"/>
      <c r="B133" s="171"/>
      <c r="C133" s="171"/>
      <c r="D133" s="171"/>
      <c r="E133" s="172"/>
      <c r="F133" s="172"/>
      <c r="G133" s="209"/>
      <c r="H133" s="245"/>
      <c r="I133" s="170"/>
      <c r="J133" s="173"/>
      <c r="K133" s="174"/>
      <c r="L133" s="173"/>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245"/>
      <c r="AX133" s="245"/>
      <c r="AY133" s="245"/>
      <c r="AZ133" s="245"/>
      <c r="BA133" s="245"/>
      <c r="BB133" s="245"/>
      <c r="BC133" s="245"/>
    </row>
    <row r="134" spans="1:55" ht="12" customHeight="1" x14ac:dyDescent="0.3">
      <c r="A134" s="205"/>
      <c r="B134" s="171"/>
      <c r="C134" s="171"/>
      <c r="D134" s="171"/>
      <c r="E134" s="172"/>
      <c r="F134" s="172"/>
      <c r="G134" s="209"/>
      <c r="H134" s="245"/>
      <c r="I134" s="170"/>
      <c r="J134" s="173"/>
      <c r="K134" s="174"/>
      <c r="L134" s="173"/>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245"/>
      <c r="AX134" s="245"/>
      <c r="AY134" s="245"/>
      <c r="AZ134" s="245"/>
      <c r="BA134" s="245"/>
      <c r="BB134" s="245"/>
      <c r="BC134" s="245"/>
    </row>
    <row r="135" spans="1:55" ht="12" customHeight="1" x14ac:dyDescent="0.3">
      <c r="A135" s="205"/>
      <c r="B135" s="171"/>
      <c r="C135" s="171"/>
      <c r="D135" s="171"/>
      <c r="E135" s="172"/>
      <c r="F135" s="172"/>
      <c r="G135" s="209"/>
      <c r="H135" s="245"/>
      <c r="I135" s="170"/>
      <c r="J135" s="173"/>
      <c r="K135" s="174"/>
      <c r="L135" s="173"/>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245"/>
      <c r="AX135" s="245"/>
      <c r="AY135" s="245"/>
      <c r="AZ135" s="245"/>
      <c r="BA135" s="245"/>
      <c r="BB135" s="245"/>
      <c r="BC135" s="245"/>
    </row>
    <row r="136" spans="1:55" ht="12" customHeight="1" x14ac:dyDescent="0.3">
      <c r="A136" s="205"/>
      <c r="B136" s="171"/>
      <c r="C136" s="171"/>
      <c r="D136" s="171"/>
      <c r="E136" s="172"/>
      <c r="F136" s="172"/>
      <c r="G136" s="209"/>
      <c r="H136" s="245"/>
      <c r="I136" s="170"/>
      <c r="J136" s="173"/>
      <c r="K136" s="174"/>
      <c r="L136" s="173"/>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245"/>
      <c r="AX136" s="245"/>
      <c r="AY136" s="245"/>
      <c r="AZ136" s="245"/>
      <c r="BA136" s="245"/>
      <c r="BB136" s="245"/>
      <c r="BC136" s="245"/>
    </row>
    <row r="137" spans="1:55" ht="12" customHeight="1" x14ac:dyDescent="0.3">
      <c r="A137" s="205"/>
      <c r="B137" s="171"/>
      <c r="C137" s="171"/>
      <c r="D137" s="171"/>
      <c r="E137" s="172"/>
      <c r="F137" s="172"/>
      <c r="G137" s="209"/>
      <c r="H137" s="245"/>
      <c r="I137" s="170"/>
      <c r="J137" s="173"/>
      <c r="K137" s="174"/>
      <c r="L137" s="173"/>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245"/>
      <c r="AX137" s="245"/>
      <c r="AY137" s="245"/>
      <c r="AZ137" s="245"/>
      <c r="BA137" s="245"/>
      <c r="BB137" s="245"/>
      <c r="BC137" s="245"/>
    </row>
    <row r="138" spans="1:55" ht="12" customHeight="1" x14ac:dyDescent="0.3">
      <c r="A138" s="205"/>
      <c r="B138" s="171"/>
      <c r="C138" s="171"/>
      <c r="D138" s="171"/>
      <c r="E138" s="172"/>
      <c r="F138" s="172"/>
      <c r="G138" s="209"/>
      <c r="H138" s="245"/>
      <c r="I138" s="170"/>
      <c r="J138" s="173"/>
      <c r="K138" s="174"/>
      <c r="L138" s="173"/>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245"/>
      <c r="AX138" s="245"/>
      <c r="AY138" s="245"/>
      <c r="AZ138" s="245"/>
      <c r="BA138" s="245"/>
      <c r="BB138" s="245"/>
      <c r="BC138" s="245"/>
    </row>
    <row r="139" spans="1:55" ht="12" customHeight="1" x14ac:dyDescent="0.3">
      <c r="A139" s="205"/>
      <c r="B139" s="171"/>
      <c r="C139" s="171"/>
      <c r="D139" s="171"/>
      <c r="E139" s="172"/>
      <c r="F139" s="172"/>
      <c r="G139" s="209"/>
      <c r="H139" s="245"/>
      <c r="I139" s="170"/>
      <c r="J139" s="173"/>
      <c r="K139" s="174"/>
      <c r="L139" s="173"/>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245"/>
      <c r="AX139" s="245"/>
      <c r="AY139" s="245"/>
      <c r="AZ139" s="245"/>
      <c r="BA139" s="245"/>
      <c r="BB139" s="245"/>
      <c r="BC139" s="245"/>
    </row>
    <row r="140" spans="1:55" ht="12" customHeight="1" x14ac:dyDescent="0.3">
      <c r="A140" s="205"/>
      <c r="B140" s="171"/>
      <c r="C140" s="171"/>
      <c r="D140" s="171"/>
      <c r="E140" s="172"/>
      <c r="F140" s="172"/>
      <c r="G140" s="209"/>
      <c r="H140" s="245"/>
      <c r="I140" s="170"/>
      <c r="J140" s="173"/>
      <c r="K140" s="174"/>
      <c r="L140" s="173"/>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245"/>
      <c r="AX140" s="245"/>
      <c r="AY140" s="245"/>
      <c r="AZ140" s="245"/>
      <c r="BA140" s="245"/>
      <c r="BB140" s="245"/>
      <c r="BC140" s="245"/>
    </row>
    <row r="141" spans="1:55" ht="12" customHeight="1" x14ac:dyDescent="0.3">
      <c r="A141" s="205"/>
      <c r="B141" s="171"/>
      <c r="C141" s="171"/>
      <c r="D141" s="171"/>
      <c r="E141" s="172"/>
      <c r="F141" s="172"/>
      <c r="G141" s="209"/>
      <c r="H141" s="245"/>
      <c r="I141" s="170"/>
      <c r="J141" s="173"/>
      <c r="K141" s="174"/>
      <c r="L141" s="173"/>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245"/>
      <c r="AX141" s="245"/>
      <c r="AY141" s="245"/>
      <c r="AZ141" s="245"/>
      <c r="BA141" s="245"/>
      <c r="BB141" s="245"/>
      <c r="BC141" s="245"/>
    </row>
    <row r="142" spans="1:55" ht="12" customHeight="1" x14ac:dyDescent="0.3">
      <c r="A142" s="205"/>
      <c r="B142" s="171"/>
      <c r="C142" s="171"/>
      <c r="D142" s="171"/>
      <c r="E142" s="172"/>
      <c r="F142" s="172"/>
      <c r="G142" s="209"/>
      <c r="H142" s="245"/>
      <c r="I142" s="170"/>
      <c r="J142" s="173"/>
      <c r="K142" s="174"/>
      <c r="L142" s="173"/>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245"/>
      <c r="AX142" s="245"/>
      <c r="AY142" s="245"/>
      <c r="AZ142" s="245"/>
      <c r="BA142" s="245"/>
      <c r="BB142" s="245"/>
      <c r="BC142" s="245"/>
    </row>
    <row r="143" spans="1:55" ht="12" customHeight="1" x14ac:dyDescent="0.3">
      <c r="A143" s="205"/>
      <c r="B143" s="171"/>
      <c r="C143" s="171"/>
      <c r="D143" s="171"/>
      <c r="E143" s="172"/>
      <c r="F143" s="172"/>
      <c r="G143" s="209"/>
      <c r="H143" s="245"/>
      <c r="I143" s="170"/>
      <c r="J143" s="173"/>
      <c r="K143" s="174"/>
      <c r="L143" s="173"/>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245"/>
      <c r="AX143" s="245"/>
      <c r="AY143" s="245"/>
      <c r="AZ143" s="245"/>
      <c r="BA143" s="245"/>
      <c r="BB143" s="245"/>
      <c r="BC143" s="245"/>
    </row>
    <row r="144" spans="1:55" ht="12" customHeight="1" x14ac:dyDescent="0.3">
      <c r="A144" s="205"/>
      <c r="B144" s="171"/>
      <c r="C144" s="171"/>
      <c r="D144" s="171"/>
      <c r="E144" s="172"/>
      <c r="F144" s="172"/>
      <c r="G144" s="209"/>
      <c r="H144" s="245"/>
      <c r="I144" s="170"/>
      <c r="J144" s="173"/>
      <c r="K144" s="174"/>
      <c r="L144" s="173"/>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245"/>
      <c r="AX144" s="245"/>
      <c r="AY144" s="245"/>
      <c r="AZ144" s="245"/>
      <c r="BA144" s="245"/>
      <c r="BB144" s="245"/>
      <c r="BC144" s="245"/>
    </row>
    <row r="145" spans="1:55" ht="12" customHeight="1" x14ac:dyDescent="0.3">
      <c r="A145" s="205"/>
      <c r="B145" s="171"/>
      <c r="C145" s="171"/>
      <c r="D145" s="171"/>
      <c r="E145" s="172"/>
      <c r="F145" s="172"/>
      <c r="G145" s="209"/>
      <c r="H145" s="245"/>
      <c r="I145" s="170"/>
      <c r="J145" s="173"/>
      <c r="K145" s="174"/>
      <c r="L145" s="173"/>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245"/>
      <c r="AX145" s="245"/>
      <c r="AY145" s="245"/>
      <c r="AZ145" s="245"/>
      <c r="BA145" s="245"/>
      <c r="BB145" s="245"/>
      <c r="BC145" s="245"/>
    </row>
    <row r="146" spans="1:55" ht="12" customHeight="1" x14ac:dyDescent="0.3">
      <c r="A146" s="205"/>
      <c r="B146" s="171"/>
      <c r="C146" s="171"/>
      <c r="D146" s="171"/>
      <c r="E146" s="172"/>
      <c r="F146" s="172"/>
      <c r="G146" s="209"/>
      <c r="H146" s="245"/>
      <c r="I146" s="170"/>
      <c r="J146" s="173"/>
      <c r="K146" s="174"/>
      <c r="L146" s="173"/>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245"/>
      <c r="AX146" s="245"/>
      <c r="AY146" s="245"/>
      <c r="AZ146" s="245"/>
      <c r="BA146" s="245"/>
      <c r="BB146" s="245"/>
      <c r="BC146" s="245"/>
    </row>
    <row r="147" spans="1:55" ht="12" customHeight="1" x14ac:dyDescent="0.3">
      <c r="A147" s="205"/>
      <c r="B147" s="171"/>
      <c r="C147" s="171"/>
      <c r="D147" s="171"/>
      <c r="E147" s="172"/>
      <c r="F147" s="172"/>
      <c r="G147" s="209"/>
      <c r="H147" s="245"/>
      <c r="I147" s="170"/>
      <c r="J147" s="173"/>
      <c r="K147" s="174"/>
      <c r="L147" s="173"/>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245"/>
      <c r="AX147" s="245"/>
      <c r="AY147" s="245"/>
      <c r="AZ147" s="245"/>
      <c r="BA147" s="245"/>
      <c r="BB147" s="245"/>
      <c r="BC147" s="245"/>
    </row>
    <row r="148" spans="1:55" ht="12" customHeight="1" x14ac:dyDescent="0.3">
      <c r="A148" s="205"/>
      <c r="B148" s="171"/>
      <c r="C148" s="171"/>
      <c r="D148" s="171"/>
      <c r="E148" s="172"/>
      <c r="F148" s="172"/>
      <c r="G148" s="209"/>
      <c r="H148" s="245"/>
      <c r="I148" s="170"/>
      <c r="J148" s="173"/>
      <c r="K148" s="174"/>
      <c r="L148" s="173"/>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245"/>
      <c r="AX148" s="245"/>
      <c r="AY148" s="245"/>
      <c r="AZ148" s="245"/>
      <c r="BA148" s="245"/>
      <c r="BB148" s="245"/>
      <c r="BC148" s="245"/>
    </row>
    <row r="149" spans="1:55" ht="12" customHeight="1" x14ac:dyDescent="0.3">
      <c r="A149" s="205"/>
      <c r="B149" s="171"/>
      <c r="C149" s="171"/>
      <c r="D149" s="171"/>
      <c r="E149" s="172"/>
      <c r="F149" s="172"/>
      <c r="G149" s="209"/>
      <c r="H149" s="245"/>
      <c r="I149" s="170"/>
      <c r="J149" s="173"/>
      <c r="K149" s="174"/>
      <c r="L149" s="173"/>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245"/>
      <c r="AX149" s="245"/>
      <c r="AY149" s="245"/>
      <c r="AZ149" s="245"/>
      <c r="BA149" s="245"/>
      <c r="BB149" s="245"/>
      <c r="BC149" s="245"/>
    </row>
    <row r="150" spans="1:55" s="210" customFormat="1" ht="12" customHeight="1" x14ac:dyDescent="0.3">
      <c r="A150" s="205"/>
      <c r="B150" s="171"/>
      <c r="C150" s="171"/>
      <c r="D150" s="171"/>
      <c r="E150" s="208"/>
      <c r="F150" s="208"/>
      <c r="G150" s="209"/>
      <c r="H150" s="245"/>
      <c r="I150" s="170"/>
      <c r="J150" s="173"/>
      <c r="K150" s="174"/>
      <c r="L150" s="173"/>
      <c r="M150" s="170"/>
      <c r="N150" s="170"/>
      <c r="O150" s="170"/>
      <c r="P150" s="170"/>
      <c r="Q150" s="170"/>
      <c r="R150" s="170"/>
      <c r="S150" s="170"/>
      <c r="T150" s="170"/>
      <c r="U150" s="170"/>
      <c r="V150" s="170"/>
      <c r="W150" s="170"/>
      <c r="X150" s="170"/>
      <c r="Y150" s="170"/>
      <c r="Z150" s="170"/>
      <c r="AA150" s="170"/>
      <c r="AB150" s="170"/>
      <c r="AC150" s="209"/>
      <c r="AD150" s="209"/>
      <c r="AE150" s="209"/>
      <c r="AF150" s="170"/>
      <c r="AG150" s="209"/>
      <c r="AH150" s="209"/>
      <c r="AI150" s="209"/>
      <c r="AJ150" s="209"/>
      <c r="AK150" s="209"/>
      <c r="AL150" s="209"/>
      <c r="AM150" s="209"/>
      <c r="AN150" s="209"/>
      <c r="AO150" s="209"/>
      <c r="AP150" s="209"/>
      <c r="AQ150" s="209"/>
      <c r="AR150" s="209"/>
      <c r="AS150" s="209"/>
      <c r="AT150" s="209"/>
      <c r="AU150" s="170"/>
      <c r="AV150" s="209"/>
      <c r="AW150" s="246"/>
      <c r="AX150" s="246"/>
      <c r="AY150" s="246"/>
      <c r="AZ150" s="245"/>
      <c r="BA150" s="245"/>
      <c r="BB150" s="245"/>
      <c r="BC150" s="246"/>
    </row>
    <row r="151" spans="1:55" ht="12" customHeight="1" x14ac:dyDescent="0.3">
      <c r="A151" s="205"/>
      <c r="B151" s="171"/>
      <c r="C151" s="171"/>
      <c r="D151" s="171"/>
      <c r="E151" s="172"/>
      <c r="F151" s="172"/>
      <c r="G151" s="209"/>
      <c r="H151" s="245"/>
      <c r="I151" s="170"/>
      <c r="J151" s="173"/>
      <c r="K151" s="174"/>
      <c r="L151" s="173"/>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245"/>
      <c r="AX151" s="245"/>
      <c r="AY151" s="245"/>
      <c r="AZ151" s="245"/>
      <c r="BA151" s="245"/>
      <c r="BB151" s="245"/>
      <c r="BC151" s="245"/>
    </row>
    <row r="152" spans="1:55" ht="12" customHeight="1" x14ac:dyDescent="0.3">
      <c r="A152" s="205"/>
      <c r="B152" s="171"/>
      <c r="C152" s="171"/>
      <c r="D152" s="171"/>
      <c r="E152" s="172"/>
      <c r="F152" s="172"/>
      <c r="G152" s="209"/>
      <c r="H152" s="245"/>
      <c r="I152" s="170"/>
      <c r="J152" s="173"/>
      <c r="K152" s="174"/>
      <c r="L152" s="173"/>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245"/>
      <c r="AX152" s="245"/>
      <c r="AY152" s="245"/>
      <c r="AZ152" s="245"/>
      <c r="BA152" s="245"/>
      <c r="BB152" s="245"/>
      <c r="BC152" s="245"/>
    </row>
    <row r="153" spans="1:55" ht="12" customHeight="1" x14ac:dyDescent="0.3">
      <c r="A153" s="205"/>
      <c r="B153" s="171"/>
      <c r="C153" s="171"/>
      <c r="D153" s="171"/>
      <c r="E153" s="172"/>
      <c r="F153" s="172"/>
      <c r="G153" s="209"/>
      <c r="H153" s="245"/>
      <c r="I153" s="170"/>
      <c r="J153" s="173"/>
      <c r="K153" s="174"/>
      <c r="L153" s="173"/>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245"/>
      <c r="AX153" s="245"/>
      <c r="AY153" s="245"/>
      <c r="AZ153" s="245"/>
      <c r="BA153" s="245"/>
      <c r="BB153" s="245"/>
      <c r="BC153" s="245"/>
    </row>
    <row r="154" spans="1:55" ht="12" customHeight="1" x14ac:dyDescent="0.3">
      <c r="A154" s="205"/>
      <c r="B154" s="171"/>
      <c r="C154" s="171"/>
      <c r="D154" s="171"/>
      <c r="E154" s="172"/>
      <c r="F154" s="172"/>
      <c r="G154" s="209"/>
      <c r="H154" s="245"/>
      <c r="I154" s="170"/>
      <c r="J154" s="173"/>
      <c r="K154" s="174"/>
      <c r="L154" s="173"/>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245"/>
      <c r="AX154" s="245"/>
      <c r="AY154" s="245"/>
      <c r="AZ154" s="245"/>
      <c r="BA154" s="245"/>
      <c r="BB154" s="245"/>
      <c r="BC154" s="245"/>
    </row>
    <row r="155" spans="1:55" ht="12" customHeight="1" x14ac:dyDescent="0.3">
      <c r="A155" s="205"/>
      <c r="B155" s="171"/>
      <c r="C155" s="171"/>
      <c r="D155" s="171"/>
      <c r="E155" s="172"/>
      <c r="F155" s="172"/>
      <c r="G155" s="209"/>
      <c r="H155" s="245"/>
      <c r="I155" s="170"/>
      <c r="J155" s="173"/>
      <c r="K155" s="174"/>
      <c r="L155" s="173"/>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245"/>
      <c r="AX155" s="245"/>
      <c r="AY155" s="245"/>
      <c r="AZ155" s="245"/>
      <c r="BA155" s="245"/>
      <c r="BB155" s="245"/>
      <c r="BC155" s="245"/>
    </row>
    <row r="156" spans="1:55" ht="12" customHeight="1" x14ac:dyDescent="0.3">
      <c r="A156" s="205"/>
      <c r="B156" s="171"/>
      <c r="C156" s="171"/>
      <c r="D156" s="171"/>
      <c r="E156" s="172"/>
      <c r="F156" s="172"/>
      <c r="G156" s="209"/>
      <c r="H156" s="245"/>
      <c r="I156" s="170"/>
      <c r="J156" s="173"/>
      <c r="K156" s="174"/>
      <c r="L156" s="173"/>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245"/>
      <c r="AX156" s="245"/>
      <c r="AY156" s="245"/>
      <c r="AZ156" s="245"/>
      <c r="BA156" s="245"/>
      <c r="BB156" s="245"/>
      <c r="BC156" s="245"/>
    </row>
    <row r="157" spans="1:55" ht="12" customHeight="1" x14ac:dyDescent="0.3">
      <c r="A157" s="205"/>
      <c r="B157" s="171"/>
      <c r="C157" s="171"/>
      <c r="D157" s="171"/>
      <c r="E157" s="172"/>
      <c r="F157" s="172"/>
      <c r="G157" s="209"/>
      <c r="H157" s="245"/>
      <c r="I157" s="170"/>
      <c r="J157" s="173"/>
      <c r="K157" s="174"/>
      <c r="L157" s="173"/>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245"/>
      <c r="AX157" s="245"/>
      <c r="AY157" s="245"/>
      <c r="AZ157" s="245"/>
      <c r="BA157" s="245"/>
      <c r="BB157" s="245"/>
      <c r="BC157" s="245"/>
    </row>
    <row r="158" spans="1:55" ht="12" customHeight="1" x14ac:dyDescent="0.3">
      <c r="A158" s="205"/>
      <c r="B158" s="171"/>
      <c r="C158" s="171"/>
      <c r="D158" s="171"/>
      <c r="E158" s="172"/>
      <c r="F158" s="172"/>
      <c r="G158" s="209"/>
      <c r="H158" s="245"/>
      <c r="I158" s="170"/>
      <c r="J158" s="173"/>
      <c r="K158" s="174"/>
      <c r="L158" s="173"/>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245"/>
      <c r="AX158" s="245"/>
      <c r="AY158" s="245"/>
      <c r="AZ158" s="245"/>
      <c r="BA158" s="245"/>
      <c r="BB158" s="245"/>
      <c r="BC158" s="245"/>
    </row>
    <row r="159" spans="1:55" ht="12" customHeight="1" x14ac:dyDescent="0.3">
      <c r="A159" s="205"/>
      <c r="B159" s="171"/>
      <c r="C159" s="171"/>
      <c r="D159" s="171"/>
      <c r="E159" s="172"/>
      <c r="F159" s="172"/>
      <c r="G159" s="209"/>
      <c r="H159" s="245"/>
      <c r="I159" s="170"/>
      <c r="J159" s="173"/>
      <c r="K159" s="174"/>
      <c r="L159" s="173"/>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245"/>
      <c r="AX159" s="245"/>
      <c r="AY159" s="245"/>
      <c r="AZ159" s="245"/>
      <c r="BA159" s="245"/>
      <c r="BB159" s="245"/>
      <c r="BC159" s="245"/>
    </row>
    <row r="160" spans="1:55" ht="12" customHeight="1" x14ac:dyDescent="0.3">
      <c r="A160" s="205"/>
      <c r="B160" s="171"/>
      <c r="C160" s="171"/>
      <c r="D160" s="171"/>
      <c r="E160" s="172"/>
      <c r="F160" s="172"/>
      <c r="G160" s="209"/>
      <c r="H160" s="245"/>
      <c r="I160" s="170"/>
      <c r="J160" s="173"/>
      <c r="K160" s="174"/>
      <c r="L160" s="173"/>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245"/>
      <c r="AX160" s="245"/>
      <c r="AY160" s="245"/>
      <c r="AZ160" s="245"/>
      <c r="BA160" s="245"/>
      <c r="BB160" s="245"/>
      <c r="BC160" s="245"/>
    </row>
    <row r="161" spans="1:55" ht="12" customHeight="1" x14ac:dyDescent="0.3">
      <c r="A161" s="205"/>
      <c r="B161" s="171"/>
      <c r="C161" s="171"/>
      <c r="D161" s="171"/>
      <c r="E161" s="172"/>
      <c r="F161" s="172"/>
      <c r="G161" s="209"/>
      <c r="H161" s="245"/>
      <c r="I161" s="170"/>
      <c r="J161" s="173"/>
      <c r="K161" s="174"/>
      <c r="L161" s="173"/>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245"/>
      <c r="AX161" s="245"/>
      <c r="AY161" s="245"/>
      <c r="AZ161" s="245"/>
      <c r="BA161" s="245"/>
      <c r="BB161" s="245"/>
      <c r="BC161" s="245"/>
    </row>
    <row r="162" spans="1:55" ht="12" customHeight="1" x14ac:dyDescent="0.3">
      <c r="A162" s="205"/>
      <c r="B162" s="171"/>
      <c r="C162" s="171"/>
      <c r="D162" s="171"/>
      <c r="E162" s="172"/>
      <c r="F162" s="172"/>
      <c r="G162" s="209"/>
      <c r="H162" s="245"/>
      <c r="I162" s="170"/>
      <c r="J162" s="173"/>
      <c r="K162" s="174"/>
      <c r="L162" s="173"/>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245"/>
      <c r="AX162" s="245"/>
      <c r="AY162" s="245"/>
      <c r="AZ162" s="245"/>
      <c r="BA162" s="245"/>
      <c r="BB162" s="245"/>
      <c r="BC162" s="245"/>
    </row>
    <row r="163" spans="1:55" ht="12" customHeight="1" x14ac:dyDescent="0.3">
      <c r="A163" s="205"/>
      <c r="B163" s="171"/>
      <c r="C163" s="171"/>
      <c r="D163" s="171"/>
      <c r="E163" s="172"/>
      <c r="F163" s="172"/>
      <c r="G163" s="209"/>
      <c r="H163" s="245"/>
      <c r="I163" s="170"/>
      <c r="J163" s="173"/>
      <c r="K163" s="174"/>
      <c r="L163" s="173"/>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245"/>
      <c r="AX163" s="245"/>
      <c r="AY163" s="245"/>
      <c r="AZ163" s="245"/>
      <c r="BA163" s="245"/>
      <c r="BB163" s="245"/>
      <c r="BC163" s="245"/>
    </row>
    <row r="164" spans="1:55" ht="12" customHeight="1" x14ac:dyDescent="0.3">
      <c r="A164" s="205"/>
      <c r="B164" s="171"/>
      <c r="C164" s="171"/>
      <c r="D164" s="171"/>
      <c r="E164" s="172"/>
      <c r="F164" s="172"/>
      <c r="G164" s="209"/>
      <c r="H164" s="245"/>
      <c r="I164" s="170"/>
      <c r="J164" s="173"/>
      <c r="K164" s="174"/>
      <c r="L164" s="173"/>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245"/>
      <c r="AX164" s="245"/>
      <c r="AY164" s="245"/>
      <c r="AZ164" s="245"/>
      <c r="BA164" s="245"/>
      <c r="BB164" s="245"/>
      <c r="BC164" s="245"/>
    </row>
    <row r="165" spans="1:55" ht="12" customHeight="1" x14ac:dyDescent="0.3">
      <c r="A165" s="205"/>
      <c r="B165" s="171"/>
      <c r="C165" s="171"/>
      <c r="D165" s="171"/>
      <c r="E165" s="172"/>
      <c r="F165" s="172"/>
      <c r="G165" s="209"/>
      <c r="H165" s="245"/>
      <c r="I165" s="170"/>
      <c r="J165" s="173"/>
      <c r="K165" s="174"/>
      <c r="L165" s="173"/>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245"/>
      <c r="AX165" s="245"/>
      <c r="AY165" s="245"/>
      <c r="AZ165" s="245"/>
      <c r="BA165" s="245"/>
      <c r="BB165" s="245"/>
      <c r="BC165" s="245"/>
    </row>
    <row r="166" spans="1:55" s="212" customFormat="1" ht="12" customHeight="1" x14ac:dyDescent="0.3">
      <c r="A166" s="205"/>
      <c r="B166" s="171"/>
      <c r="C166" s="171"/>
      <c r="D166" s="171"/>
      <c r="E166" s="211"/>
      <c r="F166" s="211"/>
      <c r="G166" s="209"/>
      <c r="H166" s="245"/>
      <c r="I166" s="170"/>
      <c r="J166" s="173"/>
      <c r="K166" s="174"/>
      <c r="L166" s="173"/>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245"/>
      <c r="AX166" s="245"/>
      <c r="AY166" s="245"/>
      <c r="AZ166" s="245"/>
      <c r="BA166" s="245"/>
      <c r="BB166" s="245"/>
      <c r="BC166" s="245"/>
    </row>
    <row r="167" spans="1:55" ht="12" customHeight="1" x14ac:dyDescent="0.3">
      <c r="A167" s="205"/>
      <c r="B167" s="171"/>
      <c r="C167" s="171"/>
      <c r="D167" s="171"/>
      <c r="E167" s="172"/>
      <c r="F167" s="172"/>
      <c r="G167" s="209"/>
      <c r="H167" s="245"/>
      <c r="I167" s="170"/>
      <c r="J167" s="173"/>
      <c r="K167" s="174"/>
      <c r="L167" s="173"/>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245"/>
      <c r="AX167" s="245"/>
      <c r="AY167" s="245"/>
      <c r="AZ167" s="245"/>
      <c r="BA167" s="245"/>
      <c r="BB167" s="245"/>
      <c r="BC167" s="245"/>
    </row>
    <row r="168" spans="1:55" ht="12" customHeight="1" x14ac:dyDescent="0.3">
      <c r="A168" s="205"/>
      <c r="B168" s="171"/>
      <c r="C168" s="171"/>
      <c r="D168" s="171"/>
      <c r="E168" s="172"/>
      <c r="F168" s="172"/>
      <c r="G168" s="209"/>
      <c r="H168" s="245"/>
      <c r="I168" s="170"/>
      <c r="J168" s="173"/>
      <c r="K168" s="174"/>
      <c r="L168" s="173"/>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245"/>
      <c r="AX168" s="245"/>
      <c r="AY168" s="245"/>
      <c r="AZ168" s="245"/>
      <c r="BA168" s="245"/>
      <c r="BB168" s="245"/>
      <c r="BC168" s="245"/>
    </row>
    <row r="169" spans="1:55" ht="12" customHeight="1" x14ac:dyDescent="0.3">
      <c r="A169" s="205"/>
      <c r="B169" s="171"/>
      <c r="C169" s="171"/>
      <c r="D169" s="171"/>
      <c r="E169" s="172"/>
      <c r="F169" s="172"/>
      <c r="G169" s="209"/>
      <c r="H169" s="245"/>
      <c r="I169" s="170"/>
      <c r="J169" s="173"/>
      <c r="K169" s="174"/>
      <c r="L169" s="173"/>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245"/>
      <c r="AX169" s="245"/>
      <c r="AY169" s="245"/>
      <c r="AZ169" s="245"/>
      <c r="BA169" s="245"/>
      <c r="BB169" s="245"/>
      <c r="BC169" s="245"/>
    </row>
    <row r="170" spans="1:55" ht="12" customHeight="1" x14ac:dyDescent="0.3">
      <c r="A170" s="205"/>
      <c r="B170" s="171"/>
      <c r="C170" s="171"/>
      <c r="D170" s="171"/>
      <c r="E170" s="172"/>
      <c r="F170" s="172"/>
      <c r="G170" s="209"/>
      <c r="H170" s="245"/>
      <c r="I170" s="170"/>
      <c r="J170" s="173"/>
      <c r="K170" s="174"/>
      <c r="L170" s="173"/>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245"/>
      <c r="AX170" s="245"/>
      <c r="AY170" s="245"/>
      <c r="AZ170" s="245"/>
      <c r="BA170" s="245"/>
      <c r="BB170" s="245"/>
      <c r="BC170" s="245"/>
    </row>
    <row r="171" spans="1:55" ht="12" customHeight="1" x14ac:dyDescent="0.3">
      <c r="A171" s="205"/>
      <c r="B171" s="171"/>
      <c r="C171" s="171"/>
      <c r="D171" s="171"/>
      <c r="E171" s="172"/>
      <c r="F171" s="172"/>
      <c r="G171" s="209"/>
      <c r="H171" s="245"/>
      <c r="I171" s="170"/>
      <c r="J171" s="173"/>
      <c r="K171" s="174"/>
      <c r="L171" s="173"/>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245"/>
      <c r="AX171" s="245"/>
      <c r="AY171" s="245"/>
      <c r="AZ171" s="245"/>
      <c r="BA171" s="245"/>
      <c r="BB171" s="245"/>
      <c r="BC171" s="245"/>
    </row>
    <row r="172" spans="1:55" ht="12" customHeight="1" x14ac:dyDescent="0.3">
      <c r="A172" s="205"/>
      <c r="B172" s="171"/>
      <c r="C172" s="171"/>
      <c r="D172" s="171"/>
      <c r="E172" s="172"/>
      <c r="F172" s="172"/>
      <c r="G172" s="209"/>
      <c r="H172" s="245"/>
      <c r="I172" s="170"/>
      <c r="J172" s="173"/>
      <c r="K172" s="174"/>
      <c r="L172" s="173"/>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245"/>
      <c r="AX172" s="245"/>
      <c r="AY172" s="245"/>
      <c r="AZ172" s="245"/>
      <c r="BA172" s="245"/>
      <c r="BB172" s="245"/>
      <c r="BC172" s="245"/>
    </row>
    <row r="173" spans="1:55" ht="12" customHeight="1" x14ac:dyDescent="0.3">
      <c r="A173" s="205"/>
      <c r="B173" s="171"/>
      <c r="C173" s="171"/>
      <c r="D173" s="171"/>
      <c r="E173" s="172"/>
      <c r="F173" s="172"/>
      <c r="G173" s="209"/>
      <c r="H173" s="245"/>
      <c r="I173" s="170"/>
      <c r="J173" s="173"/>
      <c r="K173" s="174"/>
      <c r="L173" s="173"/>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245"/>
      <c r="AX173" s="245"/>
      <c r="AY173" s="245"/>
      <c r="AZ173" s="245"/>
      <c r="BA173" s="245"/>
      <c r="BB173" s="245"/>
      <c r="BC173" s="245"/>
    </row>
    <row r="174" spans="1:55" ht="12" customHeight="1" x14ac:dyDescent="0.3">
      <c r="A174" s="205"/>
      <c r="B174" s="171"/>
      <c r="C174" s="171"/>
      <c r="D174" s="171"/>
      <c r="E174" s="172"/>
      <c r="F174" s="172"/>
      <c r="G174" s="209"/>
      <c r="H174" s="245"/>
      <c r="I174" s="170"/>
      <c r="J174" s="173"/>
      <c r="K174" s="174"/>
      <c r="L174" s="173"/>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245"/>
      <c r="AX174" s="245"/>
      <c r="AY174" s="245"/>
      <c r="AZ174" s="245"/>
      <c r="BA174" s="245"/>
      <c r="BB174" s="245"/>
      <c r="BC174" s="245"/>
    </row>
    <row r="175" spans="1:55" ht="12" customHeight="1" x14ac:dyDescent="0.3">
      <c r="A175" s="205"/>
      <c r="B175" s="171"/>
      <c r="C175" s="171"/>
      <c r="D175" s="171"/>
      <c r="E175" s="172"/>
      <c r="F175" s="172"/>
      <c r="G175" s="209"/>
      <c r="H175" s="245"/>
      <c r="I175" s="170"/>
      <c r="J175" s="173"/>
      <c r="K175" s="174"/>
      <c r="L175" s="173"/>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245"/>
      <c r="AX175" s="245"/>
      <c r="AY175" s="245"/>
      <c r="AZ175" s="245"/>
      <c r="BA175" s="245"/>
      <c r="BB175" s="245"/>
      <c r="BC175" s="245"/>
    </row>
    <row r="176" spans="1:55" ht="12" customHeight="1" x14ac:dyDescent="0.3">
      <c r="A176" s="205"/>
      <c r="B176" s="171"/>
      <c r="C176" s="171"/>
      <c r="D176" s="171"/>
      <c r="E176" s="172"/>
      <c r="F176" s="172"/>
      <c r="G176" s="209"/>
      <c r="H176" s="245"/>
      <c r="I176" s="170"/>
      <c r="J176" s="173"/>
      <c r="K176" s="174"/>
      <c r="L176" s="173"/>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245"/>
      <c r="AX176" s="245"/>
      <c r="AY176" s="245"/>
      <c r="AZ176" s="245"/>
      <c r="BA176" s="245"/>
      <c r="BB176" s="245"/>
      <c r="BC176" s="245"/>
    </row>
    <row r="177" spans="1:55" ht="12" customHeight="1" x14ac:dyDescent="0.3">
      <c r="A177" s="205"/>
      <c r="B177" s="171"/>
      <c r="C177" s="171"/>
      <c r="D177" s="171"/>
      <c r="E177" s="172"/>
      <c r="F177" s="172"/>
      <c r="G177" s="209"/>
      <c r="H177" s="245"/>
      <c r="I177" s="170"/>
      <c r="J177" s="173"/>
      <c r="K177" s="174"/>
      <c r="L177" s="173"/>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245"/>
      <c r="AX177" s="245"/>
      <c r="AY177" s="245"/>
      <c r="AZ177" s="245"/>
      <c r="BA177" s="245"/>
      <c r="BB177" s="245"/>
      <c r="BC177" s="245"/>
    </row>
    <row r="178" spans="1:55" ht="12" customHeight="1" x14ac:dyDescent="0.3">
      <c r="A178" s="205"/>
      <c r="B178" s="171"/>
      <c r="C178" s="171"/>
      <c r="D178" s="171"/>
      <c r="E178" s="172"/>
      <c r="F178" s="172"/>
      <c r="G178" s="209"/>
      <c r="H178" s="245"/>
      <c r="I178" s="170"/>
      <c r="J178" s="173"/>
      <c r="K178" s="174"/>
      <c r="L178" s="173"/>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245"/>
      <c r="AX178" s="245"/>
      <c r="AY178" s="245"/>
      <c r="AZ178" s="245"/>
      <c r="BA178" s="245"/>
      <c r="BB178" s="245"/>
      <c r="BC178" s="245"/>
    </row>
    <row r="179" spans="1:55" ht="12" customHeight="1" x14ac:dyDescent="0.3">
      <c r="A179" s="205"/>
      <c r="B179" s="171"/>
      <c r="C179" s="171"/>
      <c r="D179" s="171"/>
      <c r="E179" s="172"/>
      <c r="F179" s="172"/>
      <c r="G179" s="209"/>
      <c r="H179" s="245"/>
      <c r="I179" s="170"/>
      <c r="J179" s="173"/>
      <c r="K179" s="174"/>
      <c r="L179" s="173"/>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245"/>
      <c r="AX179" s="245"/>
      <c r="AY179" s="245"/>
      <c r="AZ179" s="245"/>
      <c r="BA179" s="245"/>
      <c r="BB179" s="245"/>
      <c r="BC179" s="245"/>
    </row>
    <row r="180" spans="1:55" ht="12" customHeight="1" x14ac:dyDescent="0.3">
      <c r="A180" s="205"/>
      <c r="B180" s="171"/>
      <c r="C180" s="171"/>
      <c r="D180" s="171"/>
      <c r="E180" s="172"/>
      <c r="F180" s="172"/>
      <c r="G180" s="209"/>
      <c r="H180" s="245"/>
      <c r="I180" s="170"/>
      <c r="J180" s="173"/>
      <c r="K180" s="174"/>
      <c r="L180" s="173"/>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245"/>
      <c r="AX180" s="245"/>
      <c r="AY180" s="245"/>
      <c r="AZ180" s="245"/>
      <c r="BA180" s="245"/>
      <c r="BB180" s="245"/>
      <c r="BC180" s="245"/>
    </row>
    <row r="181" spans="1:55" ht="12" customHeight="1" x14ac:dyDescent="0.3">
      <c r="A181" s="205"/>
      <c r="B181" s="171"/>
      <c r="C181" s="171"/>
      <c r="D181" s="171"/>
      <c r="E181" s="172"/>
      <c r="F181" s="172"/>
      <c r="G181" s="209"/>
      <c r="H181" s="245"/>
      <c r="I181" s="170"/>
      <c r="J181" s="173"/>
      <c r="K181" s="174"/>
      <c r="L181" s="173"/>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245"/>
      <c r="AX181" s="245"/>
      <c r="AY181" s="245"/>
      <c r="AZ181" s="245"/>
      <c r="BA181" s="245"/>
      <c r="BB181" s="245"/>
      <c r="BC181" s="245"/>
    </row>
    <row r="182" spans="1:55" ht="12" customHeight="1" x14ac:dyDescent="0.3">
      <c r="A182" s="205"/>
      <c r="B182" s="171"/>
      <c r="C182" s="171"/>
      <c r="D182" s="171"/>
      <c r="E182" s="172"/>
      <c r="F182" s="172"/>
      <c r="G182" s="209"/>
      <c r="H182" s="245"/>
      <c r="I182" s="170"/>
      <c r="J182" s="173"/>
      <c r="K182" s="174"/>
      <c r="L182" s="173"/>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245"/>
      <c r="AX182" s="245"/>
      <c r="AY182" s="245"/>
      <c r="AZ182" s="245"/>
      <c r="BA182" s="245"/>
      <c r="BB182" s="245"/>
      <c r="BC182" s="245"/>
    </row>
    <row r="183" spans="1:55" ht="12" customHeight="1" x14ac:dyDescent="0.3">
      <c r="A183" s="205"/>
      <c r="B183" s="171"/>
      <c r="C183" s="171"/>
      <c r="D183" s="171"/>
      <c r="E183" s="172"/>
      <c r="F183" s="172"/>
      <c r="G183" s="209"/>
      <c r="H183" s="245"/>
      <c r="I183" s="170"/>
      <c r="J183" s="173"/>
      <c r="K183" s="174"/>
      <c r="L183" s="173"/>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245"/>
      <c r="AX183" s="245"/>
      <c r="AY183" s="245"/>
      <c r="AZ183" s="245"/>
      <c r="BA183" s="245"/>
      <c r="BB183" s="245"/>
      <c r="BC183" s="245"/>
    </row>
    <row r="184" spans="1:55" ht="12" customHeight="1" x14ac:dyDescent="0.3">
      <c r="A184" s="205"/>
      <c r="B184" s="171"/>
      <c r="C184" s="171"/>
      <c r="D184" s="171"/>
      <c r="E184" s="172"/>
      <c r="F184" s="172"/>
      <c r="G184" s="209"/>
      <c r="H184" s="245"/>
      <c r="I184" s="170"/>
      <c r="J184" s="173"/>
      <c r="K184" s="174"/>
      <c r="L184" s="173"/>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245"/>
      <c r="AX184" s="245"/>
      <c r="AY184" s="245"/>
      <c r="AZ184" s="245"/>
      <c r="BA184" s="245"/>
      <c r="BB184" s="245"/>
      <c r="BC184" s="245"/>
    </row>
    <row r="185" spans="1:55" ht="12" customHeight="1" x14ac:dyDescent="0.3">
      <c r="A185" s="205"/>
      <c r="B185" s="171"/>
      <c r="C185" s="171"/>
      <c r="D185" s="171"/>
      <c r="E185" s="172"/>
      <c r="F185" s="172"/>
      <c r="G185" s="209"/>
      <c r="H185" s="245"/>
      <c r="I185" s="170"/>
      <c r="J185" s="173"/>
      <c r="K185" s="174"/>
      <c r="L185" s="173"/>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245"/>
      <c r="AX185" s="245"/>
      <c r="AY185" s="245"/>
      <c r="AZ185" s="245"/>
      <c r="BA185" s="245"/>
      <c r="BB185" s="245"/>
      <c r="BC185" s="245"/>
    </row>
    <row r="186" spans="1:55" ht="12" customHeight="1" x14ac:dyDescent="0.3">
      <c r="A186" s="205"/>
      <c r="B186" s="171"/>
      <c r="C186" s="171"/>
      <c r="D186" s="171"/>
      <c r="E186" s="172"/>
      <c r="F186" s="172"/>
      <c r="G186" s="209"/>
      <c r="H186" s="245"/>
      <c r="I186" s="170"/>
      <c r="J186" s="173"/>
      <c r="K186" s="174"/>
      <c r="L186" s="173"/>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245"/>
      <c r="AX186" s="245"/>
      <c r="AY186" s="245"/>
      <c r="AZ186" s="245"/>
      <c r="BA186" s="245"/>
      <c r="BB186" s="245"/>
      <c r="BC186" s="245"/>
    </row>
    <row r="187" spans="1:55" ht="12" customHeight="1" x14ac:dyDescent="0.3">
      <c r="A187" s="205"/>
      <c r="B187" s="171"/>
      <c r="C187" s="171"/>
      <c r="D187" s="171"/>
      <c r="E187" s="172"/>
      <c r="F187" s="172"/>
      <c r="G187" s="209"/>
      <c r="H187" s="245"/>
      <c r="I187" s="170"/>
      <c r="J187" s="173"/>
      <c r="K187" s="174"/>
      <c r="L187" s="173"/>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245"/>
      <c r="AX187" s="245"/>
      <c r="AY187" s="245"/>
      <c r="AZ187" s="245"/>
      <c r="BA187" s="245"/>
      <c r="BB187" s="245"/>
      <c r="BC187" s="245"/>
    </row>
    <row r="188" spans="1:55" ht="12" customHeight="1" x14ac:dyDescent="0.3">
      <c r="A188" s="205"/>
      <c r="B188" s="171"/>
      <c r="C188" s="171"/>
      <c r="D188" s="171"/>
      <c r="E188" s="172"/>
      <c r="F188" s="172"/>
      <c r="G188" s="209"/>
      <c r="H188" s="245"/>
      <c r="I188" s="170"/>
      <c r="J188" s="173"/>
      <c r="K188" s="174"/>
      <c r="L188" s="173"/>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245"/>
      <c r="AX188" s="245"/>
      <c r="AY188" s="245"/>
      <c r="AZ188" s="245"/>
      <c r="BA188" s="245"/>
      <c r="BB188" s="245"/>
      <c r="BC188" s="245"/>
    </row>
    <row r="189" spans="1:55" ht="12" customHeight="1" x14ac:dyDescent="0.3">
      <c r="A189" s="205"/>
      <c r="B189" s="171"/>
      <c r="C189" s="171"/>
      <c r="D189" s="171"/>
      <c r="E189" s="172"/>
      <c r="F189" s="172"/>
      <c r="G189" s="209"/>
      <c r="H189" s="245"/>
      <c r="I189" s="170"/>
      <c r="J189" s="173"/>
      <c r="K189" s="174"/>
      <c r="L189" s="173"/>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245"/>
      <c r="AX189" s="245"/>
      <c r="AY189" s="245"/>
      <c r="AZ189" s="245"/>
      <c r="BA189" s="245"/>
      <c r="BB189" s="245"/>
      <c r="BC189" s="245"/>
    </row>
    <row r="190" spans="1:55" ht="12" customHeight="1" x14ac:dyDescent="0.3">
      <c r="A190" s="205"/>
      <c r="B190" s="171"/>
      <c r="C190" s="171"/>
      <c r="D190" s="171"/>
      <c r="E190" s="172"/>
      <c r="F190" s="172"/>
      <c r="G190" s="209"/>
      <c r="H190" s="245"/>
      <c r="I190" s="170"/>
      <c r="J190" s="173"/>
      <c r="K190" s="174"/>
      <c r="L190" s="173"/>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245"/>
      <c r="AX190" s="245"/>
      <c r="AY190" s="245"/>
      <c r="AZ190" s="245"/>
      <c r="BA190" s="245"/>
      <c r="BB190" s="245"/>
      <c r="BC190" s="245"/>
    </row>
    <row r="191" spans="1:55" ht="12" customHeight="1" x14ac:dyDescent="0.3">
      <c r="A191" s="205"/>
      <c r="B191" s="171"/>
      <c r="C191" s="171"/>
      <c r="D191" s="171"/>
      <c r="E191" s="172"/>
      <c r="F191" s="172"/>
      <c r="G191" s="209"/>
      <c r="H191" s="245"/>
      <c r="I191" s="170"/>
      <c r="J191" s="173"/>
      <c r="K191" s="174"/>
      <c r="L191" s="173"/>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245"/>
      <c r="AX191" s="245"/>
      <c r="AY191" s="245"/>
      <c r="AZ191" s="245"/>
      <c r="BA191" s="245"/>
      <c r="BB191" s="245"/>
      <c r="BC191" s="245"/>
    </row>
    <row r="192" spans="1:55" ht="12" customHeight="1" x14ac:dyDescent="0.3">
      <c r="A192" s="205"/>
      <c r="B192" s="171"/>
      <c r="C192" s="171"/>
      <c r="D192" s="171"/>
      <c r="E192" s="172"/>
      <c r="F192" s="172"/>
      <c r="G192" s="209"/>
      <c r="H192" s="245"/>
      <c r="I192" s="170"/>
      <c r="J192" s="173"/>
      <c r="K192" s="174"/>
      <c r="L192" s="173"/>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245"/>
      <c r="AX192" s="245"/>
      <c r="AY192" s="245"/>
      <c r="AZ192" s="245"/>
      <c r="BA192" s="245"/>
      <c r="BB192" s="245"/>
      <c r="BC192" s="245"/>
    </row>
    <row r="193" spans="1:56" ht="12" customHeight="1" x14ac:dyDescent="0.3">
      <c r="A193" s="205"/>
      <c r="B193" s="171"/>
      <c r="C193" s="171"/>
      <c r="D193" s="171"/>
      <c r="E193" s="172"/>
      <c r="F193" s="172"/>
      <c r="G193" s="209"/>
      <c r="H193" s="245"/>
      <c r="I193" s="170"/>
      <c r="J193" s="173"/>
      <c r="K193" s="174"/>
      <c r="L193" s="173"/>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245"/>
      <c r="AX193" s="245"/>
      <c r="AY193" s="245"/>
      <c r="AZ193" s="245"/>
      <c r="BA193" s="245"/>
      <c r="BB193" s="245"/>
      <c r="BC193" s="245"/>
    </row>
    <row r="194" spans="1:56" ht="12" customHeight="1" x14ac:dyDescent="0.3">
      <c r="A194" s="205"/>
      <c r="B194" s="171"/>
      <c r="C194" s="171"/>
      <c r="D194" s="171"/>
      <c r="E194" s="172"/>
      <c r="F194" s="172"/>
      <c r="G194" s="209"/>
      <c r="H194" s="245"/>
      <c r="I194" s="170"/>
      <c r="J194" s="173"/>
      <c r="K194" s="174"/>
      <c r="L194" s="173"/>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245"/>
      <c r="AX194" s="245"/>
      <c r="AY194" s="245"/>
      <c r="AZ194" s="245"/>
      <c r="BA194" s="245"/>
      <c r="BB194" s="245"/>
      <c r="BC194" s="245"/>
    </row>
    <row r="195" spans="1:56" ht="12" customHeight="1" x14ac:dyDescent="0.3">
      <c r="A195" s="205"/>
      <c r="B195" s="171"/>
      <c r="C195" s="171"/>
      <c r="D195" s="171"/>
      <c r="E195" s="172"/>
      <c r="F195" s="172"/>
      <c r="G195" s="209"/>
      <c r="H195" s="245"/>
      <c r="I195" s="170"/>
      <c r="J195" s="173"/>
      <c r="K195" s="174"/>
      <c r="L195" s="173"/>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245"/>
      <c r="AX195" s="245"/>
      <c r="AY195" s="245"/>
      <c r="AZ195" s="245"/>
      <c r="BA195" s="245"/>
      <c r="BB195" s="245"/>
      <c r="BC195" s="245"/>
    </row>
    <row r="196" spans="1:56" ht="12" customHeight="1" x14ac:dyDescent="0.3">
      <c r="A196" s="205"/>
      <c r="B196" s="171"/>
      <c r="C196" s="171"/>
      <c r="D196" s="171"/>
      <c r="E196" s="172"/>
      <c r="F196" s="172"/>
      <c r="G196" s="209"/>
      <c r="H196" s="245"/>
      <c r="I196" s="170"/>
      <c r="J196" s="173"/>
      <c r="K196" s="174"/>
      <c r="L196" s="173"/>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245"/>
      <c r="AX196" s="245"/>
      <c r="AY196" s="245"/>
      <c r="AZ196" s="245"/>
      <c r="BA196" s="245"/>
      <c r="BB196" s="245"/>
      <c r="BC196" s="245"/>
    </row>
    <row r="197" spans="1:56" ht="12" customHeight="1" x14ac:dyDescent="0.3">
      <c r="A197" s="205"/>
      <c r="B197" s="171"/>
      <c r="C197" s="171"/>
      <c r="D197" s="171"/>
      <c r="E197" s="172"/>
      <c r="F197" s="172"/>
      <c r="G197" s="209"/>
      <c r="H197" s="245"/>
      <c r="I197" s="170"/>
      <c r="J197" s="173"/>
      <c r="K197" s="174"/>
      <c r="L197" s="173"/>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245"/>
      <c r="AX197" s="245"/>
      <c r="AY197" s="245"/>
      <c r="AZ197" s="245"/>
      <c r="BA197" s="245"/>
      <c r="BB197" s="245"/>
      <c r="BC197" s="245"/>
    </row>
    <row r="198" spans="1:56" ht="12" customHeight="1" x14ac:dyDescent="0.3">
      <c r="A198" s="205"/>
      <c r="B198" s="171"/>
      <c r="C198" s="171"/>
      <c r="D198" s="171"/>
      <c r="E198" s="172"/>
      <c r="F198" s="172"/>
      <c r="G198" s="209"/>
      <c r="H198" s="245"/>
      <c r="I198" s="170"/>
      <c r="J198" s="173"/>
      <c r="K198" s="174"/>
      <c r="L198" s="173"/>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245"/>
      <c r="AX198" s="245"/>
      <c r="AY198" s="245"/>
      <c r="AZ198" s="245"/>
      <c r="BA198" s="245"/>
      <c r="BB198" s="245"/>
      <c r="BC198" s="245"/>
    </row>
    <row r="199" spans="1:56" s="217" customFormat="1" ht="12" customHeight="1" x14ac:dyDescent="0.3">
      <c r="A199" s="213"/>
      <c r="B199" s="214"/>
      <c r="C199" s="214" t="s">
        <v>415</v>
      </c>
      <c r="D199" s="214"/>
      <c r="E199" s="215"/>
      <c r="F199" s="215"/>
      <c r="G199" s="216">
        <f>G15+G10</f>
        <v>80</v>
      </c>
      <c r="H199" s="247">
        <f t="shared" ref="H199:BC199" si="59">H15+H10</f>
        <v>35602500</v>
      </c>
      <c r="I199" s="216"/>
      <c r="J199" s="216">
        <f t="shared" si="59"/>
        <v>0.1</v>
      </c>
      <c r="K199" s="216">
        <f t="shared" si="59"/>
        <v>3.3899999999999997</v>
      </c>
      <c r="L199" s="216">
        <f t="shared" si="59"/>
        <v>1.3</v>
      </c>
      <c r="M199" s="216">
        <f t="shared" si="59"/>
        <v>12112600</v>
      </c>
      <c r="N199" s="216">
        <f t="shared" si="59"/>
        <v>28833780</v>
      </c>
      <c r="O199" s="216"/>
      <c r="P199" s="216"/>
      <c r="Q199" s="216"/>
      <c r="R199" s="216"/>
      <c r="S199" s="216">
        <f t="shared" si="59"/>
        <v>60909960</v>
      </c>
      <c r="T199" s="216">
        <f t="shared" si="59"/>
        <v>0</v>
      </c>
      <c r="U199" s="216">
        <f t="shared" si="59"/>
        <v>5024432</v>
      </c>
      <c r="V199" s="216">
        <f t="shared" si="59"/>
        <v>819545</v>
      </c>
      <c r="W199" s="216">
        <f t="shared" si="59"/>
        <v>66753937</v>
      </c>
      <c r="X199" s="216">
        <f t="shared" si="59"/>
        <v>3738263</v>
      </c>
      <c r="Y199" s="216">
        <f t="shared" si="59"/>
        <v>0</v>
      </c>
      <c r="Z199" s="216">
        <f t="shared" si="59"/>
        <v>0</v>
      </c>
      <c r="AA199" s="216">
        <f t="shared" si="59"/>
        <v>0</v>
      </c>
      <c r="AB199" s="216">
        <f t="shared" si="59"/>
        <v>43200000</v>
      </c>
      <c r="AC199" s="216">
        <f t="shared" si="59"/>
        <v>0</v>
      </c>
      <c r="AD199" s="216">
        <f t="shared" si="59"/>
        <v>0</v>
      </c>
      <c r="AE199" s="216">
        <f t="shared" si="59"/>
        <v>0</v>
      </c>
      <c r="AF199" s="216">
        <f t="shared" si="59"/>
        <v>19501449</v>
      </c>
      <c r="AG199" s="216">
        <f t="shared" si="59"/>
        <v>0</v>
      </c>
      <c r="AH199" s="216">
        <f t="shared" si="59"/>
        <v>0</v>
      </c>
      <c r="AI199" s="216">
        <f t="shared" si="59"/>
        <v>0</v>
      </c>
      <c r="AJ199" s="216">
        <f t="shared" si="59"/>
        <v>0</v>
      </c>
      <c r="AK199" s="216">
        <f t="shared" si="59"/>
        <v>0</v>
      </c>
      <c r="AL199" s="216">
        <f t="shared" si="59"/>
        <v>0</v>
      </c>
      <c r="AM199" s="216">
        <f t="shared" si="59"/>
        <v>0</v>
      </c>
      <c r="AN199" s="216">
        <f t="shared" si="59"/>
        <v>0</v>
      </c>
      <c r="AO199" s="216">
        <f t="shared" si="59"/>
        <v>0</v>
      </c>
      <c r="AP199" s="216">
        <f t="shared" si="59"/>
        <v>0</v>
      </c>
      <c r="AQ199" s="216">
        <f t="shared" si="59"/>
        <v>0</v>
      </c>
      <c r="AR199" s="216">
        <f t="shared" si="59"/>
        <v>0</v>
      </c>
      <c r="AS199" s="216">
        <f t="shared" si="59"/>
        <v>0</v>
      </c>
      <c r="AT199" s="216">
        <f t="shared" si="59"/>
        <v>0</v>
      </c>
      <c r="AU199" s="216">
        <f t="shared" si="59"/>
        <v>1696679</v>
      </c>
      <c r="AV199" s="216">
        <f t="shared" si="59"/>
        <v>0</v>
      </c>
      <c r="AW199" s="247">
        <f t="shared" si="59"/>
        <v>61318995</v>
      </c>
      <c r="AX199" s="247">
        <f t="shared" si="59"/>
        <v>0</v>
      </c>
      <c r="AY199" s="247">
        <f t="shared" si="59"/>
        <v>0</v>
      </c>
      <c r="AZ199" s="247">
        <f t="shared" si="59"/>
        <v>473855</v>
      </c>
      <c r="BA199" s="247">
        <f>BA15+BA10</f>
        <v>4000000</v>
      </c>
      <c r="BB199" s="247">
        <f t="shared" si="59"/>
        <v>0</v>
      </c>
      <c r="BC199" s="247">
        <f t="shared" si="59"/>
        <v>56845140</v>
      </c>
    </row>
    <row r="200" spans="1:56" ht="12" hidden="1" customHeight="1" x14ac:dyDescent="0.3">
      <c r="A200" s="218">
        <v>0</v>
      </c>
      <c r="B200" s="219" t="s">
        <v>40</v>
      </c>
      <c r="C200" s="219"/>
      <c r="D200" s="219"/>
      <c r="G200" s="220"/>
      <c r="M200" s="206"/>
      <c r="U200" s="206"/>
      <c r="W200" s="206">
        <f>S199+T199+U199+V199</f>
        <v>66753937</v>
      </c>
      <c r="X200" s="206">
        <f>X199+935571</f>
        <v>4673834</v>
      </c>
      <c r="AW200" s="248">
        <f>W199-X199-AU199</f>
        <v>61318995</v>
      </c>
      <c r="AZ200" s="250">
        <f>AZ198+AZ193</f>
        <v>0</v>
      </c>
      <c r="BB200" s="248">
        <f>BB199+405009</f>
        <v>405009</v>
      </c>
      <c r="BC200" s="248">
        <f>AW199-AZ199-BA199-BB199</f>
        <v>56845140</v>
      </c>
      <c r="BD200" s="206">
        <f>AW198-AZ198-BA198-BB198</f>
        <v>0</v>
      </c>
    </row>
    <row r="201" spans="1:56" s="223" customFormat="1" ht="18.75" customHeight="1" x14ac:dyDescent="0.3">
      <c r="G201" s="224"/>
      <c r="H201" s="263"/>
      <c r="K201" s="225"/>
      <c r="AW201" s="267" t="s">
        <v>802</v>
      </c>
      <c r="AX201" s="267"/>
      <c r="AY201" s="267"/>
      <c r="AZ201" s="267"/>
      <c r="BA201" s="267"/>
      <c r="BB201" s="267"/>
      <c r="BC201" s="267"/>
    </row>
    <row r="202" spans="1:56" s="226" customFormat="1" ht="15.6" x14ac:dyDescent="0.3">
      <c r="C202" s="264" t="s">
        <v>31</v>
      </c>
      <c r="D202" s="264"/>
      <c r="E202" s="264"/>
      <c r="F202" s="264"/>
      <c r="G202" s="264"/>
      <c r="H202" s="264"/>
      <c r="I202" s="239"/>
      <c r="J202" s="227"/>
      <c r="K202" s="228"/>
      <c r="L202" s="227"/>
      <c r="M202" s="264" t="s">
        <v>32</v>
      </c>
      <c r="N202" s="264"/>
      <c r="O202" s="264"/>
      <c r="P202" s="264"/>
      <c r="Q202" s="264"/>
      <c r="R202" s="264"/>
      <c r="S202" s="264"/>
      <c r="T202" s="264"/>
      <c r="U202" s="264"/>
      <c r="V202" s="264"/>
      <c r="W202" s="264" t="s">
        <v>33</v>
      </c>
      <c r="X202" s="264"/>
      <c r="Y202" s="264"/>
      <c r="Z202" s="264"/>
      <c r="AA202" s="264"/>
      <c r="AB202" s="264"/>
      <c r="AC202" s="264"/>
      <c r="AD202" s="264"/>
      <c r="AE202" s="264"/>
      <c r="AF202" s="264"/>
      <c r="AG202" s="264"/>
      <c r="AH202" s="264"/>
      <c r="AI202" s="264"/>
      <c r="AJ202" s="264"/>
      <c r="AK202" s="264"/>
      <c r="AL202" s="264"/>
      <c r="AM202" s="264"/>
      <c r="AN202" s="264"/>
      <c r="AO202" s="264"/>
      <c r="AP202" s="264"/>
      <c r="AQ202" s="264"/>
      <c r="AR202" s="264"/>
      <c r="AS202" s="264"/>
      <c r="AT202" s="264"/>
      <c r="AU202" s="264"/>
      <c r="AV202" s="264" t="s">
        <v>34</v>
      </c>
      <c r="AW202" s="264"/>
      <c r="AX202" s="264"/>
      <c r="AY202" s="264"/>
      <c r="AZ202" s="264"/>
      <c r="BA202" s="264"/>
      <c r="BB202" s="264"/>
      <c r="BC202" s="264"/>
    </row>
    <row r="204" spans="1:56" ht="12" customHeight="1" x14ac:dyDescent="0.3">
      <c r="AZ204" s="248"/>
    </row>
  </sheetData>
  <autoFilter ref="A7:BC202" xr:uid="{00000000-0009-0000-0000-000000000000}"/>
  <mergeCells count="7">
    <mergeCell ref="C202:H202"/>
    <mergeCell ref="M202:V202"/>
    <mergeCell ref="W202:AU202"/>
    <mergeCell ref="AV202:BC202"/>
    <mergeCell ref="A1:M1"/>
    <mergeCell ref="A2:M2"/>
    <mergeCell ref="AW201:BC201"/>
  </mergeCells>
  <printOptions horizontalCentered="1"/>
  <pageMargins left="0.23622047244094491" right="0.15748031496062992" top="0.74803149606299213" bottom="0.74803149606299213" header="0.31496062992125984" footer="0.31496062992125984"/>
  <pageSetup paperSize="8" scale="85"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V198"/>
  <sheetViews>
    <sheetView workbookViewId="0">
      <selection activeCell="H8" sqref="H8"/>
    </sheetView>
  </sheetViews>
  <sheetFormatPr defaultColWidth="9.109375" defaultRowHeight="10.199999999999999" x14ac:dyDescent="0.3"/>
  <cols>
    <col min="1" max="1" width="3.44140625" style="3" customWidth="1"/>
    <col min="2" max="2" width="4.88671875" style="3" bestFit="1" customWidth="1"/>
    <col min="3" max="3" width="21.33203125" style="3" customWidth="1"/>
    <col min="4" max="4" width="21.5546875" style="3" customWidth="1"/>
    <col min="5" max="5" width="5.44140625" style="3" hidden="1" customWidth="1"/>
    <col min="6" max="6" width="9" style="3" bestFit="1" customWidth="1"/>
    <col min="7" max="7" width="4.88671875" style="3" bestFit="1" customWidth="1"/>
    <col min="8" max="8" width="12.88671875" style="3" bestFit="1" customWidth="1"/>
    <col min="9" max="9" width="12.88671875" style="16" customWidth="1"/>
    <col min="10" max="10" width="9.5546875" style="3" bestFit="1" customWidth="1"/>
    <col min="11" max="11" width="10.33203125" style="3" customWidth="1"/>
    <col min="12" max="12" width="9.88671875" style="3" bestFit="1" customWidth="1"/>
    <col min="13" max="13" width="8.5546875" style="3" customWidth="1"/>
    <col min="14" max="14" width="9.5546875" style="3" bestFit="1" customWidth="1"/>
    <col min="15" max="15" width="9.6640625" style="3" bestFit="1" customWidth="1"/>
    <col min="16" max="16" width="9.88671875" style="3" bestFit="1" customWidth="1"/>
    <col min="17" max="17" width="9.88671875" style="3" customWidth="1"/>
    <col min="18" max="18" width="9.5546875" style="3" hidden="1" customWidth="1"/>
    <col min="19" max="20" width="7.88671875" style="3" hidden="1" customWidth="1"/>
    <col min="21" max="21" width="9.5546875" style="3" bestFit="1" customWidth="1"/>
    <col min="22" max="22" width="11" style="3" hidden="1" customWidth="1"/>
    <col min="23" max="23" width="7.88671875" style="3" hidden="1" customWidth="1"/>
    <col min="24" max="24" width="8.6640625" style="3" hidden="1" customWidth="1"/>
    <col min="25" max="25" width="9" style="3" customWidth="1"/>
    <col min="26" max="39" width="14.88671875" style="3" hidden="1" customWidth="1"/>
    <col min="40" max="40" width="7.88671875" style="3" customWidth="1"/>
    <col min="41" max="41" width="7.88671875" style="3" bestFit="1" customWidth="1"/>
    <col min="42" max="42" width="11.33203125" style="3" customWidth="1"/>
    <col min="43" max="44" width="0" style="3" hidden="1" customWidth="1"/>
    <col min="45" max="45" width="8.44140625" style="3" bestFit="1" customWidth="1"/>
    <col min="46" max="46" width="9.5546875" style="3" bestFit="1" customWidth="1"/>
    <col min="47" max="47" width="8.33203125" style="3" customWidth="1"/>
    <col min="48" max="48" width="12.33203125" style="3" customWidth="1"/>
    <col min="49" max="16384" width="9.109375" style="3"/>
  </cols>
  <sheetData>
    <row r="1" spans="1:48" s="1" customFormat="1" ht="15" customHeight="1" x14ac:dyDescent="0.3">
      <c r="A1" s="277" t="s">
        <v>0</v>
      </c>
      <c r="B1" s="277"/>
      <c r="C1" s="277"/>
      <c r="D1" s="277"/>
      <c r="E1" s="277"/>
      <c r="F1" s="277"/>
      <c r="G1" s="277"/>
      <c r="H1" s="277"/>
      <c r="I1" s="277"/>
      <c r="J1" s="277"/>
    </row>
    <row r="2" spans="1:48" s="2" customFormat="1" ht="39" customHeight="1" x14ac:dyDescent="0.3">
      <c r="A2" s="278" t="s">
        <v>1</v>
      </c>
      <c r="B2" s="278"/>
      <c r="C2" s="278"/>
      <c r="D2" s="278"/>
      <c r="E2" s="278"/>
      <c r="F2" s="278"/>
      <c r="G2" s="278"/>
      <c r="H2" s="278"/>
      <c r="I2" s="278"/>
      <c r="J2" s="278"/>
      <c r="K2" s="279" t="s">
        <v>825</v>
      </c>
      <c r="L2" s="280"/>
      <c r="M2" s="280"/>
      <c r="N2" s="280"/>
      <c r="O2" s="280"/>
      <c r="P2" s="280"/>
      <c r="Q2" s="280"/>
      <c r="R2" s="280"/>
      <c r="S2" s="280"/>
      <c r="T2" s="280"/>
      <c r="U2" s="280"/>
      <c r="V2" s="280"/>
      <c r="W2" s="280"/>
      <c r="X2" s="280"/>
      <c r="Y2" s="280"/>
    </row>
    <row r="3" spans="1:48" ht="20.25" customHeight="1" x14ac:dyDescent="0.3">
      <c r="A3" s="12"/>
      <c r="B3" s="281"/>
      <c r="C3" s="281"/>
      <c r="D3" s="281"/>
      <c r="E3" s="281"/>
      <c r="F3" s="281"/>
      <c r="G3" s="281"/>
      <c r="H3" s="281"/>
      <c r="I3" s="281"/>
      <c r="J3" s="281"/>
      <c r="K3" s="281"/>
      <c r="L3" s="281"/>
      <c r="M3" s="281"/>
      <c r="N3" s="281"/>
      <c r="O3" s="281"/>
      <c r="P3" s="281"/>
      <c r="Q3" s="281"/>
      <c r="R3" s="281"/>
      <c r="S3" s="281"/>
      <c r="T3" s="281"/>
      <c r="U3" s="281"/>
      <c r="V3" s="281"/>
      <c r="W3" s="281"/>
      <c r="X3" s="281"/>
      <c r="Y3" s="281"/>
      <c r="Z3" s="281"/>
      <c r="AA3" s="281"/>
      <c r="AB3" s="281"/>
      <c r="AC3" s="281"/>
      <c r="AD3" s="281"/>
      <c r="AE3" s="281"/>
      <c r="AF3" s="281"/>
      <c r="AG3" s="281"/>
      <c r="AH3" s="281"/>
      <c r="AI3" s="281"/>
      <c r="AJ3" s="281"/>
      <c r="AK3" s="281"/>
      <c r="AL3" s="281"/>
      <c r="AM3" s="281"/>
      <c r="AN3" s="281"/>
      <c r="AO3" s="281"/>
      <c r="AP3" s="281"/>
      <c r="AQ3" s="281"/>
      <c r="AR3" s="281"/>
      <c r="AS3" s="281"/>
      <c r="AT3" s="281"/>
      <c r="AU3" s="281"/>
      <c r="AV3" s="281"/>
    </row>
    <row r="4" spans="1:48" ht="48" customHeight="1" x14ac:dyDescent="0.3">
      <c r="A4" s="5" t="s">
        <v>2</v>
      </c>
      <c r="B4" s="5" t="s">
        <v>3</v>
      </c>
      <c r="C4" s="5" t="s">
        <v>4</v>
      </c>
      <c r="D4" s="5" t="s">
        <v>5</v>
      </c>
      <c r="E4" s="5" t="s">
        <v>6</v>
      </c>
      <c r="F4" s="5" t="s">
        <v>7</v>
      </c>
      <c r="G4" s="5" t="s">
        <v>8</v>
      </c>
      <c r="H4" s="5" t="s">
        <v>423</v>
      </c>
      <c r="I4" s="187" t="s">
        <v>36</v>
      </c>
      <c r="J4" s="5" t="s">
        <v>424</v>
      </c>
      <c r="K4" s="5" t="s">
        <v>425</v>
      </c>
      <c r="L4" s="5" t="s">
        <v>9</v>
      </c>
      <c r="M4" s="5" t="s">
        <v>10</v>
      </c>
      <c r="N4" s="5" t="s">
        <v>11</v>
      </c>
      <c r="O4" s="5" t="s">
        <v>12</v>
      </c>
      <c r="P4" s="5" t="s">
        <v>13</v>
      </c>
      <c r="Q4" s="5" t="s">
        <v>14</v>
      </c>
      <c r="R4" s="5" t="s">
        <v>15</v>
      </c>
      <c r="S4" s="5" t="s">
        <v>16</v>
      </c>
      <c r="T4" s="5" t="s">
        <v>17</v>
      </c>
      <c r="U4" s="5" t="s">
        <v>18</v>
      </c>
      <c r="V4" s="5" t="s">
        <v>19</v>
      </c>
      <c r="W4" s="5" t="s">
        <v>20</v>
      </c>
      <c r="X4" s="5" t="s">
        <v>21</v>
      </c>
      <c r="Y4" s="5" t="s">
        <v>22</v>
      </c>
      <c r="Z4" s="6" t="s">
        <v>23</v>
      </c>
      <c r="AA4" s="7">
        <v>0.05</v>
      </c>
      <c r="AB4" s="6" t="s">
        <v>23</v>
      </c>
      <c r="AC4" s="7">
        <v>0.1</v>
      </c>
      <c r="AD4" s="6" t="s">
        <v>23</v>
      </c>
      <c r="AE4" s="7">
        <v>0.15</v>
      </c>
      <c r="AF4" s="6" t="s">
        <v>23</v>
      </c>
      <c r="AG4" s="7">
        <v>0.2</v>
      </c>
      <c r="AH4" s="6" t="s">
        <v>23</v>
      </c>
      <c r="AI4" s="7">
        <v>0.25</v>
      </c>
      <c r="AJ4" s="6" t="s">
        <v>23</v>
      </c>
      <c r="AK4" s="7">
        <v>0.3</v>
      </c>
      <c r="AL4" s="6" t="s">
        <v>23</v>
      </c>
      <c r="AM4" s="7">
        <v>0.35</v>
      </c>
      <c r="AN4" s="5" t="s">
        <v>24</v>
      </c>
      <c r="AO4" s="5" t="s">
        <v>25</v>
      </c>
      <c r="AP4" s="5" t="s">
        <v>26</v>
      </c>
      <c r="AQ4" s="5" t="s">
        <v>27</v>
      </c>
      <c r="AR4" s="5" t="s">
        <v>28</v>
      </c>
      <c r="AS4" s="5" t="s">
        <v>35</v>
      </c>
      <c r="AT4" s="5" t="s">
        <v>27</v>
      </c>
      <c r="AU4" s="5" t="s">
        <v>426</v>
      </c>
      <c r="AV4" s="5" t="s">
        <v>29</v>
      </c>
    </row>
    <row r="5" spans="1:48" ht="24" customHeight="1" x14ac:dyDescent="0.3">
      <c r="A5" s="8">
        <v>1</v>
      </c>
      <c r="B5" s="8"/>
      <c r="C5" s="8">
        <v>2</v>
      </c>
      <c r="D5" s="8"/>
      <c r="E5" s="8"/>
      <c r="F5" s="8">
        <v>3</v>
      </c>
      <c r="G5" s="8">
        <v>4</v>
      </c>
      <c r="H5" s="8">
        <v>5</v>
      </c>
      <c r="I5" s="188">
        <f>1+H5</f>
        <v>6</v>
      </c>
      <c r="J5" s="8">
        <f t="shared" ref="J5:O5" si="0">1+I5</f>
        <v>7</v>
      </c>
      <c r="K5" s="8">
        <f t="shared" si="0"/>
        <v>8</v>
      </c>
      <c r="L5" s="8">
        <f t="shared" si="0"/>
        <v>9</v>
      </c>
      <c r="M5" s="8">
        <f t="shared" si="0"/>
        <v>10</v>
      </c>
      <c r="N5" s="8">
        <f t="shared" si="0"/>
        <v>11</v>
      </c>
      <c r="O5" s="8">
        <f t="shared" si="0"/>
        <v>12</v>
      </c>
      <c r="P5" s="8" t="s">
        <v>37</v>
      </c>
      <c r="Q5" s="8">
        <v>14</v>
      </c>
      <c r="R5" s="8"/>
      <c r="S5" s="8"/>
      <c r="T5" s="8"/>
      <c r="U5" s="8">
        <f>Q5+1</f>
        <v>15</v>
      </c>
      <c r="V5" s="8">
        <f t="shared" ref="V5:AM5" si="1">R5+1</f>
        <v>1</v>
      </c>
      <c r="W5" s="8">
        <f t="shared" si="1"/>
        <v>1</v>
      </c>
      <c r="X5" s="8">
        <f t="shared" si="1"/>
        <v>1</v>
      </c>
      <c r="Y5" s="8">
        <f t="shared" si="1"/>
        <v>16</v>
      </c>
      <c r="Z5" s="8">
        <f t="shared" si="1"/>
        <v>2</v>
      </c>
      <c r="AA5" s="8">
        <f t="shared" si="1"/>
        <v>2</v>
      </c>
      <c r="AB5" s="8">
        <f t="shared" si="1"/>
        <v>2</v>
      </c>
      <c r="AC5" s="8">
        <f t="shared" si="1"/>
        <v>17</v>
      </c>
      <c r="AD5" s="8">
        <f t="shared" si="1"/>
        <v>3</v>
      </c>
      <c r="AE5" s="8">
        <f t="shared" si="1"/>
        <v>3</v>
      </c>
      <c r="AF5" s="8">
        <f t="shared" si="1"/>
        <v>3</v>
      </c>
      <c r="AG5" s="8">
        <f t="shared" si="1"/>
        <v>18</v>
      </c>
      <c r="AH5" s="8">
        <f t="shared" si="1"/>
        <v>4</v>
      </c>
      <c r="AI5" s="8">
        <f t="shared" si="1"/>
        <v>4</v>
      </c>
      <c r="AJ5" s="8">
        <f t="shared" si="1"/>
        <v>4</v>
      </c>
      <c r="AK5" s="8">
        <f t="shared" si="1"/>
        <v>19</v>
      </c>
      <c r="AL5" s="8">
        <f t="shared" si="1"/>
        <v>5</v>
      </c>
      <c r="AM5" s="8">
        <f t="shared" si="1"/>
        <v>5</v>
      </c>
      <c r="AN5" s="8">
        <v>17</v>
      </c>
      <c r="AO5" s="8">
        <v>18</v>
      </c>
      <c r="AP5" s="8" t="s">
        <v>38</v>
      </c>
      <c r="AQ5" s="8"/>
      <c r="AR5" s="8"/>
      <c r="AS5" s="8">
        <v>20</v>
      </c>
      <c r="AT5" s="8">
        <v>21</v>
      </c>
      <c r="AU5" s="8">
        <v>22</v>
      </c>
      <c r="AV5" s="8" t="s">
        <v>39</v>
      </c>
    </row>
    <row r="6" spans="1:48" ht="12" customHeight="1" x14ac:dyDescent="0.3">
      <c r="A6" s="13">
        <v>0</v>
      </c>
      <c r="B6" s="11" t="s">
        <v>40</v>
      </c>
      <c r="C6" s="11" t="s">
        <v>41</v>
      </c>
      <c r="D6" s="11"/>
      <c r="E6" s="14"/>
      <c r="F6" s="14">
        <v>97</v>
      </c>
      <c r="G6" s="15">
        <v>80</v>
      </c>
      <c r="H6" s="15">
        <v>38591000</v>
      </c>
      <c r="I6" s="189">
        <v>4</v>
      </c>
      <c r="J6" s="15"/>
      <c r="K6" s="15">
        <v>116400000</v>
      </c>
      <c r="L6" s="15">
        <v>116400000</v>
      </c>
      <c r="M6" s="15">
        <v>0</v>
      </c>
      <c r="N6" s="15">
        <v>0</v>
      </c>
      <c r="O6" s="15">
        <v>1341000</v>
      </c>
      <c r="P6" s="15">
        <v>117741000</v>
      </c>
      <c r="Q6" s="15">
        <v>4052056</v>
      </c>
      <c r="R6" s="15"/>
      <c r="S6" s="15"/>
      <c r="T6" s="15"/>
      <c r="U6" s="15">
        <v>50400000</v>
      </c>
      <c r="V6" s="15"/>
      <c r="W6" s="15"/>
      <c r="X6" s="15"/>
      <c r="Y6" s="15">
        <v>61947944</v>
      </c>
      <c r="Z6" s="15"/>
      <c r="AA6" s="15"/>
      <c r="AB6" s="15"/>
      <c r="AC6" s="15"/>
      <c r="AD6" s="15"/>
      <c r="AE6" s="15"/>
      <c r="AF6" s="15"/>
      <c r="AG6" s="15"/>
      <c r="AH6" s="15"/>
      <c r="AI6" s="15"/>
      <c r="AJ6" s="15"/>
      <c r="AK6" s="15"/>
      <c r="AL6" s="15"/>
      <c r="AM6" s="15"/>
      <c r="AN6" s="15">
        <v>6505088</v>
      </c>
      <c r="AO6" s="15">
        <v>0</v>
      </c>
      <c r="AP6" s="15">
        <v>107183856</v>
      </c>
      <c r="AQ6" s="15"/>
      <c r="AR6" s="15"/>
      <c r="AS6" s="15">
        <v>596000</v>
      </c>
      <c r="AT6" s="15">
        <v>0</v>
      </c>
      <c r="AU6" s="15"/>
      <c r="AV6" s="15">
        <v>106587856</v>
      </c>
    </row>
    <row r="7" spans="1:48" ht="12" customHeight="1" x14ac:dyDescent="0.3">
      <c r="A7" s="13">
        <v>1</v>
      </c>
      <c r="B7" s="11" t="s">
        <v>42</v>
      </c>
      <c r="C7" s="11" t="s">
        <v>855</v>
      </c>
      <c r="D7" s="11"/>
      <c r="E7" s="14"/>
      <c r="F7" s="14">
        <v>27</v>
      </c>
      <c r="G7" s="15">
        <v>20</v>
      </c>
      <c r="H7" s="15">
        <v>10877000</v>
      </c>
      <c r="I7" s="189">
        <v>1</v>
      </c>
      <c r="J7" s="15"/>
      <c r="K7" s="15">
        <v>32400000</v>
      </c>
      <c r="L7" s="15">
        <v>32400000</v>
      </c>
      <c r="M7" s="15">
        <v>0</v>
      </c>
      <c r="N7" s="15">
        <v>0</v>
      </c>
      <c r="O7" s="15">
        <v>447000</v>
      </c>
      <c r="P7" s="15">
        <v>32847000</v>
      </c>
      <c r="Q7" s="15">
        <v>1142085</v>
      </c>
      <c r="R7" s="15"/>
      <c r="S7" s="15"/>
      <c r="T7" s="15"/>
      <c r="U7" s="15">
        <v>9000000</v>
      </c>
      <c r="V7" s="15"/>
      <c r="W7" s="15"/>
      <c r="X7" s="15"/>
      <c r="Y7" s="15">
        <v>22257915</v>
      </c>
      <c r="Z7" s="15"/>
      <c r="AA7" s="15"/>
      <c r="AB7" s="15"/>
      <c r="AC7" s="15"/>
      <c r="AD7" s="15"/>
      <c r="AE7" s="15"/>
      <c r="AF7" s="15"/>
      <c r="AG7" s="15"/>
      <c r="AH7" s="15"/>
      <c r="AI7" s="15"/>
      <c r="AJ7" s="15"/>
      <c r="AK7" s="15"/>
      <c r="AL7" s="15"/>
      <c r="AM7" s="15"/>
      <c r="AN7" s="15">
        <v>2801583</v>
      </c>
      <c r="AO7" s="15">
        <v>0</v>
      </c>
      <c r="AP7" s="15">
        <v>28903332</v>
      </c>
      <c r="AQ7" s="15"/>
      <c r="AR7" s="15"/>
      <c r="AS7" s="15">
        <v>149000</v>
      </c>
      <c r="AT7" s="15">
        <v>0</v>
      </c>
      <c r="AU7" s="15"/>
      <c r="AV7" s="15">
        <v>28754332</v>
      </c>
    </row>
    <row r="8" spans="1:48" ht="12" customHeight="1" x14ac:dyDescent="0.3">
      <c r="A8" s="13">
        <v>2</v>
      </c>
      <c r="B8" s="11" t="s">
        <v>45</v>
      </c>
      <c r="C8" s="11" t="s">
        <v>855</v>
      </c>
      <c r="D8" s="11"/>
      <c r="E8" s="14"/>
      <c r="F8" s="14">
        <v>26</v>
      </c>
      <c r="G8" s="15">
        <v>20</v>
      </c>
      <c r="H8" s="15">
        <v>9893600</v>
      </c>
      <c r="I8" s="189">
        <v>1</v>
      </c>
      <c r="J8" s="15"/>
      <c r="K8" s="15">
        <v>31200000</v>
      </c>
      <c r="L8" s="15">
        <v>31200000</v>
      </c>
      <c r="M8" s="15">
        <v>0</v>
      </c>
      <c r="N8" s="15">
        <v>0</v>
      </c>
      <c r="O8" s="15">
        <v>447000</v>
      </c>
      <c r="P8" s="15">
        <v>31647000</v>
      </c>
      <c r="Q8" s="15">
        <v>1038828</v>
      </c>
      <c r="R8" s="15"/>
      <c r="S8" s="15"/>
      <c r="T8" s="15"/>
      <c r="U8" s="15">
        <v>12600000</v>
      </c>
      <c r="V8" s="15"/>
      <c r="W8" s="15"/>
      <c r="X8" s="15"/>
      <c r="Y8" s="15">
        <v>17561172</v>
      </c>
      <c r="Z8" s="15"/>
      <c r="AA8" s="15"/>
      <c r="AB8" s="15"/>
      <c r="AC8" s="15"/>
      <c r="AD8" s="15"/>
      <c r="AE8" s="15"/>
      <c r="AF8" s="15"/>
      <c r="AG8" s="15"/>
      <c r="AH8" s="15"/>
      <c r="AI8" s="15"/>
      <c r="AJ8" s="15"/>
      <c r="AK8" s="15"/>
      <c r="AL8" s="15"/>
      <c r="AM8" s="15"/>
      <c r="AN8" s="15">
        <v>1884176</v>
      </c>
      <c r="AO8" s="15">
        <v>0</v>
      </c>
      <c r="AP8" s="15">
        <v>28723996</v>
      </c>
      <c r="AQ8" s="15"/>
      <c r="AR8" s="15"/>
      <c r="AS8" s="15">
        <v>149000</v>
      </c>
      <c r="AT8" s="15">
        <v>0</v>
      </c>
      <c r="AU8" s="15"/>
      <c r="AV8" s="15">
        <v>28574996</v>
      </c>
    </row>
    <row r="9" spans="1:48" ht="12" customHeight="1" x14ac:dyDescent="0.3">
      <c r="A9" s="13">
        <v>3</v>
      </c>
      <c r="B9" s="11" t="s">
        <v>48</v>
      </c>
      <c r="C9" s="11" t="s">
        <v>855</v>
      </c>
      <c r="D9" s="11"/>
      <c r="E9" s="14"/>
      <c r="F9" s="14">
        <v>23</v>
      </c>
      <c r="G9" s="15">
        <v>20</v>
      </c>
      <c r="H9" s="15">
        <v>9401900</v>
      </c>
      <c r="I9" s="189">
        <v>1</v>
      </c>
      <c r="J9" s="15"/>
      <c r="K9" s="15">
        <v>27600000</v>
      </c>
      <c r="L9" s="15">
        <v>27600000</v>
      </c>
      <c r="M9" s="15">
        <v>0</v>
      </c>
      <c r="N9" s="15">
        <v>0</v>
      </c>
      <c r="O9" s="15">
        <v>447000</v>
      </c>
      <c r="P9" s="15">
        <v>28047000</v>
      </c>
      <c r="Q9" s="15">
        <v>987200</v>
      </c>
      <c r="R9" s="15"/>
      <c r="S9" s="15"/>
      <c r="T9" s="15"/>
      <c r="U9" s="15">
        <v>16200000</v>
      </c>
      <c r="V9" s="15"/>
      <c r="W9" s="15"/>
      <c r="X9" s="15"/>
      <c r="Y9" s="15">
        <v>10412800</v>
      </c>
      <c r="Z9" s="15"/>
      <c r="AA9" s="15"/>
      <c r="AB9" s="15"/>
      <c r="AC9" s="15"/>
      <c r="AD9" s="15"/>
      <c r="AE9" s="15"/>
      <c r="AF9" s="15"/>
      <c r="AG9" s="15"/>
      <c r="AH9" s="15"/>
      <c r="AI9" s="15"/>
      <c r="AJ9" s="15"/>
      <c r="AK9" s="15"/>
      <c r="AL9" s="15"/>
      <c r="AM9" s="15"/>
      <c r="AN9" s="15">
        <v>811920</v>
      </c>
      <c r="AO9" s="15">
        <v>0</v>
      </c>
      <c r="AP9" s="15">
        <v>26247880</v>
      </c>
      <c r="AQ9" s="15"/>
      <c r="AR9" s="15"/>
      <c r="AS9" s="15">
        <v>149000</v>
      </c>
      <c r="AT9" s="15">
        <v>0</v>
      </c>
      <c r="AU9" s="15"/>
      <c r="AV9" s="15">
        <v>26098880</v>
      </c>
    </row>
    <row r="10" spans="1:48" ht="12" customHeight="1" x14ac:dyDescent="0.3">
      <c r="A10" s="13">
        <v>4</v>
      </c>
      <c r="B10" s="11" t="s">
        <v>51</v>
      </c>
      <c r="C10" s="11" t="s">
        <v>855</v>
      </c>
      <c r="D10" s="11"/>
      <c r="E10" s="14"/>
      <c r="F10" s="14">
        <v>21</v>
      </c>
      <c r="G10" s="15">
        <v>20</v>
      </c>
      <c r="H10" s="15">
        <v>8418500</v>
      </c>
      <c r="I10" s="189">
        <v>1</v>
      </c>
      <c r="J10" s="15"/>
      <c r="K10" s="15">
        <v>25200000</v>
      </c>
      <c r="L10" s="15">
        <v>25200000</v>
      </c>
      <c r="M10" s="15">
        <v>0</v>
      </c>
      <c r="N10" s="15">
        <v>0</v>
      </c>
      <c r="O10" s="15">
        <v>0</v>
      </c>
      <c r="P10" s="15">
        <v>25200000</v>
      </c>
      <c r="Q10" s="15">
        <v>883943</v>
      </c>
      <c r="R10" s="15"/>
      <c r="S10" s="15"/>
      <c r="T10" s="15"/>
      <c r="U10" s="15">
        <v>12600000</v>
      </c>
      <c r="V10" s="15"/>
      <c r="W10" s="15"/>
      <c r="X10" s="15"/>
      <c r="Y10" s="15">
        <v>11716057</v>
      </c>
      <c r="Z10" s="15"/>
      <c r="AA10" s="15"/>
      <c r="AB10" s="15"/>
      <c r="AC10" s="15"/>
      <c r="AD10" s="15"/>
      <c r="AE10" s="15"/>
      <c r="AF10" s="15"/>
      <c r="AG10" s="15"/>
      <c r="AH10" s="15"/>
      <c r="AI10" s="15"/>
      <c r="AJ10" s="15"/>
      <c r="AK10" s="15"/>
      <c r="AL10" s="15"/>
      <c r="AM10" s="15"/>
      <c r="AN10" s="15">
        <v>1007409</v>
      </c>
      <c r="AO10" s="15">
        <v>0</v>
      </c>
      <c r="AP10" s="15">
        <v>23308648</v>
      </c>
      <c r="AQ10" s="15"/>
      <c r="AR10" s="15"/>
      <c r="AS10" s="15">
        <v>149000</v>
      </c>
      <c r="AT10" s="15">
        <v>0</v>
      </c>
      <c r="AU10" s="15"/>
      <c r="AV10" s="15">
        <v>23159648</v>
      </c>
    </row>
    <row r="11" spans="1:48" ht="12" customHeight="1" x14ac:dyDescent="0.3">
      <c r="A11" s="13">
        <v>0</v>
      </c>
      <c r="B11" s="11" t="s">
        <v>40</v>
      </c>
      <c r="C11" s="11" t="s">
        <v>855</v>
      </c>
      <c r="D11" s="11"/>
      <c r="E11" s="14"/>
      <c r="F11" s="14">
        <v>338.88</v>
      </c>
      <c r="G11" s="15">
        <v>3300</v>
      </c>
      <c r="H11" s="15">
        <v>1438879700</v>
      </c>
      <c r="I11" s="189">
        <v>183.09</v>
      </c>
      <c r="J11" s="15">
        <v>756021500</v>
      </c>
      <c r="K11" s="15">
        <v>0</v>
      </c>
      <c r="L11" s="15">
        <v>1542372960</v>
      </c>
      <c r="M11" s="15">
        <v>24820000</v>
      </c>
      <c r="N11" s="15">
        <v>0</v>
      </c>
      <c r="O11" s="15">
        <v>447000</v>
      </c>
      <c r="P11" s="15">
        <v>1567639960</v>
      </c>
      <c r="Q11" s="15">
        <v>151152772</v>
      </c>
      <c r="R11" s="15"/>
      <c r="S11" s="15"/>
      <c r="T11" s="15"/>
      <c r="U11" s="15">
        <v>2012400000</v>
      </c>
      <c r="V11" s="15"/>
      <c r="W11" s="15"/>
      <c r="X11" s="15"/>
      <c r="Y11" s="15">
        <v>48286895</v>
      </c>
      <c r="Z11" s="15"/>
      <c r="AA11" s="15"/>
      <c r="AB11" s="15"/>
      <c r="AC11" s="15"/>
      <c r="AD11" s="15"/>
      <c r="AE11" s="15"/>
      <c r="AF11" s="15"/>
      <c r="AG11" s="15"/>
      <c r="AH11" s="15"/>
      <c r="AI11" s="15"/>
      <c r="AJ11" s="15"/>
      <c r="AK11" s="15"/>
      <c r="AL11" s="15"/>
      <c r="AM11" s="15"/>
      <c r="AN11" s="15">
        <v>2705395</v>
      </c>
      <c r="AO11" s="15">
        <v>0</v>
      </c>
      <c r="AP11" s="15">
        <v>1413781793</v>
      </c>
      <c r="AQ11" s="15"/>
      <c r="AR11" s="15"/>
      <c r="AS11" s="15">
        <v>13994465</v>
      </c>
      <c r="AT11" s="15">
        <v>0</v>
      </c>
      <c r="AU11" s="15"/>
      <c r="AV11" s="15">
        <v>1399787328</v>
      </c>
    </row>
    <row r="12" spans="1:48" ht="12" customHeight="1" x14ac:dyDescent="0.3">
      <c r="A12" s="13">
        <v>0</v>
      </c>
      <c r="B12" s="11" t="s">
        <v>40</v>
      </c>
      <c r="C12" s="11" t="s">
        <v>855</v>
      </c>
      <c r="D12" s="11"/>
      <c r="E12" s="14"/>
      <c r="F12" s="14">
        <v>25.87</v>
      </c>
      <c r="G12" s="15">
        <v>224</v>
      </c>
      <c r="H12" s="15">
        <v>106360200</v>
      </c>
      <c r="I12" s="189">
        <v>13.56</v>
      </c>
      <c r="J12" s="15">
        <v>56097000</v>
      </c>
      <c r="K12" s="15">
        <v>0</v>
      </c>
      <c r="L12" s="15">
        <v>120187026</v>
      </c>
      <c r="M12" s="15">
        <v>0</v>
      </c>
      <c r="N12" s="15">
        <v>0</v>
      </c>
      <c r="O12" s="15">
        <v>0</v>
      </c>
      <c r="P12" s="15">
        <v>127275290</v>
      </c>
      <c r="Q12" s="15">
        <v>11826465</v>
      </c>
      <c r="R12" s="15"/>
      <c r="S12" s="15"/>
      <c r="T12" s="15"/>
      <c r="U12" s="15">
        <v>133200000</v>
      </c>
      <c r="V12" s="15"/>
      <c r="W12" s="15"/>
      <c r="X12" s="15"/>
      <c r="Y12" s="15">
        <v>6349000</v>
      </c>
      <c r="Z12" s="15"/>
      <c r="AA12" s="15"/>
      <c r="AB12" s="15"/>
      <c r="AC12" s="15"/>
      <c r="AD12" s="15"/>
      <c r="AE12" s="15"/>
      <c r="AF12" s="15"/>
      <c r="AG12" s="15"/>
      <c r="AH12" s="15"/>
      <c r="AI12" s="15"/>
      <c r="AJ12" s="15"/>
      <c r="AK12" s="15"/>
      <c r="AL12" s="15"/>
      <c r="AM12" s="15"/>
      <c r="AN12" s="15">
        <v>317451</v>
      </c>
      <c r="AO12" s="15">
        <v>0</v>
      </c>
      <c r="AP12" s="15">
        <v>115131374</v>
      </c>
      <c r="AQ12" s="15"/>
      <c r="AR12" s="15"/>
      <c r="AS12" s="15">
        <v>1120532</v>
      </c>
      <c r="AT12" s="15">
        <v>0</v>
      </c>
      <c r="AU12" s="15"/>
      <c r="AV12" s="15">
        <v>114010842</v>
      </c>
    </row>
    <row r="13" spans="1:48" ht="12" customHeight="1" x14ac:dyDescent="0.3">
      <c r="A13" s="13">
        <v>5</v>
      </c>
      <c r="B13" s="11" t="s">
        <v>177</v>
      </c>
      <c r="C13" s="11" t="s">
        <v>855</v>
      </c>
      <c r="D13" s="11" t="s">
        <v>115</v>
      </c>
      <c r="E13" s="14"/>
      <c r="F13" s="14">
        <v>4.8099999999999996</v>
      </c>
      <c r="G13" s="15">
        <v>20</v>
      </c>
      <c r="H13" s="15">
        <v>17631000</v>
      </c>
      <c r="I13" s="189">
        <v>1.1299999999999999</v>
      </c>
      <c r="J13" s="15">
        <v>11063000</v>
      </c>
      <c r="K13" s="15">
        <v>0</v>
      </c>
      <c r="L13" s="15">
        <v>19923030</v>
      </c>
      <c r="M13" s="15">
        <v>0</v>
      </c>
      <c r="N13" s="15">
        <v>0</v>
      </c>
      <c r="O13" s="15">
        <v>0</v>
      </c>
      <c r="P13" s="15">
        <v>19923030</v>
      </c>
      <c r="Q13" s="15">
        <v>1851255</v>
      </c>
      <c r="R13" s="15"/>
      <c r="S13" s="15"/>
      <c r="T13" s="15"/>
      <c r="U13" s="15">
        <v>16200000</v>
      </c>
      <c r="V13" s="15"/>
      <c r="W13" s="15"/>
      <c r="X13" s="15"/>
      <c r="Y13" s="15">
        <v>1871775</v>
      </c>
      <c r="Z13" s="15"/>
      <c r="AA13" s="15"/>
      <c r="AB13" s="15"/>
      <c r="AC13" s="15"/>
      <c r="AD13" s="15"/>
      <c r="AE13" s="15"/>
      <c r="AF13" s="15"/>
      <c r="AG13" s="15"/>
      <c r="AH13" s="15"/>
      <c r="AI13" s="15"/>
      <c r="AJ13" s="15"/>
      <c r="AK13" s="15"/>
      <c r="AL13" s="15"/>
      <c r="AM13" s="15"/>
      <c r="AN13" s="15">
        <v>93589</v>
      </c>
      <c r="AO13" s="15">
        <v>0</v>
      </c>
      <c r="AP13" s="15">
        <v>17978186</v>
      </c>
      <c r="AQ13" s="15"/>
      <c r="AR13" s="15"/>
      <c r="AS13" s="15">
        <v>149000</v>
      </c>
      <c r="AT13" s="15">
        <v>0</v>
      </c>
      <c r="AU13" s="15"/>
      <c r="AV13" s="15">
        <v>17829186</v>
      </c>
    </row>
    <row r="14" spans="1:48" ht="12" customHeight="1" x14ac:dyDescent="0.3">
      <c r="A14" s="13">
        <v>6</v>
      </c>
      <c r="B14" s="11" t="s">
        <v>59</v>
      </c>
      <c r="C14" s="11" t="s">
        <v>855</v>
      </c>
      <c r="D14" s="11" t="s">
        <v>61</v>
      </c>
      <c r="E14" s="14"/>
      <c r="F14" s="14">
        <v>3.13</v>
      </c>
      <c r="G14" s="15">
        <v>20</v>
      </c>
      <c r="H14" s="15">
        <v>12020000</v>
      </c>
      <c r="I14" s="189">
        <v>1.1299999999999999</v>
      </c>
      <c r="J14" s="15">
        <v>7199000</v>
      </c>
      <c r="K14" s="15">
        <v>0</v>
      </c>
      <c r="L14" s="15">
        <v>13582600</v>
      </c>
      <c r="M14" s="15">
        <v>0</v>
      </c>
      <c r="N14" s="15">
        <v>0</v>
      </c>
      <c r="O14" s="15">
        <v>0</v>
      </c>
      <c r="P14" s="15">
        <v>13582600</v>
      </c>
      <c r="Q14" s="15">
        <v>1262100</v>
      </c>
      <c r="R14" s="15"/>
      <c r="S14" s="15"/>
      <c r="T14" s="15"/>
      <c r="U14" s="15">
        <v>16200000</v>
      </c>
      <c r="V14" s="15"/>
      <c r="W14" s="15"/>
      <c r="X14" s="15"/>
      <c r="Y14" s="15">
        <v>0</v>
      </c>
      <c r="Z14" s="15"/>
      <c r="AA14" s="15"/>
      <c r="AB14" s="15"/>
      <c r="AC14" s="15"/>
      <c r="AD14" s="15"/>
      <c r="AE14" s="15"/>
      <c r="AF14" s="15"/>
      <c r="AG14" s="15"/>
      <c r="AH14" s="15"/>
      <c r="AI14" s="15"/>
      <c r="AJ14" s="15"/>
      <c r="AK14" s="15"/>
      <c r="AL14" s="15"/>
      <c r="AM14" s="15"/>
      <c r="AN14" s="15">
        <v>0</v>
      </c>
      <c r="AO14" s="15">
        <v>0</v>
      </c>
      <c r="AP14" s="15">
        <v>12320500</v>
      </c>
      <c r="AQ14" s="15"/>
      <c r="AR14" s="15"/>
      <c r="AS14" s="15">
        <v>123205</v>
      </c>
      <c r="AT14" s="15">
        <v>0</v>
      </c>
      <c r="AU14" s="15"/>
      <c r="AV14" s="15">
        <v>12197295</v>
      </c>
    </row>
    <row r="15" spans="1:48" ht="12" customHeight="1" x14ac:dyDescent="0.3">
      <c r="A15" s="13">
        <v>7</v>
      </c>
      <c r="B15" s="11" t="s">
        <v>62</v>
      </c>
      <c r="C15" s="11" t="s">
        <v>855</v>
      </c>
      <c r="D15" s="11" t="s">
        <v>61</v>
      </c>
      <c r="E15" s="14"/>
      <c r="F15" s="14">
        <v>3.13</v>
      </c>
      <c r="G15" s="15">
        <v>20</v>
      </c>
      <c r="H15" s="15">
        <v>13054000</v>
      </c>
      <c r="I15" s="189">
        <v>1.1299999999999999</v>
      </c>
      <c r="J15" s="15">
        <v>7199000</v>
      </c>
      <c r="K15" s="15">
        <v>0</v>
      </c>
      <c r="L15" s="15">
        <v>14751020</v>
      </c>
      <c r="M15" s="15">
        <v>0</v>
      </c>
      <c r="N15" s="15">
        <v>0</v>
      </c>
      <c r="O15" s="15">
        <v>0</v>
      </c>
      <c r="P15" s="15">
        <v>14751020</v>
      </c>
      <c r="Q15" s="15">
        <v>1370670</v>
      </c>
      <c r="R15" s="15"/>
      <c r="S15" s="15"/>
      <c r="T15" s="15"/>
      <c r="U15" s="15">
        <v>9000000</v>
      </c>
      <c r="V15" s="15"/>
      <c r="W15" s="15"/>
      <c r="X15" s="15"/>
      <c r="Y15" s="15">
        <v>4380350</v>
      </c>
      <c r="Z15" s="15"/>
      <c r="AA15" s="15"/>
      <c r="AB15" s="15"/>
      <c r="AC15" s="15"/>
      <c r="AD15" s="15"/>
      <c r="AE15" s="15"/>
      <c r="AF15" s="15"/>
      <c r="AG15" s="15"/>
      <c r="AH15" s="15"/>
      <c r="AI15" s="15"/>
      <c r="AJ15" s="15"/>
      <c r="AK15" s="15"/>
      <c r="AL15" s="15"/>
      <c r="AM15" s="15"/>
      <c r="AN15" s="15">
        <v>219018</v>
      </c>
      <c r="AO15" s="15">
        <v>0</v>
      </c>
      <c r="AP15" s="15">
        <v>13161332</v>
      </c>
      <c r="AQ15" s="15"/>
      <c r="AR15" s="15"/>
      <c r="AS15" s="15">
        <v>131613</v>
      </c>
      <c r="AT15" s="15">
        <v>0</v>
      </c>
      <c r="AU15" s="15"/>
      <c r="AV15" s="15">
        <v>13029719</v>
      </c>
    </row>
    <row r="16" spans="1:48" ht="12" customHeight="1" x14ac:dyDescent="0.3">
      <c r="A16" s="13">
        <v>8</v>
      </c>
      <c r="B16" s="11" t="s">
        <v>64</v>
      </c>
      <c r="C16" s="11" t="s">
        <v>855</v>
      </c>
      <c r="D16" s="11" t="s">
        <v>66</v>
      </c>
      <c r="E16" s="14"/>
      <c r="F16" s="14">
        <v>1.85</v>
      </c>
      <c r="G16" s="15">
        <v>20</v>
      </c>
      <c r="H16" s="15">
        <v>8875000</v>
      </c>
      <c r="I16" s="189">
        <v>1.1299999999999999</v>
      </c>
      <c r="J16" s="15">
        <v>4255000</v>
      </c>
      <c r="K16" s="15">
        <v>0</v>
      </c>
      <c r="L16" s="15">
        <v>10028750</v>
      </c>
      <c r="M16" s="15">
        <v>0</v>
      </c>
      <c r="N16" s="15">
        <v>0</v>
      </c>
      <c r="O16" s="15">
        <v>0</v>
      </c>
      <c r="P16" s="15">
        <v>10028750</v>
      </c>
      <c r="Q16" s="15">
        <v>931875</v>
      </c>
      <c r="R16" s="15"/>
      <c r="S16" s="15"/>
      <c r="T16" s="15"/>
      <c r="U16" s="15">
        <v>9000000</v>
      </c>
      <c r="V16" s="15"/>
      <c r="W16" s="15"/>
      <c r="X16" s="15"/>
      <c r="Y16" s="15">
        <v>96875</v>
      </c>
      <c r="Z16" s="15"/>
      <c r="AA16" s="15"/>
      <c r="AB16" s="15"/>
      <c r="AC16" s="15"/>
      <c r="AD16" s="15"/>
      <c r="AE16" s="15"/>
      <c r="AF16" s="15"/>
      <c r="AG16" s="15"/>
      <c r="AH16" s="15"/>
      <c r="AI16" s="15"/>
      <c r="AJ16" s="15"/>
      <c r="AK16" s="15"/>
      <c r="AL16" s="15"/>
      <c r="AM16" s="15"/>
      <c r="AN16" s="15">
        <v>4844</v>
      </c>
      <c r="AO16" s="15">
        <v>0</v>
      </c>
      <c r="AP16" s="15">
        <v>9092031</v>
      </c>
      <c r="AQ16" s="15"/>
      <c r="AR16" s="15"/>
      <c r="AS16" s="15">
        <v>90920</v>
      </c>
      <c r="AT16" s="15">
        <v>0</v>
      </c>
      <c r="AU16" s="15"/>
      <c r="AV16" s="15">
        <v>9001111</v>
      </c>
    </row>
    <row r="17" spans="1:48" ht="12" customHeight="1" x14ac:dyDescent="0.3">
      <c r="A17" s="13">
        <v>9</v>
      </c>
      <c r="B17" s="11" t="s">
        <v>67</v>
      </c>
      <c r="C17" s="11" t="s">
        <v>855</v>
      </c>
      <c r="D17" s="11" t="s">
        <v>66</v>
      </c>
      <c r="E17" s="14"/>
      <c r="F17" s="14">
        <v>1.85</v>
      </c>
      <c r="G17" s="15">
        <v>20</v>
      </c>
      <c r="H17" s="15">
        <v>7801000</v>
      </c>
      <c r="I17" s="189">
        <v>1.1299999999999999</v>
      </c>
      <c r="J17" s="15">
        <v>4255000</v>
      </c>
      <c r="K17" s="15">
        <v>0</v>
      </c>
      <c r="L17" s="15">
        <v>8815130</v>
      </c>
      <c r="M17" s="15">
        <v>0</v>
      </c>
      <c r="N17" s="15">
        <v>0</v>
      </c>
      <c r="O17" s="15">
        <v>0</v>
      </c>
      <c r="P17" s="15">
        <v>8815130</v>
      </c>
      <c r="Q17" s="15">
        <v>819105</v>
      </c>
      <c r="R17" s="15"/>
      <c r="S17" s="15"/>
      <c r="T17" s="15"/>
      <c r="U17" s="15">
        <v>16200000</v>
      </c>
      <c r="V17" s="15"/>
      <c r="W17" s="15"/>
      <c r="X17" s="15"/>
      <c r="Y17" s="15">
        <v>0</v>
      </c>
      <c r="Z17" s="15"/>
      <c r="AA17" s="15"/>
      <c r="AB17" s="15"/>
      <c r="AC17" s="15"/>
      <c r="AD17" s="15"/>
      <c r="AE17" s="15"/>
      <c r="AF17" s="15"/>
      <c r="AG17" s="15"/>
      <c r="AH17" s="15"/>
      <c r="AI17" s="15"/>
      <c r="AJ17" s="15"/>
      <c r="AK17" s="15"/>
      <c r="AL17" s="15"/>
      <c r="AM17" s="15"/>
      <c r="AN17" s="15">
        <v>0</v>
      </c>
      <c r="AO17" s="15">
        <v>0</v>
      </c>
      <c r="AP17" s="15">
        <v>7996025</v>
      </c>
      <c r="AQ17" s="15"/>
      <c r="AR17" s="15"/>
      <c r="AS17" s="15">
        <v>79960</v>
      </c>
      <c r="AT17" s="15">
        <v>0</v>
      </c>
      <c r="AU17" s="15"/>
      <c r="AV17" s="15">
        <v>7916065</v>
      </c>
    </row>
    <row r="18" spans="1:48" ht="12" customHeight="1" x14ac:dyDescent="0.3">
      <c r="A18" s="13">
        <v>10</v>
      </c>
      <c r="B18" s="11" t="s">
        <v>69</v>
      </c>
      <c r="C18" s="11" t="s">
        <v>855</v>
      </c>
      <c r="D18" s="11" t="s">
        <v>66</v>
      </c>
      <c r="E18" s="14"/>
      <c r="F18" s="14">
        <v>1.85</v>
      </c>
      <c r="G18" s="15">
        <v>20</v>
      </c>
      <c r="H18" s="15">
        <v>7323000</v>
      </c>
      <c r="I18" s="189">
        <v>1.1299999999999999</v>
      </c>
      <c r="J18" s="15">
        <v>4255000</v>
      </c>
      <c r="K18" s="15">
        <v>0</v>
      </c>
      <c r="L18" s="15">
        <v>8274990</v>
      </c>
      <c r="M18" s="15">
        <v>0</v>
      </c>
      <c r="N18" s="15">
        <v>0</v>
      </c>
      <c r="O18" s="15">
        <v>0</v>
      </c>
      <c r="P18" s="15">
        <v>8274990</v>
      </c>
      <c r="Q18" s="15">
        <v>768915</v>
      </c>
      <c r="R18" s="15"/>
      <c r="S18" s="15"/>
      <c r="T18" s="15"/>
      <c r="U18" s="15">
        <v>9000000</v>
      </c>
      <c r="V18" s="15"/>
      <c r="W18" s="15"/>
      <c r="X18" s="15"/>
      <c r="Y18" s="15">
        <v>0</v>
      </c>
      <c r="Z18" s="15"/>
      <c r="AA18" s="15"/>
      <c r="AB18" s="15"/>
      <c r="AC18" s="15"/>
      <c r="AD18" s="15"/>
      <c r="AE18" s="15"/>
      <c r="AF18" s="15"/>
      <c r="AG18" s="15"/>
      <c r="AH18" s="15"/>
      <c r="AI18" s="15"/>
      <c r="AJ18" s="15"/>
      <c r="AK18" s="15"/>
      <c r="AL18" s="15"/>
      <c r="AM18" s="15"/>
      <c r="AN18" s="15">
        <v>0</v>
      </c>
      <c r="AO18" s="15">
        <v>0</v>
      </c>
      <c r="AP18" s="15">
        <v>7506075</v>
      </c>
      <c r="AQ18" s="15"/>
      <c r="AR18" s="15"/>
      <c r="AS18" s="15">
        <v>75061</v>
      </c>
      <c r="AT18" s="15">
        <v>0</v>
      </c>
      <c r="AU18" s="15"/>
      <c r="AV18" s="15">
        <v>7431014</v>
      </c>
    </row>
    <row r="19" spans="1:48" s="179" customFormat="1" ht="12" customHeight="1" x14ac:dyDescent="0.3">
      <c r="A19" s="176">
        <v>11</v>
      </c>
      <c r="B19" s="164" t="s">
        <v>71</v>
      </c>
      <c r="C19" s="11" t="s">
        <v>855</v>
      </c>
      <c r="D19" s="164" t="s">
        <v>66</v>
      </c>
      <c r="E19" s="177"/>
      <c r="F19" s="177">
        <v>1.85</v>
      </c>
      <c r="G19" s="178">
        <v>20</v>
      </c>
      <c r="H19" s="178">
        <v>8278000</v>
      </c>
      <c r="I19" s="190">
        <v>1.1299999999999999</v>
      </c>
      <c r="J19" s="178">
        <v>4255000</v>
      </c>
      <c r="K19" s="178">
        <v>0</v>
      </c>
      <c r="L19" s="178">
        <v>9354140</v>
      </c>
      <c r="M19" s="178">
        <v>0</v>
      </c>
      <c r="N19" s="178">
        <v>0</v>
      </c>
      <c r="O19" s="178">
        <v>0</v>
      </c>
      <c r="P19" s="178">
        <v>9354140</v>
      </c>
      <c r="Q19" s="178">
        <v>869190</v>
      </c>
      <c r="R19" s="178"/>
      <c r="S19" s="178"/>
      <c r="T19" s="178"/>
      <c r="U19" s="178">
        <v>12600000</v>
      </c>
      <c r="V19" s="178"/>
      <c r="W19" s="178"/>
      <c r="X19" s="178"/>
      <c r="Y19" s="178">
        <v>0</v>
      </c>
      <c r="Z19" s="178"/>
      <c r="AA19" s="178"/>
      <c r="AB19" s="178"/>
      <c r="AC19" s="178"/>
      <c r="AD19" s="178"/>
      <c r="AE19" s="178"/>
      <c r="AF19" s="178"/>
      <c r="AG19" s="178"/>
      <c r="AH19" s="178"/>
      <c r="AI19" s="178"/>
      <c r="AJ19" s="178"/>
      <c r="AK19" s="178"/>
      <c r="AL19" s="178"/>
      <c r="AM19" s="178"/>
      <c r="AN19" s="178">
        <v>0</v>
      </c>
      <c r="AO19" s="178">
        <v>0</v>
      </c>
      <c r="AP19" s="178">
        <v>8484950</v>
      </c>
      <c r="AQ19" s="178"/>
      <c r="AR19" s="178"/>
      <c r="AS19" s="178">
        <v>84850</v>
      </c>
      <c r="AT19" s="178">
        <v>0</v>
      </c>
      <c r="AU19" s="178"/>
      <c r="AV19" s="178">
        <v>8400100</v>
      </c>
    </row>
    <row r="20" spans="1:48" ht="12" customHeight="1" x14ac:dyDescent="0.3">
      <c r="A20" s="13">
        <v>13</v>
      </c>
      <c r="B20" s="11" t="s">
        <v>73</v>
      </c>
      <c r="C20" s="11" t="s">
        <v>855</v>
      </c>
      <c r="D20" s="11" t="s">
        <v>66</v>
      </c>
      <c r="E20" s="14"/>
      <c r="F20" s="14">
        <v>1.85</v>
      </c>
      <c r="G20" s="15">
        <v>20</v>
      </c>
      <c r="H20" s="15">
        <v>7323000</v>
      </c>
      <c r="I20" s="189">
        <v>1.1299999999999999</v>
      </c>
      <c r="J20" s="15">
        <v>4255000</v>
      </c>
      <c r="K20" s="15">
        <v>0</v>
      </c>
      <c r="L20" s="15">
        <v>8274990</v>
      </c>
      <c r="M20" s="15">
        <v>0</v>
      </c>
      <c r="N20" s="15">
        <v>0</v>
      </c>
      <c r="O20" s="15">
        <v>0</v>
      </c>
      <c r="P20" s="15">
        <v>8274990</v>
      </c>
      <c r="Q20" s="15">
        <v>768915</v>
      </c>
      <c r="R20" s="15"/>
      <c r="S20" s="15"/>
      <c r="T20" s="15"/>
      <c r="U20" s="15">
        <v>9000000</v>
      </c>
      <c r="V20" s="15"/>
      <c r="W20" s="15"/>
      <c r="X20" s="15"/>
      <c r="Y20" s="15">
        <v>0</v>
      </c>
      <c r="Z20" s="15"/>
      <c r="AA20" s="15"/>
      <c r="AB20" s="15"/>
      <c r="AC20" s="15"/>
      <c r="AD20" s="15"/>
      <c r="AE20" s="15"/>
      <c r="AF20" s="15"/>
      <c r="AG20" s="15"/>
      <c r="AH20" s="15"/>
      <c r="AI20" s="15"/>
      <c r="AJ20" s="15"/>
      <c r="AK20" s="15"/>
      <c r="AL20" s="15"/>
      <c r="AM20" s="15"/>
      <c r="AN20" s="15">
        <v>0</v>
      </c>
      <c r="AO20" s="15">
        <v>0</v>
      </c>
      <c r="AP20" s="15">
        <v>7506075</v>
      </c>
      <c r="AQ20" s="15"/>
      <c r="AR20" s="15"/>
      <c r="AS20" s="15">
        <v>75061</v>
      </c>
      <c r="AT20" s="15">
        <v>0</v>
      </c>
      <c r="AU20" s="15"/>
      <c r="AV20" s="15">
        <v>7431014</v>
      </c>
    </row>
    <row r="21" spans="1:48" ht="12" customHeight="1" x14ac:dyDescent="0.3">
      <c r="A21" s="13">
        <v>14</v>
      </c>
      <c r="B21" s="11" t="s">
        <v>326</v>
      </c>
      <c r="C21" s="11" t="s">
        <v>855</v>
      </c>
      <c r="D21" s="11" t="s">
        <v>66</v>
      </c>
      <c r="E21" s="14"/>
      <c r="F21" s="14">
        <v>1.85</v>
      </c>
      <c r="G21" s="15">
        <v>20</v>
      </c>
      <c r="H21" s="15">
        <v>7323000</v>
      </c>
      <c r="I21" s="189">
        <v>1.1299999999999999</v>
      </c>
      <c r="J21" s="15">
        <v>4255000</v>
      </c>
      <c r="K21" s="15">
        <v>0</v>
      </c>
      <c r="L21" s="15">
        <v>8274990</v>
      </c>
      <c r="M21" s="15">
        <v>0</v>
      </c>
      <c r="N21" s="15">
        <v>0</v>
      </c>
      <c r="O21" s="15">
        <v>0</v>
      </c>
      <c r="P21" s="15">
        <v>8274990</v>
      </c>
      <c r="Q21" s="15">
        <v>768915</v>
      </c>
      <c r="R21" s="15"/>
      <c r="S21" s="15"/>
      <c r="T21" s="15"/>
      <c r="U21" s="15">
        <v>9000000</v>
      </c>
      <c r="V21" s="15"/>
      <c r="W21" s="15"/>
      <c r="X21" s="15"/>
      <c r="Y21" s="15">
        <v>0</v>
      </c>
      <c r="Z21" s="15"/>
      <c r="AA21" s="15"/>
      <c r="AB21" s="15"/>
      <c r="AC21" s="15"/>
      <c r="AD21" s="15"/>
      <c r="AE21" s="15"/>
      <c r="AF21" s="15"/>
      <c r="AG21" s="15"/>
      <c r="AH21" s="15"/>
      <c r="AI21" s="15"/>
      <c r="AJ21" s="15"/>
      <c r="AK21" s="15"/>
      <c r="AL21" s="15"/>
      <c r="AM21" s="15"/>
      <c r="AN21" s="15">
        <v>0</v>
      </c>
      <c r="AO21" s="15">
        <v>0</v>
      </c>
      <c r="AP21" s="15">
        <v>7506075</v>
      </c>
      <c r="AQ21" s="15"/>
      <c r="AR21" s="15"/>
      <c r="AS21" s="15">
        <v>75061</v>
      </c>
      <c r="AT21" s="15">
        <v>0</v>
      </c>
      <c r="AU21" s="15"/>
      <c r="AV21" s="15">
        <v>7431014</v>
      </c>
    </row>
    <row r="22" spans="1:48" ht="12" customHeight="1" x14ac:dyDescent="0.3">
      <c r="A22" s="13">
        <v>15</v>
      </c>
      <c r="B22" s="11" t="s">
        <v>75</v>
      </c>
      <c r="C22" s="11" t="s">
        <v>855</v>
      </c>
      <c r="D22" s="11" t="s">
        <v>66</v>
      </c>
      <c r="E22" s="14"/>
      <c r="F22" s="14">
        <v>1.85</v>
      </c>
      <c r="G22" s="15">
        <v>20</v>
      </c>
      <c r="H22" s="15">
        <v>7841000</v>
      </c>
      <c r="I22" s="189">
        <v>1.1299999999999999</v>
      </c>
      <c r="J22" s="15">
        <v>4255000</v>
      </c>
      <c r="K22" s="15">
        <v>0</v>
      </c>
      <c r="L22" s="15">
        <v>8860330</v>
      </c>
      <c r="M22" s="15">
        <v>0</v>
      </c>
      <c r="N22" s="15">
        <v>0</v>
      </c>
      <c r="O22" s="15">
        <v>0</v>
      </c>
      <c r="P22" s="15">
        <v>8860330</v>
      </c>
      <c r="Q22" s="15">
        <v>823305</v>
      </c>
      <c r="R22" s="15"/>
      <c r="S22" s="15"/>
      <c r="T22" s="15"/>
      <c r="U22" s="15">
        <v>9000000</v>
      </c>
      <c r="V22" s="15"/>
      <c r="W22" s="15"/>
      <c r="X22" s="15"/>
      <c r="Y22" s="15">
        <v>0</v>
      </c>
      <c r="Z22" s="15"/>
      <c r="AA22" s="15"/>
      <c r="AB22" s="15"/>
      <c r="AC22" s="15"/>
      <c r="AD22" s="15"/>
      <c r="AE22" s="15"/>
      <c r="AF22" s="15"/>
      <c r="AG22" s="15"/>
      <c r="AH22" s="15"/>
      <c r="AI22" s="15"/>
      <c r="AJ22" s="15"/>
      <c r="AK22" s="15"/>
      <c r="AL22" s="15"/>
      <c r="AM22" s="15"/>
      <c r="AN22" s="15">
        <v>0</v>
      </c>
      <c r="AO22" s="15">
        <v>0</v>
      </c>
      <c r="AP22" s="15">
        <v>8037025</v>
      </c>
      <c r="AQ22" s="15"/>
      <c r="AR22" s="15"/>
      <c r="AS22" s="15">
        <v>80370</v>
      </c>
      <c r="AT22" s="15">
        <v>0</v>
      </c>
      <c r="AU22" s="15"/>
      <c r="AV22" s="15">
        <v>7956655</v>
      </c>
    </row>
    <row r="23" spans="1:48" ht="12" customHeight="1" x14ac:dyDescent="0.3">
      <c r="A23" s="13">
        <v>16</v>
      </c>
      <c r="B23" s="11" t="s">
        <v>803</v>
      </c>
      <c r="C23" s="11" t="s">
        <v>855</v>
      </c>
      <c r="D23" s="11" t="s">
        <v>66</v>
      </c>
      <c r="E23" s="14"/>
      <c r="F23" s="14">
        <v>0</v>
      </c>
      <c r="G23" s="15">
        <v>20</v>
      </c>
      <c r="H23" s="15">
        <v>7323000</v>
      </c>
      <c r="I23" s="189">
        <v>1.1299999999999999</v>
      </c>
      <c r="J23" s="15"/>
      <c r="K23" s="15">
        <v>0</v>
      </c>
      <c r="L23" s="15">
        <v>8274990</v>
      </c>
      <c r="M23" s="15">
        <v>0</v>
      </c>
      <c r="N23" s="15">
        <v>0</v>
      </c>
      <c r="O23" s="15">
        <v>0</v>
      </c>
      <c r="P23" s="15">
        <v>8274990</v>
      </c>
      <c r="Q23" s="15">
        <v>768915</v>
      </c>
      <c r="R23" s="15"/>
      <c r="S23" s="15"/>
      <c r="T23" s="15"/>
      <c r="U23" s="15">
        <v>9000000</v>
      </c>
      <c r="V23" s="15"/>
      <c r="W23" s="15"/>
      <c r="X23" s="15"/>
      <c r="Y23" s="15">
        <v>0</v>
      </c>
      <c r="Z23" s="15"/>
      <c r="AA23" s="15"/>
      <c r="AB23" s="15"/>
      <c r="AC23" s="15"/>
      <c r="AD23" s="15"/>
      <c r="AE23" s="15"/>
      <c r="AF23" s="15"/>
      <c r="AG23" s="15"/>
      <c r="AH23" s="15"/>
      <c r="AI23" s="15"/>
      <c r="AJ23" s="15"/>
      <c r="AK23" s="15"/>
      <c r="AL23" s="15"/>
      <c r="AM23" s="15"/>
      <c r="AN23" s="15">
        <v>0</v>
      </c>
      <c r="AO23" s="15">
        <v>0</v>
      </c>
      <c r="AP23" s="15">
        <v>7506075</v>
      </c>
      <c r="AQ23" s="15"/>
      <c r="AR23" s="15"/>
      <c r="AS23" s="15">
        <v>75061</v>
      </c>
      <c r="AT23" s="15">
        <v>0</v>
      </c>
      <c r="AU23" s="15"/>
      <c r="AV23" s="15">
        <v>7431014</v>
      </c>
    </row>
    <row r="24" spans="1:48" ht="12" customHeight="1" x14ac:dyDescent="0.3">
      <c r="A24" s="13">
        <v>0</v>
      </c>
      <c r="B24" s="11" t="s">
        <v>40</v>
      </c>
      <c r="C24" s="11" t="s">
        <v>855</v>
      </c>
      <c r="D24" s="11"/>
      <c r="E24" s="14"/>
      <c r="F24" s="14">
        <v>15.51</v>
      </c>
      <c r="G24" s="15">
        <v>120</v>
      </c>
      <c r="H24" s="15">
        <v>56438000</v>
      </c>
      <c r="I24" s="189">
        <v>7.91</v>
      </c>
      <c r="J24" s="15">
        <v>31418000</v>
      </c>
      <c r="K24" s="15">
        <v>0</v>
      </c>
      <c r="L24" s="15">
        <v>63774940</v>
      </c>
      <c r="M24" s="15">
        <v>0</v>
      </c>
      <c r="N24" s="15">
        <v>0</v>
      </c>
      <c r="O24" s="15">
        <v>0</v>
      </c>
      <c r="P24" s="15">
        <v>63774940</v>
      </c>
      <c r="Q24" s="15">
        <v>5925990</v>
      </c>
      <c r="R24" s="15"/>
      <c r="S24" s="15"/>
      <c r="T24" s="15"/>
      <c r="U24" s="15">
        <v>84600000</v>
      </c>
      <c r="V24" s="15"/>
      <c r="W24" s="15"/>
      <c r="X24" s="15"/>
      <c r="Y24" s="15">
        <v>0</v>
      </c>
      <c r="Z24" s="15"/>
      <c r="AA24" s="15"/>
      <c r="AB24" s="15"/>
      <c r="AC24" s="15"/>
      <c r="AD24" s="15"/>
      <c r="AE24" s="15"/>
      <c r="AF24" s="15"/>
      <c r="AG24" s="15"/>
      <c r="AH24" s="15"/>
      <c r="AI24" s="15"/>
      <c r="AJ24" s="15"/>
      <c r="AK24" s="15"/>
      <c r="AL24" s="15"/>
      <c r="AM24" s="15"/>
      <c r="AN24" s="15">
        <v>0</v>
      </c>
      <c r="AO24" s="15">
        <v>0</v>
      </c>
      <c r="AP24" s="15">
        <v>57848950</v>
      </c>
      <c r="AQ24" s="15"/>
      <c r="AR24" s="15"/>
      <c r="AS24" s="15">
        <v>578489</v>
      </c>
      <c r="AT24" s="15">
        <v>0</v>
      </c>
      <c r="AU24" s="15"/>
      <c r="AV24" s="15">
        <v>57270461</v>
      </c>
    </row>
    <row r="25" spans="1:48" ht="12" customHeight="1" x14ac:dyDescent="0.3">
      <c r="A25" s="13">
        <v>17</v>
      </c>
      <c r="B25" s="11" t="s">
        <v>80</v>
      </c>
      <c r="C25" s="11" t="s">
        <v>855</v>
      </c>
      <c r="D25" s="11" t="s">
        <v>58</v>
      </c>
      <c r="E25" s="14"/>
      <c r="F25" s="14">
        <v>3.13</v>
      </c>
      <c r="G25" s="15">
        <v>20</v>
      </c>
      <c r="H25" s="15">
        <v>12020000</v>
      </c>
      <c r="I25" s="189">
        <v>1.1299999999999999</v>
      </c>
      <c r="J25" s="15">
        <v>7199000</v>
      </c>
      <c r="K25" s="15">
        <v>0</v>
      </c>
      <c r="L25" s="15">
        <v>13582600</v>
      </c>
      <c r="M25" s="15">
        <v>0</v>
      </c>
      <c r="N25" s="15">
        <v>0</v>
      </c>
      <c r="O25" s="15">
        <v>0</v>
      </c>
      <c r="P25" s="15">
        <v>13582600</v>
      </c>
      <c r="Q25" s="15">
        <v>1262100</v>
      </c>
      <c r="R25" s="15"/>
      <c r="S25" s="15"/>
      <c r="T25" s="15"/>
      <c r="U25" s="15">
        <v>12600000</v>
      </c>
      <c r="V25" s="15"/>
      <c r="W25" s="15"/>
      <c r="X25" s="15"/>
      <c r="Y25" s="15">
        <v>0</v>
      </c>
      <c r="Z25" s="15"/>
      <c r="AA25" s="15"/>
      <c r="AB25" s="15"/>
      <c r="AC25" s="15"/>
      <c r="AD25" s="15"/>
      <c r="AE25" s="15"/>
      <c r="AF25" s="15"/>
      <c r="AG25" s="15"/>
      <c r="AH25" s="15"/>
      <c r="AI25" s="15"/>
      <c r="AJ25" s="15"/>
      <c r="AK25" s="15"/>
      <c r="AL25" s="15"/>
      <c r="AM25" s="15"/>
      <c r="AN25" s="15">
        <v>0</v>
      </c>
      <c r="AO25" s="15">
        <v>0</v>
      </c>
      <c r="AP25" s="15">
        <v>12320500</v>
      </c>
      <c r="AQ25" s="15"/>
      <c r="AR25" s="15"/>
      <c r="AS25" s="15">
        <v>123205</v>
      </c>
      <c r="AT25" s="15">
        <v>0</v>
      </c>
      <c r="AU25" s="15"/>
      <c r="AV25" s="15">
        <v>12197295</v>
      </c>
    </row>
    <row r="26" spans="1:48" ht="12" customHeight="1" x14ac:dyDescent="0.3">
      <c r="A26" s="13">
        <v>18</v>
      </c>
      <c r="B26" s="11" t="s">
        <v>82</v>
      </c>
      <c r="C26" s="11" t="s">
        <v>855</v>
      </c>
      <c r="D26" s="11" t="s">
        <v>61</v>
      </c>
      <c r="E26" s="14"/>
      <c r="F26" s="14">
        <v>3.13</v>
      </c>
      <c r="G26" s="15">
        <v>20</v>
      </c>
      <c r="H26" s="15">
        <v>12020000</v>
      </c>
      <c r="I26" s="189">
        <v>1.1299999999999999</v>
      </c>
      <c r="J26" s="15">
        <v>7199000</v>
      </c>
      <c r="K26" s="15">
        <v>0</v>
      </c>
      <c r="L26" s="15">
        <v>13582600</v>
      </c>
      <c r="M26" s="15">
        <v>0</v>
      </c>
      <c r="N26" s="15">
        <v>0</v>
      </c>
      <c r="O26" s="15">
        <v>0</v>
      </c>
      <c r="P26" s="15">
        <v>13582600</v>
      </c>
      <c r="Q26" s="15">
        <v>1262100</v>
      </c>
      <c r="R26" s="15"/>
      <c r="S26" s="15"/>
      <c r="T26" s="15"/>
      <c r="U26" s="15">
        <v>16200000</v>
      </c>
      <c r="V26" s="15"/>
      <c r="W26" s="15"/>
      <c r="X26" s="15"/>
      <c r="Y26" s="15">
        <v>0</v>
      </c>
      <c r="Z26" s="15"/>
      <c r="AA26" s="15"/>
      <c r="AB26" s="15"/>
      <c r="AC26" s="15"/>
      <c r="AD26" s="15"/>
      <c r="AE26" s="15"/>
      <c r="AF26" s="15"/>
      <c r="AG26" s="15"/>
      <c r="AH26" s="15"/>
      <c r="AI26" s="15"/>
      <c r="AJ26" s="15"/>
      <c r="AK26" s="15"/>
      <c r="AL26" s="15"/>
      <c r="AM26" s="15"/>
      <c r="AN26" s="15">
        <v>0</v>
      </c>
      <c r="AO26" s="15">
        <v>0</v>
      </c>
      <c r="AP26" s="15">
        <v>12320500</v>
      </c>
      <c r="AQ26" s="15"/>
      <c r="AR26" s="15"/>
      <c r="AS26" s="15">
        <v>123205</v>
      </c>
      <c r="AT26" s="15">
        <v>0</v>
      </c>
      <c r="AU26" s="15"/>
      <c r="AV26" s="15">
        <v>12197295</v>
      </c>
    </row>
    <row r="27" spans="1:48" ht="12" customHeight="1" x14ac:dyDescent="0.3">
      <c r="A27" s="13">
        <v>19</v>
      </c>
      <c r="B27" s="11" t="s">
        <v>84</v>
      </c>
      <c r="C27" s="11" t="s">
        <v>855</v>
      </c>
      <c r="D27" s="11" t="s">
        <v>66</v>
      </c>
      <c r="E27" s="14"/>
      <c r="F27" s="14">
        <v>1.85</v>
      </c>
      <c r="G27" s="15">
        <v>20</v>
      </c>
      <c r="H27" s="15">
        <v>8875000</v>
      </c>
      <c r="I27" s="189">
        <v>1.1299999999999999</v>
      </c>
      <c r="J27" s="15">
        <v>4255000</v>
      </c>
      <c r="K27" s="15">
        <v>0</v>
      </c>
      <c r="L27" s="15">
        <v>10028750</v>
      </c>
      <c r="M27" s="15">
        <v>0</v>
      </c>
      <c r="N27" s="15">
        <v>0</v>
      </c>
      <c r="O27" s="15">
        <v>0</v>
      </c>
      <c r="P27" s="15">
        <v>10028750</v>
      </c>
      <c r="Q27" s="15">
        <v>931875</v>
      </c>
      <c r="R27" s="15"/>
      <c r="S27" s="15"/>
      <c r="T27" s="15"/>
      <c r="U27" s="15">
        <v>16200000</v>
      </c>
      <c r="V27" s="15"/>
      <c r="W27" s="15"/>
      <c r="X27" s="15"/>
      <c r="Y27" s="15">
        <v>0</v>
      </c>
      <c r="Z27" s="15"/>
      <c r="AA27" s="15"/>
      <c r="AB27" s="15"/>
      <c r="AC27" s="15"/>
      <c r="AD27" s="15"/>
      <c r="AE27" s="15"/>
      <c r="AF27" s="15"/>
      <c r="AG27" s="15"/>
      <c r="AH27" s="15"/>
      <c r="AI27" s="15"/>
      <c r="AJ27" s="15"/>
      <c r="AK27" s="15"/>
      <c r="AL27" s="15"/>
      <c r="AM27" s="15"/>
      <c r="AN27" s="15">
        <v>0</v>
      </c>
      <c r="AO27" s="15">
        <v>0</v>
      </c>
      <c r="AP27" s="15">
        <v>9096875</v>
      </c>
      <c r="AQ27" s="15"/>
      <c r="AR27" s="15"/>
      <c r="AS27" s="15">
        <v>90969</v>
      </c>
      <c r="AT27" s="15">
        <v>0</v>
      </c>
      <c r="AU27" s="15"/>
      <c r="AV27" s="15">
        <v>9005906</v>
      </c>
    </row>
    <row r="28" spans="1:48" ht="12" customHeight="1" x14ac:dyDescent="0.3">
      <c r="A28" s="13">
        <v>20</v>
      </c>
      <c r="B28" s="11" t="s">
        <v>86</v>
      </c>
      <c r="C28" s="11" t="s">
        <v>855</v>
      </c>
      <c r="D28" s="11" t="s">
        <v>66</v>
      </c>
      <c r="E28" s="14"/>
      <c r="F28" s="14">
        <v>1.85</v>
      </c>
      <c r="G28" s="15">
        <v>20</v>
      </c>
      <c r="H28" s="15">
        <v>7841000</v>
      </c>
      <c r="I28" s="189">
        <v>1.1299999999999999</v>
      </c>
      <c r="J28" s="15">
        <v>4255000</v>
      </c>
      <c r="K28" s="15">
        <v>0</v>
      </c>
      <c r="L28" s="15">
        <v>8860330</v>
      </c>
      <c r="M28" s="15">
        <v>0</v>
      </c>
      <c r="N28" s="15">
        <v>0</v>
      </c>
      <c r="O28" s="15">
        <v>0</v>
      </c>
      <c r="P28" s="15">
        <v>8860330</v>
      </c>
      <c r="Q28" s="15">
        <v>823305</v>
      </c>
      <c r="R28" s="15"/>
      <c r="S28" s="15"/>
      <c r="T28" s="15"/>
      <c r="U28" s="15">
        <v>9000000</v>
      </c>
      <c r="V28" s="15"/>
      <c r="W28" s="15"/>
      <c r="X28" s="15"/>
      <c r="Y28" s="15">
        <v>0</v>
      </c>
      <c r="Z28" s="15"/>
      <c r="AA28" s="15"/>
      <c r="AB28" s="15"/>
      <c r="AC28" s="15"/>
      <c r="AD28" s="15"/>
      <c r="AE28" s="15"/>
      <c r="AF28" s="15"/>
      <c r="AG28" s="15"/>
      <c r="AH28" s="15"/>
      <c r="AI28" s="15"/>
      <c r="AJ28" s="15"/>
      <c r="AK28" s="15"/>
      <c r="AL28" s="15"/>
      <c r="AM28" s="15"/>
      <c r="AN28" s="15">
        <v>0</v>
      </c>
      <c r="AO28" s="15">
        <v>0</v>
      </c>
      <c r="AP28" s="15">
        <v>8037025</v>
      </c>
      <c r="AQ28" s="15"/>
      <c r="AR28" s="15"/>
      <c r="AS28" s="15">
        <v>80370</v>
      </c>
      <c r="AT28" s="15">
        <v>0</v>
      </c>
      <c r="AU28" s="15"/>
      <c r="AV28" s="15">
        <v>7956655</v>
      </c>
    </row>
    <row r="29" spans="1:48" ht="12" customHeight="1" x14ac:dyDescent="0.3">
      <c r="A29" s="13">
        <v>21</v>
      </c>
      <c r="B29" s="11" t="s">
        <v>90</v>
      </c>
      <c r="C29" s="11" t="s">
        <v>855</v>
      </c>
      <c r="D29" s="11" t="s">
        <v>66</v>
      </c>
      <c r="E29" s="14"/>
      <c r="F29" s="14">
        <v>1.85</v>
      </c>
      <c r="G29" s="15">
        <v>20</v>
      </c>
      <c r="H29" s="15">
        <v>7841000</v>
      </c>
      <c r="I29" s="189">
        <v>1.1299999999999999</v>
      </c>
      <c r="J29" s="15">
        <v>4255000</v>
      </c>
      <c r="K29" s="15">
        <v>0</v>
      </c>
      <c r="L29" s="15">
        <v>8860330</v>
      </c>
      <c r="M29" s="15">
        <v>0</v>
      </c>
      <c r="N29" s="15">
        <v>0</v>
      </c>
      <c r="O29" s="15">
        <v>0</v>
      </c>
      <c r="P29" s="15">
        <v>8860330</v>
      </c>
      <c r="Q29" s="15">
        <v>823305</v>
      </c>
      <c r="R29" s="15"/>
      <c r="S29" s="15"/>
      <c r="T29" s="15"/>
      <c r="U29" s="15">
        <v>12600000</v>
      </c>
      <c r="V29" s="15"/>
      <c r="W29" s="15"/>
      <c r="X29" s="15"/>
      <c r="Y29" s="15">
        <v>0</v>
      </c>
      <c r="Z29" s="15"/>
      <c r="AA29" s="15"/>
      <c r="AB29" s="15"/>
      <c r="AC29" s="15"/>
      <c r="AD29" s="15"/>
      <c r="AE29" s="15"/>
      <c r="AF29" s="15"/>
      <c r="AG29" s="15"/>
      <c r="AH29" s="15"/>
      <c r="AI29" s="15"/>
      <c r="AJ29" s="15"/>
      <c r="AK29" s="15"/>
      <c r="AL29" s="15"/>
      <c r="AM29" s="15"/>
      <c r="AN29" s="15">
        <v>0</v>
      </c>
      <c r="AO29" s="15">
        <v>0</v>
      </c>
      <c r="AP29" s="15">
        <v>8037025</v>
      </c>
      <c r="AQ29" s="15"/>
      <c r="AR29" s="15"/>
      <c r="AS29" s="15">
        <v>80370</v>
      </c>
      <c r="AT29" s="15">
        <v>0</v>
      </c>
      <c r="AU29" s="15"/>
      <c r="AV29" s="15">
        <v>7956655</v>
      </c>
    </row>
    <row r="30" spans="1:48" ht="12" customHeight="1" x14ac:dyDescent="0.3">
      <c r="A30" s="13">
        <v>22</v>
      </c>
      <c r="B30" s="11" t="s">
        <v>92</v>
      </c>
      <c r="C30" s="11" t="s">
        <v>855</v>
      </c>
      <c r="D30" s="11" t="s">
        <v>66</v>
      </c>
      <c r="E30" s="14"/>
      <c r="F30" s="14">
        <v>1.85</v>
      </c>
      <c r="G30" s="15">
        <v>20</v>
      </c>
      <c r="H30" s="15">
        <v>7841000</v>
      </c>
      <c r="I30" s="189">
        <v>1.1299999999999999</v>
      </c>
      <c r="J30" s="15">
        <v>4255000</v>
      </c>
      <c r="K30" s="15">
        <v>0</v>
      </c>
      <c r="L30" s="15">
        <v>8860330</v>
      </c>
      <c r="M30" s="15">
        <v>0</v>
      </c>
      <c r="N30" s="15">
        <v>0</v>
      </c>
      <c r="O30" s="15">
        <v>0</v>
      </c>
      <c r="P30" s="15">
        <v>8860330</v>
      </c>
      <c r="Q30" s="15">
        <v>823305</v>
      </c>
      <c r="R30" s="15"/>
      <c r="S30" s="15"/>
      <c r="T30" s="15"/>
      <c r="U30" s="15">
        <v>9000000</v>
      </c>
      <c r="V30" s="15"/>
      <c r="W30" s="15"/>
      <c r="X30" s="15"/>
      <c r="Y30" s="15">
        <v>0</v>
      </c>
      <c r="Z30" s="15"/>
      <c r="AA30" s="15"/>
      <c r="AB30" s="15"/>
      <c r="AC30" s="15"/>
      <c r="AD30" s="15"/>
      <c r="AE30" s="15"/>
      <c r="AF30" s="15"/>
      <c r="AG30" s="15"/>
      <c r="AH30" s="15"/>
      <c r="AI30" s="15"/>
      <c r="AJ30" s="15"/>
      <c r="AK30" s="15"/>
      <c r="AL30" s="15"/>
      <c r="AM30" s="15"/>
      <c r="AN30" s="15">
        <v>0</v>
      </c>
      <c r="AO30" s="15">
        <v>0</v>
      </c>
      <c r="AP30" s="15">
        <v>8037025</v>
      </c>
      <c r="AQ30" s="15"/>
      <c r="AR30" s="15"/>
      <c r="AS30" s="15">
        <v>80370</v>
      </c>
      <c r="AT30" s="15">
        <v>0</v>
      </c>
      <c r="AU30" s="15"/>
      <c r="AV30" s="15">
        <v>7956655</v>
      </c>
    </row>
    <row r="31" spans="1:48" ht="12" customHeight="1" x14ac:dyDescent="0.3">
      <c r="A31" s="13">
        <v>23</v>
      </c>
      <c r="B31" s="11" t="s">
        <v>88</v>
      </c>
      <c r="C31" s="11" t="s">
        <v>855</v>
      </c>
      <c r="D31" s="11" t="s">
        <v>66</v>
      </c>
      <c r="E31" s="14"/>
      <c r="F31" s="14">
        <v>1.85</v>
      </c>
      <c r="G31" s="15">
        <v>0</v>
      </c>
      <c r="H31" s="15">
        <v>0</v>
      </c>
      <c r="I31" s="189">
        <v>1.1299999999999999</v>
      </c>
      <c r="J31" s="15"/>
      <c r="K31" s="15">
        <v>0</v>
      </c>
      <c r="L31" s="15">
        <v>0</v>
      </c>
      <c r="M31" s="15">
        <v>0</v>
      </c>
      <c r="N31" s="15">
        <v>0</v>
      </c>
      <c r="O31" s="15">
        <v>0</v>
      </c>
      <c r="P31" s="15">
        <v>0</v>
      </c>
      <c r="Q31" s="15">
        <v>0</v>
      </c>
      <c r="R31" s="15"/>
      <c r="S31" s="15"/>
      <c r="T31" s="15"/>
      <c r="U31" s="15">
        <v>9000000</v>
      </c>
      <c r="V31" s="15"/>
      <c r="W31" s="15"/>
      <c r="X31" s="15"/>
      <c r="Y31" s="15">
        <v>0</v>
      </c>
      <c r="Z31" s="15"/>
      <c r="AA31" s="15"/>
      <c r="AB31" s="15"/>
      <c r="AC31" s="15"/>
      <c r="AD31" s="15"/>
      <c r="AE31" s="15"/>
      <c r="AF31" s="15"/>
      <c r="AG31" s="15"/>
      <c r="AH31" s="15"/>
      <c r="AI31" s="15"/>
      <c r="AJ31" s="15"/>
      <c r="AK31" s="15"/>
      <c r="AL31" s="15"/>
      <c r="AM31" s="15"/>
      <c r="AN31" s="15">
        <v>0</v>
      </c>
      <c r="AO31" s="15">
        <v>0</v>
      </c>
      <c r="AP31" s="15">
        <v>0</v>
      </c>
      <c r="AQ31" s="15"/>
      <c r="AR31" s="15"/>
      <c r="AS31" s="15">
        <v>0</v>
      </c>
      <c r="AT31" s="15">
        <v>0</v>
      </c>
      <c r="AU31" s="15"/>
      <c r="AV31" s="15">
        <v>0</v>
      </c>
    </row>
    <row r="32" spans="1:48" ht="12" customHeight="1" x14ac:dyDescent="0.3">
      <c r="A32" s="13">
        <v>0</v>
      </c>
      <c r="B32" s="11" t="s">
        <v>40</v>
      </c>
      <c r="C32" s="11" t="s">
        <v>855</v>
      </c>
      <c r="D32" s="11"/>
      <c r="E32" s="14"/>
      <c r="F32" s="14">
        <v>14.61</v>
      </c>
      <c r="G32" s="15">
        <v>160</v>
      </c>
      <c r="H32" s="15">
        <v>66466400</v>
      </c>
      <c r="I32" s="189">
        <v>9.0399999999999991</v>
      </c>
      <c r="J32" s="15">
        <v>33603000</v>
      </c>
      <c r="K32" s="15">
        <v>0</v>
      </c>
      <c r="L32" s="15">
        <v>75107032</v>
      </c>
      <c r="M32" s="15">
        <v>0</v>
      </c>
      <c r="N32" s="15">
        <v>0</v>
      </c>
      <c r="O32" s="15">
        <v>0</v>
      </c>
      <c r="P32" s="15">
        <v>75107032</v>
      </c>
      <c r="Q32" s="15">
        <v>6978972</v>
      </c>
      <c r="R32" s="15"/>
      <c r="S32" s="15"/>
      <c r="T32" s="15"/>
      <c r="U32" s="15">
        <v>104400000</v>
      </c>
      <c r="V32" s="15"/>
      <c r="W32" s="15"/>
      <c r="X32" s="15"/>
      <c r="Y32" s="15">
        <v>780350</v>
      </c>
      <c r="Z32" s="15"/>
      <c r="AA32" s="15"/>
      <c r="AB32" s="15"/>
      <c r="AC32" s="15"/>
      <c r="AD32" s="15"/>
      <c r="AE32" s="15"/>
      <c r="AF32" s="15"/>
      <c r="AG32" s="15"/>
      <c r="AH32" s="15"/>
      <c r="AI32" s="15"/>
      <c r="AJ32" s="15"/>
      <c r="AK32" s="15"/>
      <c r="AL32" s="15"/>
      <c r="AM32" s="15"/>
      <c r="AN32" s="15">
        <v>39018</v>
      </c>
      <c r="AO32" s="15">
        <v>0</v>
      </c>
      <c r="AP32" s="15">
        <v>68089042</v>
      </c>
      <c r="AQ32" s="15"/>
      <c r="AR32" s="15"/>
      <c r="AS32" s="15">
        <v>680891</v>
      </c>
      <c r="AT32" s="15">
        <v>0</v>
      </c>
      <c r="AU32" s="15"/>
      <c r="AV32" s="15">
        <v>67408151</v>
      </c>
    </row>
    <row r="33" spans="1:48" ht="12" customHeight="1" x14ac:dyDescent="0.3">
      <c r="A33" s="13">
        <v>24</v>
      </c>
      <c r="B33" s="11" t="s">
        <v>95</v>
      </c>
      <c r="C33" s="11" t="s">
        <v>855</v>
      </c>
      <c r="D33" s="11" t="s">
        <v>61</v>
      </c>
      <c r="E33" s="14"/>
      <c r="F33" s="14">
        <v>2.41</v>
      </c>
      <c r="G33" s="15">
        <v>20</v>
      </c>
      <c r="H33" s="15">
        <v>13054000</v>
      </c>
      <c r="I33" s="189">
        <v>1.1299999999999999</v>
      </c>
      <c r="J33" s="15">
        <v>5543000</v>
      </c>
      <c r="K33" s="15">
        <v>0</v>
      </c>
      <c r="L33" s="15">
        <v>14751020</v>
      </c>
      <c r="M33" s="15">
        <v>0</v>
      </c>
      <c r="N33" s="15">
        <v>0</v>
      </c>
      <c r="O33" s="15">
        <v>0</v>
      </c>
      <c r="P33" s="15">
        <v>14751020</v>
      </c>
      <c r="Q33" s="15">
        <v>1370670</v>
      </c>
      <c r="R33" s="15"/>
      <c r="S33" s="15"/>
      <c r="T33" s="15"/>
      <c r="U33" s="15">
        <v>12600000</v>
      </c>
      <c r="V33" s="15"/>
      <c r="W33" s="15"/>
      <c r="X33" s="15"/>
      <c r="Y33" s="15">
        <v>780350</v>
      </c>
      <c r="Z33" s="15"/>
      <c r="AA33" s="15"/>
      <c r="AB33" s="15"/>
      <c r="AC33" s="15"/>
      <c r="AD33" s="15"/>
      <c r="AE33" s="15"/>
      <c r="AF33" s="15"/>
      <c r="AG33" s="15"/>
      <c r="AH33" s="15"/>
      <c r="AI33" s="15"/>
      <c r="AJ33" s="15"/>
      <c r="AK33" s="15"/>
      <c r="AL33" s="15"/>
      <c r="AM33" s="15"/>
      <c r="AN33" s="15">
        <v>39018</v>
      </c>
      <c r="AO33" s="15">
        <v>0</v>
      </c>
      <c r="AP33" s="15">
        <v>13341332</v>
      </c>
      <c r="AQ33" s="15"/>
      <c r="AR33" s="15"/>
      <c r="AS33" s="15">
        <v>133413</v>
      </c>
      <c r="AT33" s="15">
        <v>0</v>
      </c>
      <c r="AU33" s="15"/>
      <c r="AV33" s="15">
        <v>13207919</v>
      </c>
    </row>
    <row r="34" spans="1:48" ht="12" customHeight="1" x14ac:dyDescent="0.3">
      <c r="A34" s="13">
        <v>25</v>
      </c>
      <c r="B34" s="11" t="s">
        <v>97</v>
      </c>
      <c r="C34" s="11" t="s">
        <v>855</v>
      </c>
      <c r="D34" s="11" t="s">
        <v>66</v>
      </c>
      <c r="E34" s="14"/>
      <c r="F34" s="14">
        <v>1.85</v>
      </c>
      <c r="G34" s="15">
        <v>20</v>
      </c>
      <c r="H34" s="15">
        <v>8278000</v>
      </c>
      <c r="I34" s="189">
        <v>1.1299999999999999</v>
      </c>
      <c r="J34" s="15">
        <v>4255000</v>
      </c>
      <c r="K34" s="15">
        <v>0</v>
      </c>
      <c r="L34" s="15">
        <v>9354140</v>
      </c>
      <c r="M34" s="15">
        <v>0</v>
      </c>
      <c r="N34" s="15">
        <v>0</v>
      </c>
      <c r="O34" s="15">
        <v>0</v>
      </c>
      <c r="P34" s="15">
        <v>9354140</v>
      </c>
      <c r="Q34" s="15">
        <v>869190</v>
      </c>
      <c r="R34" s="15"/>
      <c r="S34" s="15"/>
      <c r="T34" s="15"/>
      <c r="U34" s="15">
        <v>16200000</v>
      </c>
      <c r="V34" s="15"/>
      <c r="W34" s="15"/>
      <c r="X34" s="15"/>
      <c r="Y34" s="15">
        <v>0</v>
      </c>
      <c r="Z34" s="15"/>
      <c r="AA34" s="15"/>
      <c r="AB34" s="15"/>
      <c r="AC34" s="15"/>
      <c r="AD34" s="15"/>
      <c r="AE34" s="15"/>
      <c r="AF34" s="15"/>
      <c r="AG34" s="15"/>
      <c r="AH34" s="15"/>
      <c r="AI34" s="15"/>
      <c r="AJ34" s="15"/>
      <c r="AK34" s="15"/>
      <c r="AL34" s="15"/>
      <c r="AM34" s="15"/>
      <c r="AN34" s="15">
        <v>0</v>
      </c>
      <c r="AO34" s="15">
        <v>0</v>
      </c>
      <c r="AP34" s="15">
        <v>8484950</v>
      </c>
      <c r="AQ34" s="15"/>
      <c r="AR34" s="15"/>
      <c r="AS34" s="15">
        <v>84850</v>
      </c>
      <c r="AT34" s="15">
        <v>0</v>
      </c>
      <c r="AU34" s="15"/>
      <c r="AV34" s="15">
        <v>8400100</v>
      </c>
    </row>
    <row r="35" spans="1:48" ht="12" customHeight="1" x14ac:dyDescent="0.3">
      <c r="A35" s="13">
        <v>26</v>
      </c>
      <c r="B35" s="11" t="s">
        <v>99</v>
      </c>
      <c r="C35" s="11" t="s">
        <v>855</v>
      </c>
      <c r="D35" s="11" t="s">
        <v>66</v>
      </c>
      <c r="E35" s="14"/>
      <c r="F35" s="14">
        <v>1.85</v>
      </c>
      <c r="G35" s="15">
        <v>20</v>
      </c>
      <c r="H35" s="15">
        <v>8358000</v>
      </c>
      <c r="I35" s="189">
        <v>1.1299999999999999</v>
      </c>
      <c r="J35" s="15">
        <v>4255000</v>
      </c>
      <c r="K35" s="15">
        <v>0</v>
      </c>
      <c r="L35" s="15">
        <v>9444540</v>
      </c>
      <c r="M35" s="15">
        <v>0</v>
      </c>
      <c r="N35" s="15">
        <v>0</v>
      </c>
      <c r="O35" s="15">
        <v>0</v>
      </c>
      <c r="P35" s="15">
        <v>9444540</v>
      </c>
      <c r="Q35" s="15">
        <v>877590</v>
      </c>
      <c r="R35" s="15"/>
      <c r="S35" s="15"/>
      <c r="T35" s="15"/>
      <c r="U35" s="15">
        <v>9000000</v>
      </c>
      <c r="V35" s="15"/>
      <c r="W35" s="15"/>
      <c r="X35" s="15"/>
      <c r="Y35" s="15">
        <v>0</v>
      </c>
      <c r="Z35" s="15"/>
      <c r="AA35" s="15"/>
      <c r="AB35" s="15"/>
      <c r="AC35" s="15"/>
      <c r="AD35" s="15"/>
      <c r="AE35" s="15"/>
      <c r="AF35" s="15"/>
      <c r="AG35" s="15"/>
      <c r="AH35" s="15"/>
      <c r="AI35" s="15"/>
      <c r="AJ35" s="15"/>
      <c r="AK35" s="15"/>
      <c r="AL35" s="15"/>
      <c r="AM35" s="15"/>
      <c r="AN35" s="15">
        <v>0</v>
      </c>
      <c r="AO35" s="15">
        <v>0</v>
      </c>
      <c r="AP35" s="15">
        <v>8566950</v>
      </c>
      <c r="AQ35" s="15"/>
      <c r="AR35" s="15"/>
      <c r="AS35" s="15">
        <v>85670</v>
      </c>
      <c r="AT35" s="15">
        <v>0</v>
      </c>
      <c r="AU35" s="15"/>
      <c r="AV35" s="15">
        <v>8481280</v>
      </c>
    </row>
    <row r="36" spans="1:48" ht="12" customHeight="1" x14ac:dyDescent="0.3">
      <c r="A36" s="13">
        <v>27</v>
      </c>
      <c r="B36" s="11" t="s">
        <v>101</v>
      </c>
      <c r="C36" s="11" t="s">
        <v>855</v>
      </c>
      <c r="D36" s="11" t="s">
        <v>66</v>
      </c>
      <c r="E36" s="14"/>
      <c r="F36" s="14">
        <v>1.85</v>
      </c>
      <c r="G36" s="15">
        <v>20</v>
      </c>
      <c r="H36" s="15">
        <v>8358000</v>
      </c>
      <c r="I36" s="189">
        <v>1.1299999999999999</v>
      </c>
      <c r="J36" s="15">
        <v>4255000</v>
      </c>
      <c r="K36" s="15">
        <v>0</v>
      </c>
      <c r="L36" s="15">
        <v>9444540</v>
      </c>
      <c r="M36" s="15">
        <v>0</v>
      </c>
      <c r="N36" s="15">
        <v>0</v>
      </c>
      <c r="O36" s="15">
        <v>0</v>
      </c>
      <c r="P36" s="15">
        <v>9444540</v>
      </c>
      <c r="Q36" s="15">
        <v>877590</v>
      </c>
      <c r="R36" s="15"/>
      <c r="S36" s="15"/>
      <c r="T36" s="15"/>
      <c r="U36" s="15">
        <v>12600000</v>
      </c>
      <c r="V36" s="15"/>
      <c r="W36" s="15"/>
      <c r="X36" s="15"/>
      <c r="Y36" s="15">
        <v>0</v>
      </c>
      <c r="Z36" s="15"/>
      <c r="AA36" s="15"/>
      <c r="AB36" s="15"/>
      <c r="AC36" s="15"/>
      <c r="AD36" s="15"/>
      <c r="AE36" s="15"/>
      <c r="AF36" s="15"/>
      <c r="AG36" s="15"/>
      <c r="AH36" s="15"/>
      <c r="AI36" s="15"/>
      <c r="AJ36" s="15"/>
      <c r="AK36" s="15"/>
      <c r="AL36" s="15"/>
      <c r="AM36" s="15"/>
      <c r="AN36" s="15">
        <v>0</v>
      </c>
      <c r="AO36" s="15">
        <v>0</v>
      </c>
      <c r="AP36" s="15">
        <v>8566950</v>
      </c>
      <c r="AQ36" s="15"/>
      <c r="AR36" s="15"/>
      <c r="AS36" s="15">
        <v>85670</v>
      </c>
      <c r="AT36" s="15">
        <v>0</v>
      </c>
      <c r="AU36" s="15"/>
      <c r="AV36" s="15">
        <v>8481280</v>
      </c>
    </row>
    <row r="37" spans="1:48" ht="12" customHeight="1" x14ac:dyDescent="0.3">
      <c r="A37" s="13">
        <v>28</v>
      </c>
      <c r="B37" s="11" t="s">
        <v>105</v>
      </c>
      <c r="C37" s="11" t="s">
        <v>855</v>
      </c>
      <c r="D37" s="11" t="s">
        <v>66</v>
      </c>
      <c r="E37" s="14"/>
      <c r="F37" s="14">
        <v>1.85</v>
      </c>
      <c r="G37" s="15">
        <v>20</v>
      </c>
      <c r="H37" s="15">
        <v>7801000</v>
      </c>
      <c r="I37" s="189">
        <v>1.1299999999999999</v>
      </c>
      <c r="J37" s="15">
        <v>4255000</v>
      </c>
      <c r="K37" s="15">
        <v>0</v>
      </c>
      <c r="L37" s="15">
        <v>8815130</v>
      </c>
      <c r="M37" s="15">
        <v>0</v>
      </c>
      <c r="N37" s="15">
        <v>0</v>
      </c>
      <c r="O37" s="15">
        <v>0</v>
      </c>
      <c r="P37" s="15">
        <v>8815130</v>
      </c>
      <c r="Q37" s="15">
        <v>819105</v>
      </c>
      <c r="R37" s="15"/>
      <c r="S37" s="15"/>
      <c r="T37" s="15"/>
      <c r="U37" s="15">
        <v>16200000</v>
      </c>
      <c r="V37" s="15"/>
      <c r="W37" s="15"/>
      <c r="X37" s="15"/>
      <c r="Y37" s="15">
        <v>0</v>
      </c>
      <c r="Z37" s="15"/>
      <c r="AA37" s="15"/>
      <c r="AB37" s="15"/>
      <c r="AC37" s="15"/>
      <c r="AD37" s="15"/>
      <c r="AE37" s="15"/>
      <c r="AF37" s="15"/>
      <c r="AG37" s="15"/>
      <c r="AH37" s="15"/>
      <c r="AI37" s="15"/>
      <c r="AJ37" s="15"/>
      <c r="AK37" s="15"/>
      <c r="AL37" s="15"/>
      <c r="AM37" s="15"/>
      <c r="AN37" s="15">
        <v>0</v>
      </c>
      <c r="AO37" s="15">
        <v>0</v>
      </c>
      <c r="AP37" s="15">
        <v>7996025</v>
      </c>
      <c r="AQ37" s="15"/>
      <c r="AR37" s="15"/>
      <c r="AS37" s="15">
        <v>79960</v>
      </c>
      <c r="AT37" s="15">
        <v>0</v>
      </c>
      <c r="AU37" s="15"/>
      <c r="AV37" s="15">
        <v>7916065</v>
      </c>
    </row>
    <row r="38" spans="1:48" ht="12" customHeight="1" x14ac:dyDescent="0.3">
      <c r="A38" s="13">
        <v>29</v>
      </c>
      <c r="B38" s="11" t="s">
        <v>103</v>
      </c>
      <c r="C38" s="11" t="s">
        <v>855</v>
      </c>
      <c r="D38" s="11" t="s">
        <v>66</v>
      </c>
      <c r="E38" s="14"/>
      <c r="F38" s="14">
        <v>1.85</v>
      </c>
      <c r="G38" s="15">
        <v>20</v>
      </c>
      <c r="H38" s="15">
        <v>7801000</v>
      </c>
      <c r="I38" s="189">
        <v>1.1299999999999999</v>
      </c>
      <c r="J38" s="15">
        <v>4255000</v>
      </c>
      <c r="K38" s="15">
        <v>0</v>
      </c>
      <c r="L38" s="15">
        <v>8815130</v>
      </c>
      <c r="M38" s="15">
        <v>0</v>
      </c>
      <c r="N38" s="15">
        <v>0</v>
      </c>
      <c r="O38" s="15">
        <v>0</v>
      </c>
      <c r="P38" s="15">
        <v>8815130</v>
      </c>
      <c r="Q38" s="15">
        <v>819105</v>
      </c>
      <c r="R38" s="15"/>
      <c r="S38" s="15"/>
      <c r="T38" s="15"/>
      <c r="U38" s="15">
        <v>19800000</v>
      </c>
      <c r="V38" s="15"/>
      <c r="W38" s="15"/>
      <c r="X38" s="15"/>
      <c r="Y38" s="15">
        <v>0</v>
      </c>
      <c r="Z38" s="15"/>
      <c r="AA38" s="15"/>
      <c r="AB38" s="15"/>
      <c r="AC38" s="15"/>
      <c r="AD38" s="15"/>
      <c r="AE38" s="15"/>
      <c r="AF38" s="15"/>
      <c r="AG38" s="15"/>
      <c r="AH38" s="15"/>
      <c r="AI38" s="15"/>
      <c r="AJ38" s="15"/>
      <c r="AK38" s="15"/>
      <c r="AL38" s="15"/>
      <c r="AM38" s="15"/>
      <c r="AN38" s="15">
        <v>0</v>
      </c>
      <c r="AO38" s="15">
        <v>0</v>
      </c>
      <c r="AP38" s="15">
        <v>7996025</v>
      </c>
      <c r="AQ38" s="15"/>
      <c r="AR38" s="15"/>
      <c r="AS38" s="15">
        <v>79960</v>
      </c>
      <c r="AT38" s="15">
        <v>0</v>
      </c>
      <c r="AU38" s="15"/>
      <c r="AV38" s="15">
        <v>7916065</v>
      </c>
    </row>
    <row r="39" spans="1:48" ht="12" customHeight="1" x14ac:dyDescent="0.3">
      <c r="A39" s="13">
        <v>30</v>
      </c>
      <c r="B39" s="11" t="s">
        <v>107</v>
      </c>
      <c r="C39" s="11" t="s">
        <v>855</v>
      </c>
      <c r="D39" s="11" t="s">
        <v>66</v>
      </c>
      <c r="E39" s="14"/>
      <c r="F39" s="14">
        <v>1.85</v>
      </c>
      <c r="G39" s="15">
        <v>20</v>
      </c>
      <c r="H39" s="15">
        <v>7323000</v>
      </c>
      <c r="I39" s="189">
        <v>1.1299999999999999</v>
      </c>
      <c r="J39" s="15">
        <v>4255000</v>
      </c>
      <c r="K39" s="15">
        <v>0</v>
      </c>
      <c r="L39" s="15">
        <v>8274990</v>
      </c>
      <c r="M39" s="15">
        <v>0</v>
      </c>
      <c r="N39" s="15">
        <v>0</v>
      </c>
      <c r="O39" s="15">
        <v>0</v>
      </c>
      <c r="P39" s="15">
        <v>8274990</v>
      </c>
      <c r="Q39" s="15">
        <v>768915</v>
      </c>
      <c r="R39" s="15"/>
      <c r="S39" s="15"/>
      <c r="T39" s="15"/>
      <c r="U39" s="15">
        <v>9000000</v>
      </c>
      <c r="V39" s="15"/>
      <c r="W39" s="15"/>
      <c r="X39" s="15"/>
      <c r="Y39" s="15">
        <v>0</v>
      </c>
      <c r="Z39" s="15"/>
      <c r="AA39" s="15"/>
      <c r="AB39" s="15"/>
      <c r="AC39" s="15"/>
      <c r="AD39" s="15"/>
      <c r="AE39" s="15"/>
      <c r="AF39" s="15"/>
      <c r="AG39" s="15"/>
      <c r="AH39" s="15"/>
      <c r="AI39" s="15"/>
      <c r="AJ39" s="15"/>
      <c r="AK39" s="15"/>
      <c r="AL39" s="15"/>
      <c r="AM39" s="15"/>
      <c r="AN39" s="15">
        <v>0</v>
      </c>
      <c r="AO39" s="15">
        <v>0</v>
      </c>
      <c r="AP39" s="15">
        <v>7506075</v>
      </c>
      <c r="AQ39" s="15"/>
      <c r="AR39" s="15"/>
      <c r="AS39" s="15">
        <v>75061</v>
      </c>
      <c r="AT39" s="15">
        <v>0</v>
      </c>
      <c r="AU39" s="15"/>
      <c r="AV39" s="15">
        <v>7431014</v>
      </c>
    </row>
    <row r="40" spans="1:48" ht="12" customHeight="1" x14ac:dyDescent="0.3">
      <c r="A40" s="13">
        <v>31</v>
      </c>
      <c r="B40" s="11" t="s">
        <v>109</v>
      </c>
      <c r="C40" s="11" t="s">
        <v>855</v>
      </c>
      <c r="D40" s="11" t="s">
        <v>111</v>
      </c>
      <c r="E40" s="14"/>
      <c r="F40" s="14">
        <v>1.1000000000000001</v>
      </c>
      <c r="G40" s="15">
        <v>20</v>
      </c>
      <c r="H40" s="15">
        <v>5493400</v>
      </c>
      <c r="I40" s="189">
        <v>1.1299999999999999</v>
      </c>
      <c r="J40" s="15">
        <v>2530000</v>
      </c>
      <c r="K40" s="15">
        <v>0</v>
      </c>
      <c r="L40" s="15">
        <v>6207542</v>
      </c>
      <c r="M40" s="15">
        <v>0</v>
      </c>
      <c r="N40" s="15">
        <v>0</v>
      </c>
      <c r="O40" s="15">
        <v>0</v>
      </c>
      <c r="P40" s="15">
        <v>6207542</v>
      </c>
      <c r="Q40" s="15">
        <v>576807</v>
      </c>
      <c r="R40" s="15"/>
      <c r="S40" s="15"/>
      <c r="T40" s="15"/>
      <c r="U40" s="15">
        <v>9000000</v>
      </c>
      <c r="V40" s="15"/>
      <c r="W40" s="15"/>
      <c r="X40" s="15"/>
      <c r="Y40" s="15">
        <v>0</v>
      </c>
      <c r="Z40" s="15"/>
      <c r="AA40" s="15"/>
      <c r="AB40" s="15"/>
      <c r="AC40" s="15"/>
      <c r="AD40" s="15"/>
      <c r="AE40" s="15"/>
      <c r="AF40" s="15"/>
      <c r="AG40" s="15"/>
      <c r="AH40" s="15"/>
      <c r="AI40" s="15"/>
      <c r="AJ40" s="15"/>
      <c r="AK40" s="15"/>
      <c r="AL40" s="15"/>
      <c r="AM40" s="15"/>
      <c r="AN40" s="15">
        <v>0</v>
      </c>
      <c r="AO40" s="15">
        <v>0</v>
      </c>
      <c r="AP40" s="15">
        <v>5630735</v>
      </c>
      <c r="AQ40" s="15"/>
      <c r="AR40" s="15"/>
      <c r="AS40" s="15">
        <v>56307</v>
      </c>
      <c r="AT40" s="15">
        <v>0</v>
      </c>
      <c r="AU40" s="15"/>
      <c r="AV40" s="15">
        <v>5574428</v>
      </c>
    </row>
    <row r="41" spans="1:48" ht="12" customHeight="1" x14ac:dyDescent="0.3">
      <c r="A41" s="13">
        <v>0</v>
      </c>
      <c r="B41" s="11" t="s">
        <v>40</v>
      </c>
      <c r="C41" s="11" t="s">
        <v>855</v>
      </c>
      <c r="D41" s="11"/>
      <c r="E41" s="14"/>
      <c r="F41" s="14">
        <v>16.47</v>
      </c>
      <c r="G41" s="15">
        <v>130</v>
      </c>
      <c r="H41" s="15">
        <v>68025100</v>
      </c>
      <c r="I41" s="189">
        <v>9.0399999999999991</v>
      </c>
      <c r="J41" s="15">
        <v>31498500</v>
      </c>
      <c r="K41" s="15">
        <v>0</v>
      </c>
      <c r="L41" s="15">
        <v>76868363</v>
      </c>
      <c r="M41" s="15">
        <v>0</v>
      </c>
      <c r="N41" s="15">
        <v>0</v>
      </c>
      <c r="O41" s="15">
        <v>447000</v>
      </c>
      <c r="P41" s="15">
        <v>77315363</v>
      </c>
      <c r="Q41" s="15">
        <v>7554288</v>
      </c>
      <c r="R41" s="15"/>
      <c r="S41" s="15"/>
      <c r="T41" s="15"/>
      <c r="U41" s="15">
        <v>122400000</v>
      </c>
      <c r="V41" s="15"/>
      <c r="W41" s="15"/>
      <c r="X41" s="15"/>
      <c r="Y41" s="15">
        <v>1871775</v>
      </c>
      <c r="Z41" s="15"/>
      <c r="AA41" s="15"/>
      <c r="AB41" s="15"/>
      <c r="AC41" s="15"/>
      <c r="AD41" s="15"/>
      <c r="AE41" s="15"/>
      <c r="AF41" s="15"/>
      <c r="AG41" s="15"/>
      <c r="AH41" s="15"/>
      <c r="AI41" s="15"/>
      <c r="AJ41" s="15"/>
      <c r="AK41" s="15"/>
      <c r="AL41" s="15"/>
      <c r="AM41" s="15"/>
      <c r="AN41" s="15">
        <v>93589</v>
      </c>
      <c r="AO41" s="15">
        <v>0</v>
      </c>
      <c r="AP41" s="15">
        <v>69667486</v>
      </c>
      <c r="AQ41" s="15"/>
      <c r="AR41" s="15"/>
      <c r="AS41" s="15">
        <v>661423</v>
      </c>
      <c r="AT41" s="15">
        <v>0</v>
      </c>
      <c r="AU41" s="15"/>
      <c r="AV41" s="15">
        <v>69006063</v>
      </c>
    </row>
    <row r="42" spans="1:48" ht="12" customHeight="1" x14ac:dyDescent="0.3">
      <c r="A42" s="13">
        <v>32</v>
      </c>
      <c r="B42" s="11" t="s">
        <v>113</v>
      </c>
      <c r="C42" s="11" t="s">
        <v>855</v>
      </c>
      <c r="D42" s="11" t="s">
        <v>115</v>
      </c>
      <c r="E42" s="14"/>
      <c r="F42" s="14">
        <v>4.8099999999999996</v>
      </c>
      <c r="G42" s="15">
        <v>20</v>
      </c>
      <c r="H42" s="15">
        <v>17631000</v>
      </c>
      <c r="I42" s="189">
        <v>1.1299999999999999</v>
      </c>
      <c r="J42" s="15">
        <v>11063000</v>
      </c>
      <c r="K42" s="15">
        <v>0</v>
      </c>
      <c r="L42" s="15">
        <v>19923030</v>
      </c>
      <c r="M42" s="15">
        <v>0</v>
      </c>
      <c r="N42" s="15">
        <v>0</v>
      </c>
      <c r="O42" s="15">
        <v>447000</v>
      </c>
      <c r="P42" s="15">
        <v>20370030</v>
      </c>
      <c r="Q42" s="15">
        <v>1851255</v>
      </c>
      <c r="R42" s="15"/>
      <c r="S42" s="15"/>
      <c r="T42" s="15"/>
      <c r="U42" s="15">
        <v>16200000</v>
      </c>
      <c r="V42" s="15"/>
      <c r="W42" s="15"/>
      <c r="X42" s="15"/>
      <c r="Y42" s="15">
        <v>1871775</v>
      </c>
      <c r="Z42" s="15"/>
      <c r="AA42" s="15"/>
      <c r="AB42" s="15"/>
      <c r="AC42" s="15"/>
      <c r="AD42" s="15"/>
      <c r="AE42" s="15"/>
      <c r="AF42" s="15"/>
      <c r="AG42" s="15"/>
      <c r="AH42" s="15"/>
      <c r="AI42" s="15"/>
      <c r="AJ42" s="15"/>
      <c r="AK42" s="15"/>
      <c r="AL42" s="15"/>
      <c r="AM42" s="15"/>
      <c r="AN42" s="15">
        <v>93589</v>
      </c>
      <c r="AO42" s="15">
        <v>0</v>
      </c>
      <c r="AP42" s="15">
        <v>18425186</v>
      </c>
      <c r="AQ42" s="15"/>
      <c r="AR42" s="15"/>
      <c r="AS42" s="15">
        <v>149000</v>
      </c>
      <c r="AT42" s="15">
        <v>0</v>
      </c>
      <c r="AU42" s="15"/>
      <c r="AV42" s="15">
        <v>18276186</v>
      </c>
    </row>
    <row r="43" spans="1:48" ht="12" customHeight="1" x14ac:dyDescent="0.3">
      <c r="A43" s="13">
        <v>33</v>
      </c>
      <c r="B43" s="11" t="s">
        <v>116</v>
      </c>
      <c r="C43" s="11" t="s">
        <v>855</v>
      </c>
      <c r="D43" s="11" t="s">
        <v>61</v>
      </c>
      <c r="E43" s="14"/>
      <c r="F43" s="14">
        <v>2.41</v>
      </c>
      <c r="G43" s="15">
        <v>20</v>
      </c>
      <c r="H43" s="15">
        <v>12020000</v>
      </c>
      <c r="I43" s="189">
        <v>1.1299999999999999</v>
      </c>
      <c r="J43" s="15">
        <v>5543000</v>
      </c>
      <c r="K43" s="15">
        <v>0</v>
      </c>
      <c r="L43" s="15">
        <v>13582600</v>
      </c>
      <c r="M43" s="15">
        <v>0</v>
      </c>
      <c r="N43" s="15">
        <v>0</v>
      </c>
      <c r="O43" s="15">
        <v>0</v>
      </c>
      <c r="P43" s="15">
        <v>13582600</v>
      </c>
      <c r="Q43" s="15">
        <v>1262100</v>
      </c>
      <c r="R43" s="15"/>
      <c r="S43" s="15"/>
      <c r="T43" s="15"/>
      <c r="U43" s="15">
        <v>23400000</v>
      </c>
      <c r="V43" s="15"/>
      <c r="W43" s="15"/>
      <c r="X43" s="15"/>
      <c r="Y43" s="15">
        <v>0</v>
      </c>
      <c r="Z43" s="15"/>
      <c r="AA43" s="15"/>
      <c r="AB43" s="15"/>
      <c r="AC43" s="15"/>
      <c r="AD43" s="15"/>
      <c r="AE43" s="15"/>
      <c r="AF43" s="15"/>
      <c r="AG43" s="15"/>
      <c r="AH43" s="15"/>
      <c r="AI43" s="15"/>
      <c r="AJ43" s="15"/>
      <c r="AK43" s="15"/>
      <c r="AL43" s="15"/>
      <c r="AM43" s="15"/>
      <c r="AN43" s="15">
        <v>0</v>
      </c>
      <c r="AO43" s="15">
        <v>0</v>
      </c>
      <c r="AP43" s="15">
        <v>12320500</v>
      </c>
      <c r="AQ43" s="15"/>
      <c r="AR43" s="15"/>
      <c r="AS43" s="15">
        <v>123205</v>
      </c>
      <c r="AT43" s="15">
        <v>0</v>
      </c>
      <c r="AU43" s="15"/>
      <c r="AV43" s="15">
        <v>12197295</v>
      </c>
    </row>
    <row r="44" spans="1:48" ht="12" customHeight="1" x14ac:dyDescent="0.3">
      <c r="A44" s="13">
        <v>34</v>
      </c>
      <c r="B44" s="11" t="s">
        <v>118</v>
      </c>
      <c r="C44" s="11" t="s">
        <v>855</v>
      </c>
      <c r="D44" s="11" t="s">
        <v>120</v>
      </c>
      <c r="E44" s="14"/>
      <c r="F44" s="14">
        <v>1.85</v>
      </c>
      <c r="G44" s="15">
        <v>20</v>
      </c>
      <c r="H44" s="15">
        <v>10533600</v>
      </c>
      <c r="I44" s="189">
        <v>1.1299999999999999</v>
      </c>
      <c r="J44" s="15">
        <v>4255000</v>
      </c>
      <c r="K44" s="15">
        <v>0</v>
      </c>
      <c r="L44" s="15">
        <v>11902968</v>
      </c>
      <c r="M44" s="15">
        <v>0</v>
      </c>
      <c r="N44" s="15">
        <v>0</v>
      </c>
      <c r="O44" s="15">
        <v>0</v>
      </c>
      <c r="P44" s="15">
        <v>11902968</v>
      </c>
      <c r="Q44" s="15">
        <v>1106028</v>
      </c>
      <c r="R44" s="15"/>
      <c r="S44" s="15"/>
      <c r="T44" s="15"/>
      <c r="U44" s="15">
        <v>16200000</v>
      </c>
      <c r="V44" s="15"/>
      <c r="W44" s="15"/>
      <c r="X44" s="15"/>
      <c r="Y44" s="15">
        <v>0</v>
      </c>
      <c r="Z44" s="15"/>
      <c r="AA44" s="15"/>
      <c r="AB44" s="15"/>
      <c r="AC44" s="15"/>
      <c r="AD44" s="15"/>
      <c r="AE44" s="15"/>
      <c r="AF44" s="15"/>
      <c r="AG44" s="15"/>
      <c r="AH44" s="15"/>
      <c r="AI44" s="15"/>
      <c r="AJ44" s="15"/>
      <c r="AK44" s="15"/>
      <c r="AL44" s="15"/>
      <c r="AM44" s="15"/>
      <c r="AN44" s="15">
        <v>0</v>
      </c>
      <c r="AO44" s="15">
        <v>0</v>
      </c>
      <c r="AP44" s="15">
        <v>10796940</v>
      </c>
      <c r="AQ44" s="15"/>
      <c r="AR44" s="15"/>
      <c r="AS44" s="15">
        <v>107969</v>
      </c>
      <c r="AT44" s="15">
        <v>0</v>
      </c>
      <c r="AU44" s="15"/>
      <c r="AV44" s="15">
        <v>10688971</v>
      </c>
    </row>
    <row r="45" spans="1:48" ht="12" customHeight="1" x14ac:dyDescent="0.3">
      <c r="A45" s="13">
        <v>35</v>
      </c>
      <c r="B45" s="11" t="s">
        <v>121</v>
      </c>
      <c r="C45" s="11" t="s">
        <v>855</v>
      </c>
      <c r="D45" s="11" t="s">
        <v>66</v>
      </c>
      <c r="E45" s="14"/>
      <c r="F45" s="14">
        <v>1.85</v>
      </c>
      <c r="G45" s="15">
        <v>20</v>
      </c>
      <c r="H45" s="15">
        <v>8278000</v>
      </c>
      <c r="I45" s="189">
        <v>1.1299999999999999</v>
      </c>
      <c r="J45" s="15">
        <v>4255000</v>
      </c>
      <c r="K45" s="15">
        <v>0</v>
      </c>
      <c r="L45" s="15">
        <v>9354140</v>
      </c>
      <c r="M45" s="15">
        <v>0</v>
      </c>
      <c r="N45" s="15">
        <v>0</v>
      </c>
      <c r="O45" s="15">
        <v>0</v>
      </c>
      <c r="P45" s="15">
        <v>9354140</v>
      </c>
      <c r="Q45" s="15">
        <v>869190</v>
      </c>
      <c r="R45" s="15"/>
      <c r="S45" s="15"/>
      <c r="T45" s="15"/>
      <c r="U45" s="15">
        <v>19800000</v>
      </c>
      <c r="V45" s="15"/>
      <c r="W45" s="15"/>
      <c r="X45" s="15"/>
      <c r="Y45" s="15">
        <v>0</v>
      </c>
      <c r="Z45" s="15"/>
      <c r="AA45" s="15"/>
      <c r="AB45" s="15"/>
      <c r="AC45" s="15"/>
      <c r="AD45" s="15"/>
      <c r="AE45" s="15"/>
      <c r="AF45" s="15"/>
      <c r="AG45" s="15"/>
      <c r="AH45" s="15"/>
      <c r="AI45" s="15"/>
      <c r="AJ45" s="15"/>
      <c r="AK45" s="15"/>
      <c r="AL45" s="15"/>
      <c r="AM45" s="15"/>
      <c r="AN45" s="15">
        <v>0</v>
      </c>
      <c r="AO45" s="15">
        <v>0</v>
      </c>
      <c r="AP45" s="15">
        <v>8484950</v>
      </c>
      <c r="AQ45" s="15"/>
      <c r="AR45" s="15"/>
      <c r="AS45" s="15">
        <v>84850</v>
      </c>
      <c r="AT45" s="15">
        <v>0</v>
      </c>
      <c r="AU45" s="15"/>
      <c r="AV45" s="15">
        <v>8400100</v>
      </c>
    </row>
    <row r="46" spans="1:48" ht="12" customHeight="1" x14ac:dyDescent="0.3">
      <c r="A46" s="13">
        <v>36</v>
      </c>
      <c r="B46" s="11" t="s">
        <v>123</v>
      </c>
      <c r="C46" s="11" t="s">
        <v>855</v>
      </c>
      <c r="D46" s="11" t="s">
        <v>66</v>
      </c>
      <c r="E46" s="14"/>
      <c r="F46" s="14">
        <v>1.85</v>
      </c>
      <c r="G46" s="15">
        <v>20</v>
      </c>
      <c r="H46" s="15">
        <v>7801000</v>
      </c>
      <c r="I46" s="189">
        <v>1.1299999999999999</v>
      </c>
      <c r="J46" s="15">
        <v>4255000</v>
      </c>
      <c r="K46" s="15">
        <v>0</v>
      </c>
      <c r="L46" s="15">
        <v>8815130</v>
      </c>
      <c r="M46" s="15">
        <v>0</v>
      </c>
      <c r="N46" s="15">
        <v>0</v>
      </c>
      <c r="O46" s="15">
        <v>0</v>
      </c>
      <c r="P46" s="15">
        <v>8815130</v>
      </c>
      <c r="Q46" s="15">
        <v>819105</v>
      </c>
      <c r="R46" s="15"/>
      <c r="S46" s="15"/>
      <c r="T46" s="15"/>
      <c r="U46" s="15">
        <v>19800000</v>
      </c>
      <c r="V46" s="15"/>
      <c r="W46" s="15"/>
      <c r="X46" s="15"/>
      <c r="Y46" s="15">
        <v>0</v>
      </c>
      <c r="Z46" s="15"/>
      <c r="AA46" s="15"/>
      <c r="AB46" s="15"/>
      <c r="AC46" s="15"/>
      <c r="AD46" s="15"/>
      <c r="AE46" s="15"/>
      <c r="AF46" s="15"/>
      <c r="AG46" s="15"/>
      <c r="AH46" s="15"/>
      <c r="AI46" s="15"/>
      <c r="AJ46" s="15"/>
      <c r="AK46" s="15"/>
      <c r="AL46" s="15"/>
      <c r="AM46" s="15"/>
      <c r="AN46" s="15">
        <v>0</v>
      </c>
      <c r="AO46" s="15">
        <v>0</v>
      </c>
      <c r="AP46" s="15">
        <v>7996025</v>
      </c>
      <c r="AQ46" s="15"/>
      <c r="AR46" s="15"/>
      <c r="AS46" s="15">
        <v>79960</v>
      </c>
      <c r="AT46" s="15">
        <v>0</v>
      </c>
      <c r="AU46" s="15"/>
      <c r="AV46" s="15">
        <v>7916065</v>
      </c>
    </row>
    <row r="47" spans="1:48" ht="12" customHeight="1" x14ac:dyDescent="0.3">
      <c r="A47" s="13">
        <v>37</v>
      </c>
      <c r="B47" s="11" t="s">
        <v>125</v>
      </c>
      <c r="C47" s="11" t="s">
        <v>855</v>
      </c>
      <c r="D47" s="11" t="s">
        <v>66</v>
      </c>
      <c r="E47" s="14"/>
      <c r="F47" s="14">
        <v>1.85</v>
      </c>
      <c r="G47" s="15">
        <v>10</v>
      </c>
      <c r="H47" s="15">
        <v>3920500</v>
      </c>
      <c r="I47" s="189">
        <v>1.1299999999999999</v>
      </c>
      <c r="J47" s="15">
        <v>2127500</v>
      </c>
      <c r="K47" s="15">
        <v>0</v>
      </c>
      <c r="L47" s="15">
        <v>4430165</v>
      </c>
      <c r="M47" s="15">
        <v>0</v>
      </c>
      <c r="N47" s="15">
        <v>0</v>
      </c>
      <c r="O47" s="15">
        <v>0</v>
      </c>
      <c r="P47" s="15">
        <v>4430165</v>
      </c>
      <c r="Q47" s="15">
        <v>823305</v>
      </c>
      <c r="R47" s="15"/>
      <c r="S47" s="15"/>
      <c r="T47" s="15"/>
      <c r="U47" s="15">
        <v>9000000</v>
      </c>
      <c r="V47" s="15"/>
      <c r="W47" s="15"/>
      <c r="X47" s="15"/>
      <c r="Y47" s="15">
        <v>0</v>
      </c>
      <c r="Z47" s="15"/>
      <c r="AA47" s="15"/>
      <c r="AB47" s="15"/>
      <c r="AC47" s="15"/>
      <c r="AD47" s="15"/>
      <c r="AE47" s="15"/>
      <c r="AF47" s="15"/>
      <c r="AG47" s="15"/>
      <c r="AH47" s="15"/>
      <c r="AI47" s="15"/>
      <c r="AJ47" s="15"/>
      <c r="AK47" s="15"/>
      <c r="AL47" s="15"/>
      <c r="AM47" s="15"/>
      <c r="AN47" s="15">
        <v>0</v>
      </c>
      <c r="AO47" s="15">
        <v>0</v>
      </c>
      <c r="AP47" s="15">
        <v>3606860</v>
      </c>
      <c r="AQ47" s="15"/>
      <c r="AR47" s="15"/>
      <c r="AS47" s="15">
        <v>36069</v>
      </c>
      <c r="AT47" s="15">
        <v>0</v>
      </c>
      <c r="AU47" s="15"/>
      <c r="AV47" s="15">
        <v>3570791</v>
      </c>
    </row>
    <row r="48" spans="1:48" ht="12" customHeight="1" x14ac:dyDescent="0.3">
      <c r="A48" s="13">
        <v>38</v>
      </c>
      <c r="B48" s="11" t="s">
        <v>127</v>
      </c>
      <c r="C48" s="11" t="s">
        <v>855</v>
      </c>
      <c r="D48" s="11" t="s">
        <v>66</v>
      </c>
      <c r="E48" s="14"/>
      <c r="F48" s="14">
        <v>1.85</v>
      </c>
      <c r="G48" s="15">
        <v>0</v>
      </c>
      <c r="H48" s="15">
        <v>0</v>
      </c>
      <c r="I48" s="189">
        <v>1.1299999999999999</v>
      </c>
      <c r="J48" s="15"/>
      <c r="K48" s="15">
        <v>0</v>
      </c>
      <c r="L48" s="15">
        <v>0</v>
      </c>
      <c r="M48" s="15">
        <v>0</v>
      </c>
      <c r="N48" s="15">
        <v>0</v>
      </c>
      <c r="O48" s="15">
        <v>0</v>
      </c>
      <c r="P48" s="15">
        <v>0</v>
      </c>
      <c r="Q48" s="15">
        <v>0</v>
      </c>
      <c r="R48" s="15"/>
      <c r="S48" s="15"/>
      <c r="T48" s="15"/>
      <c r="U48" s="15">
        <v>9000000</v>
      </c>
      <c r="V48" s="15"/>
      <c r="W48" s="15"/>
      <c r="X48" s="15"/>
      <c r="Y48" s="15">
        <v>0</v>
      </c>
      <c r="Z48" s="15"/>
      <c r="AA48" s="15"/>
      <c r="AB48" s="15"/>
      <c r="AC48" s="15"/>
      <c r="AD48" s="15"/>
      <c r="AE48" s="15"/>
      <c r="AF48" s="15"/>
      <c r="AG48" s="15"/>
      <c r="AH48" s="15"/>
      <c r="AI48" s="15"/>
      <c r="AJ48" s="15"/>
      <c r="AK48" s="15"/>
      <c r="AL48" s="15"/>
      <c r="AM48" s="15"/>
      <c r="AN48" s="15">
        <v>0</v>
      </c>
      <c r="AO48" s="15">
        <v>0</v>
      </c>
      <c r="AP48" s="15">
        <v>0</v>
      </c>
      <c r="AQ48" s="15"/>
      <c r="AR48" s="15"/>
      <c r="AS48" s="15">
        <v>0</v>
      </c>
      <c r="AT48" s="15">
        <v>0</v>
      </c>
      <c r="AU48" s="15"/>
      <c r="AV48" s="15">
        <v>0</v>
      </c>
    </row>
    <row r="49" spans="1:48" ht="12" customHeight="1" x14ac:dyDescent="0.3">
      <c r="A49" s="13">
        <v>39</v>
      </c>
      <c r="B49" s="11" t="s">
        <v>129</v>
      </c>
      <c r="C49" s="11" t="s">
        <v>855</v>
      </c>
      <c r="D49" s="11" t="s">
        <v>66</v>
      </c>
      <c r="E49" s="14"/>
      <c r="F49" s="14">
        <v>0</v>
      </c>
      <c r="G49" s="15">
        <v>20</v>
      </c>
      <c r="H49" s="15">
        <v>7841000</v>
      </c>
      <c r="I49" s="189">
        <v>1.1299999999999999</v>
      </c>
      <c r="J49" s="15"/>
      <c r="K49" s="15">
        <v>0</v>
      </c>
      <c r="L49" s="15">
        <v>8860330</v>
      </c>
      <c r="M49" s="15">
        <v>0</v>
      </c>
      <c r="N49" s="15">
        <v>0</v>
      </c>
      <c r="O49" s="15">
        <v>0</v>
      </c>
      <c r="P49" s="15">
        <v>8860330</v>
      </c>
      <c r="Q49" s="15">
        <v>823305</v>
      </c>
      <c r="R49" s="15"/>
      <c r="S49" s="15"/>
      <c r="T49" s="15"/>
      <c r="U49" s="15">
        <v>9000000</v>
      </c>
      <c r="V49" s="15"/>
      <c r="W49" s="15"/>
      <c r="X49" s="15"/>
      <c r="Y49" s="15">
        <v>0</v>
      </c>
      <c r="Z49" s="15"/>
      <c r="AA49" s="15"/>
      <c r="AB49" s="15"/>
      <c r="AC49" s="15"/>
      <c r="AD49" s="15"/>
      <c r="AE49" s="15"/>
      <c r="AF49" s="15"/>
      <c r="AG49" s="15"/>
      <c r="AH49" s="15"/>
      <c r="AI49" s="15"/>
      <c r="AJ49" s="15"/>
      <c r="AK49" s="15"/>
      <c r="AL49" s="15"/>
      <c r="AM49" s="15"/>
      <c r="AN49" s="15">
        <v>0</v>
      </c>
      <c r="AO49" s="15">
        <v>0</v>
      </c>
      <c r="AP49" s="15">
        <v>8037025</v>
      </c>
      <c r="AQ49" s="15"/>
      <c r="AR49" s="15"/>
      <c r="AS49" s="15">
        <v>80370</v>
      </c>
      <c r="AT49" s="15">
        <v>0</v>
      </c>
      <c r="AU49" s="15"/>
      <c r="AV49" s="15">
        <v>7956655</v>
      </c>
    </row>
    <row r="50" spans="1:48" ht="12" customHeight="1" x14ac:dyDescent="0.3">
      <c r="A50" s="13">
        <v>0</v>
      </c>
      <c r="B50" s="11" t="s">
        <v>40</v>
      </c>
      <c r="C50" s="11" t="s">
        <v>855</v>
      </c>
      <c r="D50" s="11"/>
      <c r="E50" s="14"/>
      <c r="F50" s="14">
        <v>16.47</v>
      </c>
      <c r="G50" s="15">
        <v>140</v>
      </c>
      <c r="H50" s="15">
        <v>65989000</v>
      </c>
      <c r="I50" s="189">
        <v>7.91</v>
      </c>
      <c r="J50" s="15">
        <v>37881000</v>
      </c>
      <c r="K50" s="15">
        <v>0</v>
      </c>
      <c r="L50" s="15">
        <v>74567570</v>
      </c>
      <c r="M50" s="15">
        <v>0</v>
      </c>
      <c r="N50" s="15">
        <v>0</v>
      </c>
      <c r="O50" s="15">
        <v>0</v>
      </c>
      <c r="P50" s="15">
        <v>74567570</v>
      </c>
      <c r="Q50" s="15">
        <v>6928845</v>
      </c>
      <c r="R50" s="15"/>
      <c r="S50" s="15"/>
      <c r="T50" s="15"/>
      <c r="U50" s="15">
        <v>77400000</v>
      </c>
      <c r="V50" s="15"/>
      <c r="W50" s="15"/>
      <c r="X50" s="15"/>
      <c r="Y50" s="15">
        <v>4043950</v>
      </c>
      <c r="Z50" s="15"/>
      <c r="AA50" s="15"/>
      <c r="AB50" s="15"/>
      <c r="AC50" s="15"/>
      <c r="AD50" s="15"/>
      <c r="AE50" s="15"/>
      <c r="AF50" s="15"/>
      <c r="AG50" s="15"/>
      <c r="AH50" s="15"/>
      <c r="AI50" s="15"/>
      <c r="AJ50" s="15"/>
      <c r="AK50" s="15"/>
      <c r="AL50" s="15"/>
      <c r="AM50" s="15"/>
      <c r="AN50" s="15">
        <v>202198</v>
      </c>
      <c r="AO50" s="15">
        <v>0</v>
      </c>
      <c r="AP50" s="15">
        <v>67436527</v>
      </c>
      <c r="AQ50" s="15"/>
      <c r="AR50" s="15"/>
      <c r="AS50" s="15">
        <v>658948</v>
      </c>
      <c r="AT50" s="15">
        <v>0</v>
      </c>
      <c r="AU50" s="15"/>
      <c r="AV50" s="15">
        <v>66777579</v>
      </c>
    </row>
    <row r="51" spans="1:48" ht="12" customHeight="1" x14ac:dyDescent="0.3">
      <c r="A51" s="13">
        <v>40</v>
      </c>
      <c r="B51" s="11" t="s">
        <v>132</v>
      </c>
      <c r="C51" s="11" t="s">
        <v>855</v>
      </c>
      <c r="D51" s="11" t="s">
        <v>115</v>
      </c>
      <c r="E51" s="14"/>
      <c r="F51" s="14">
        <v>4.8099999999999996</v>
      </c>
      <c r="G51" s="15">
        <v>20</v>
      </c>
      <c r="H51" s="15">
        <v>16238000</v>
      </c>
      <c r="I51" s="189">
        <v>1.1299999999999999</v>
      </c>
      <c r="J51" s="15">
        <v>11063000</v>
      </c>
      <c r="K51" s="15">
        <v>0</v>
      </c>
      <c r="L51" s="15">
        <v>18348940</v>
      </c>
      <c r="M51" s="15">
        <v>0</v>
      </c>
      <c r="N51" s="15">
        <v>0</v>
      </c>
      <c r="O51" s="15">
        <v>0</v>
      </c>
      <c r="P51" s="15">
        <v>18348940</v>
      </c>
      <c r="Q51" s="15">
        <v>1704990</v>
      </c>
      <c r="R51" s="15"/>
      <c r="S51" s="15"/>
      <c r="T51" s="15"/>
      <c r="U51" s="15">
        <v>12600000</v>
      </c>
      <c r="V51" s="15"/>
      <c r="W51" s="15"/>
      <c r="X51" s="15"/>
      <c r="Y51" s="15">
        <v>4043950</v>
      </c>
      <c r="Z51" s="15"/>
      <c r="AA51" s="15"/>
      <c r="AB51" s="15"/>
      <c r="AC51" s="15"/>
      <c r="AD51" s="15"/>
      <c r="AE51" s="15"/>
      <c r="AF51" s="15"/>
      <c r="AG51" s="15"/>
      <c r="AH51" s="15"/>
      <c r="AI51" s="15"/>
      <c r="AJ51" s="15"/>
      <c r="AK51" s="15"/>
      <c r="AL51" s="15"/>
      <c r="AM51" s="15"/>
      <c r="AN51" s="15">
        <v>202198</v>
      </c>
      <c r="AO51" s="15">
        <v>0</v>
      </c>
      <c r="AP51" s="15">
        <v>16441752</v>
      </c>
      <c r="AQ51" s="15"/>
      <c r="AR51" s="15"/>
      <c r="AS51" s="15">
        <v>149000</v>
      </c>
      <c r="AT51" s="15">
        <v>0</v>
      </c>
      <c r="AU51" s="15"/>
      <c r="AV51" s="15">
        <v>16292752</v>
      </c>
    </row>
    <row r="52" spans="1:48" ht="12" customHeight="1" x14ac:dyDescent="0.3">
      <c r="A52" s="13">
        <v>41</v>
      </c>
      <c r="B52" s="11" t="s">
        <v>134</v>
      </c>
      <c r="C52" s="11" t="s">
        <v>855</v>
      </c>
      <c r="D52" s="11" t="s">
        <v>61</v>
      </c>
      <c r="E52" s="14"/>
      <c r="F52" s="14">
        <v>2.41</v>
      </c>
      <c r="G52" s="15">
        <v>20</v>
      </c>
      <c r="H52" s="15">
        <v>12020000</v>
      </c>
      <c r="I52" s="189">
        <v>1.1299999999999999</v>
      </c>
      <c r="J52" s="15">
        <v>5543000</v>
      </c>
      <c r="K52" s="15">
        <v>0</v>
      </c>
      <c r="L52" s="15">
        <v>13582600</v>
      </c>
      <c r="M52" s="15">
        <v>0</v>
      </c>
      <c r="N52" s="15">
        <v>0</v>
      </c>
      <c r="O52" s="15">
        <v>0</v>
      </c>
      <c r="P52" s="15">
        <v>13582600</v>
      </c>
      <c r="Q52" s="15">
        <v>1262100</v>
      </c>
      <c r="R52" s="15"/>
      <c r="S52" s="15"/>
      <c r="T52" s="15"/>
      <c r="U52" s="15">
        <v>12600000</v>
      </c>
      <c r="V52" s="15"/>
      <c r="W52" s="15"/>
      <c r="X52" s="15"/>
      <c r="Y52" s="15">
        <v>0</v>
      </c>
      <c r="Z52" s="15"/>
      <c r="AA52" s="15"/>
      <c r="AB52" s="15"/>
      <c r="AC52" s="15"/>
      <c r="AD52" s="15"/>
      <c r="AE52" s="15"/>
      <c r="AF52" s="15"/>
      <c r="AG52" s="15"/>
      <c r="AH52" s="15"/>
      <c r="AI52" s="15"/>
      <c r="AJ52" s="15"/>
      <c r="AK52" s="15"/>
      <c r="AL52" s="15"/>
      <c r="AM52" s="15"/>
      <c r="AN52" s="15">
        <v>0</v>
      </c>
      <c r="AO52" s="15">
        <v>0</v>
      </c>
      <c r="AP52" s="15">
        <v>12320500</v>
      </c>
      <c r="AQ52" s="15"/>
      <c r="AR52" s="15"/>
      <c r="AS52" s="15">
        <v>123205</v>
      </c>
      <c r="AT52" s="15">
        <v>0</v>
      </c>
      <c r="AU52" s="15"/>
      <c r="AV52" s="15">
        <v>12197295</v>
      </c>
    </row>
    <row r="53" spans="1:48" ht="12" customHeight="1" x14ac:dyDescent="0.3">
      <c r="A53" s="13">
        <v>42</v>
      </c>
      <c r="B53" s="11" t="s">
        <v>136</v>
      </c>
      <c r="C53" s="11" t="s">
        <v>855</v>
      </c>
      <c r="D53" s="11" t="s">
        <v>66</v>
      </c>
      <c r="E53" s="14"/>
      <c r="F53" s="14">
        <v>1.85</v>
      </c>
      <c r="G53" s="15">
        <v>20</v>
      </c>
      <c r="H53" s="15">
        <v>7363000</v>
      </c>
      <c r="I53" s="189">
        <v>1.1299999999999999</v>
      </c>
      <c r="J53" s="15">
        <v>4255000</v>
      </c>
      <c r="K53" s="15">
        <v>0</v>
      </c>
      <c r="L53" s="15">
        <v>8320190</v>
      </c>
      <c r="M53" s="15">
        <v>0</v>
      </c>
      <c r="N53" s="15">
        <v>0</v>
      </c>
      <c r="O53" s="15">
        <v>0</v>
      </c>
      <c r="P53" s="15">
        <v>8320190</v>
      </c>
      <c r="Q53" s="15">
        <v>773115</v>
      </c>
      <c r="R53" s="15"/>
      <c r="S53" s="15"/>
      <c r="T53" s="15"/>
      <c r="U53" s="15">
        <v>9000000</v>
      </c>
      <c r="V53" s="15"/>
      <c r="W53" s="15"/>
      <c r="X53" s="15"/>
      <c r="Y53" s="15">
        <v>0</v>
      </c>
      <c r="Z53" s="15"/>
      <c r="AA53" s="15"/>
      <c r="AB53" s="15"/>
      <c r="AC53" s="15"/>
      <c r="AD53" s="15"/>
      <c r="AE53" s="15"/>
      <c r="AF53" s="15"/>
      <c r="AG53" s="15"/>
      <c r="AH53" s="15"/>
      <c r="AI53" s="15"/>
      <c r="AJ53" s="15"/>
      <c r="AK53" s="15"/>
      <c r="AL53" s="15"/>
      <c r="AM53" s="15"/>
      <c r="AN53" s="15">
        <v>0</v>
      </c>
      <c r="AO53" s="15">
        <v>0</v>
      </c>
      <c r="AP53" s="15">
        <v>7547075</v>
      </c>
      <c r="AQ53" s="15"/>
      <c r="AR53" s="15"/>
      <c r="AS53" s="15">
        <v>75471</v>
      </c>
      <c r="AT53" s="15">
        <v>0</v>
      </c>
      <c r="AU53" s="15"/>
      <c r="AV53" s="15">
        <v>7471604</v>
      </c>
    </row>
    <row r="54" spans="1:48" ht="12" customHeight="1" x14ac:dyDescent="0.3">
      <c r="A54" s="13">
        <v>43</v>
      </c>
      <c r="B54" s="11" t="s">
        <v>138</v>
      </c>
      <c r="C54" s="11" t="s">
        <v>855</v>
      </c>
      <c r="D54" s="11" t="s">
        <v>66</v>
      </c>
      <c r="E54" s="14"/>
      <c r="F54" s="14">
        <v>1.85</v>
      </c>
      <c r="G54" s="15">
        <v>20</v>
      </c>
      <c r="H54" s="15">
        <v>7323000</v>
      </c>
      <c r="I54" s="189">
        <v>1.1299999999999999</v>
      </c>
      <c r="J54" s="15">
        <v>4255000</v>
      </c>
      <c r="K54" s="15">
        <v>0</v>
      </c>
      <c r="L54" s="15">
        <v>8274990</v>
      </c>
      <c r="M54" s="15">
        <v>0</v>
      </c>
      <c r="N54" s="15">
        <v>0</v>
      </c>
      <c r="O54" s="15">
        <v>0</v>
      </c>
      <c r="P54" s="15">
        <v>8274990</v>
      </c>
      <c r="Q54" s="15">
        <v>768915</v>
      </c>
      <c r="R54" s="15"/>
      <c r="S54" s="15"/>
      <c r="T54" s="15"/>
      <c r="U54" s="15">
        <v>12600000</v>
      </c>
      <c r="V54" s="15"/>
      <c r="W54" s="15"/>
      <c r="X54" s="15"/>
      <c r="Y54" s="15">
        <v>0</v>
      </c>
      <c r="Z54" s="15"/>
      <c r="AA54" s="15"/>
      <c r="AB54" s="15"/>
      <c r="AC54" s="15"/>
      <c r="AD54" s="15"/>
      <c r="AE54" s="15"/>
      <c r="AF54" s="15"/>
      <c r="AG54" s="15"/>
      <c r="AH54" s="15"/>
      <c r="AI54" s="15"/>
      <c r="AJ54" s="15"/>
      <c r="AK54" s="15"/>
      <c r="AL54" s="15"/>
      <c r="AM54" s="15"/>
      <c r="AN54" s="15">
        <v>0</v>
      </c>
      <c r="AO54" s="15">
        <v>0</v>
      </c>
      <c r="AP54" s="15">
        <v>7506075</v>
      </c>
      <c r="AQ54" s="15"/>
      <c r="AR54" s="15"/>
      <c r="AS54" s="15">
        <v>75061</v>
      </c>
      <c r="AT54" s="15">
        <v>0</v>
      </c>
      <c r="AU54" s="15"/>
      <c r="AV54" s="15">
        <v>7431014</v>
      </c>
    </row>
    <row r="55" spans="1:48" ht="12" customHeight="1" x14ac:dyDescent="0.3">
      <c r="A55" s="13">
        <v>44</v>
      </c>
      <c r="B55" s="11" t="s">
        <v>140</v>
      </c>
      <c r="C55" s="11" t="s">
        <v>855</v>
      </c>
      <c r="D55" s="11" t="s">
        <v>66</v>
      </c>
      <c r="E55" s="14"/>
      <c r="F55" s="14">
        <v>1.85</v>
      </c>
      <c r="G55" s="15">
        <v>20</v>
      </c>
      <c r="H55" s="15">
        <v>7363000</v>
      </c>
      <c r="I55" s="189">
        <v>1.1299999999999999</v>
      </c>
      <c r="J55" s="15">
        <v>4255000</v>
      </c>
      <c r="K55" s="15">
        <v>0</v>
      </c>
      <c r="L55" s="15">
        <v>8320190</v>
      </c>
      <c r="M55" s="15">
        <v>0</v>
      </c>
      <c r="N55" s="15">
        <v>0</v>
      </c>
      <c r="O55" s="15">
        <v>0</v>
      </c>
      <c r="P55" s="15">
        <v>8320190</v>
      </c>
      <c r="Q55" s="15">
        <v>773115</v>
      </c>
      <c r="R55" s="15"/>
      <c r="S55" s="15"/>
      <c r="T55" s="15"/>
      <c r="U55" s="15">
        <v>12600000</v>
      </c>
      <c r="V55" s="15"/>
      <c r="W55" s="15"/>
      <c r="X55" s="15"/>
      <c r="Y55" s="15">
        <v>0</v>
      </c>
      <c r="Z55" s="15"/>
      <c r="AA55" s="15"/>
      <c r="AB55" s="15"/>
      <c r="AC55" s="15"/>
      <c r="AD55" s="15"/>
      <c r="AE55" s="15"/>
      <c r="AF55" s="15"/>
      <c r="AG55" s="15"/>
      <c r="AH55" s="15"/>
      <c r="AI55" s="15"/>
      <c r="AJ55" s="15"/>
      <c r="AK55" s="15"/>
      <c r="AL55" s="15"/>
      <c r="AM55" s="15"/>
      <c r="AN55" s="15">
        <v>0</v>
      </c>
      <c r="AO55" s="15">
        <v>0</v>
      </c>
      <c r="AP55" s="15">
        <v>7547075</v>
      </c>
      <c r="AQ55" s="15"/>
      <c r="AR55" s="15"/>
      <c r="AS55" s="15">
        <v>75471</v>
      </c>
      <c r="AT55" s="15">
        <v>0</v>
      </c>
      <c r="AU55" s="15"/>
      <c r="AV55" s="15">
        <v>7471604</v>
      </c>
    </row>
    <row r="56" spans="1:48" ht="12" customHeight="1" x14ac:dyDescent="0.3">
      <c r="A56" s="13">
        <v>45</v>
      </c>
      <c r="B56" s="11" t="s">
        <v>174</v>
      </c>
      <c r="C56" s="11" t="s">
        <v>855</v>
      </c>
      <c r="D56" s="11" t="s">
        <v>66</v>
      </c>
      <c r="E56" s="14"/>
      <c r="F56" s="14">
        <v>1.85</v>
      </c>
      <c r="G56" s="15">
        <v>20</v>
      </c>
      <c r="H56" s="15">
        <v>7841000</v>
      </c>
      <c r="I56" s="189">
        <v>1.1299999999999999</v>
      </c>
      <c r="J56" s="15">
        <v>4255000</v>
      </c>
      <c r="K56" s="15">
        <v>0</v>
      </c>
      <c r="L56" s="15">
        <v>8860330</v>
      </c>
      <c r="M56" s="15">
        <v>0</v>
      </c>
      <c r="N56" s="15">
        <v>0</v>
      </c>
      <c r="O56" s="15">
        <v>0</v>
      </c>
      <c r="P56" s="15">
        <v>8860330</v>
      </c>
      <c r="Q56" s="15">
        <v>823305</v>
      </c>
      <c r="R56" s="15"/>
      <c r="S56" s="15"/>
      <c r="T56" s="15"/>
      <c r="U56" s="15">
        <v>9000000</v>
      </c>
      <c r="V56" s="15"/>
      <c r="W56" s="15"/>
      <c r="X56" s="15"/>
      <c r="Y56" s="15">
        <v>0</v>
      </c>
      <c r="Z56" s="15"/>
      <c r="AA56" s="15"/>
      <c r="AB56" s="15"/>
      <c r="AC56" s="15"/>
      <c r="AD56" s="15"/>
      <c r="AE56" s="15"/>
      <c r="AF56" s="15"/>
      <c r="AG56" s="15"/>
      <c r="AH56" s="15"/>
      <c r="AI56" s="15"/>
      <c r="AJ56" s="15"/>
      <c r="AK56" s="15"/>
      <c r="AL56" s="15"/>
      <c r="AM56" s="15"/>
      <c r="AN56" s="15">
        <v>0</v>
      </c>
      <c r="AO56" s="15">
        <v>0</v>
      </c>
      <c r="AP56" s="15">
        <v>8037025</v>
      </c>
      <c r="AQ56" s="15"/>
      <c r="AR56" s="15"/>
      <c r="AS56" s="15">
        <v>80370</v>
      </c>
      <c r="AT56" s="15">
        <v>0</v>
      </c>
      <c r="AU56" s="15"/>
      <c r="AV56" s="15">
        <v>7956655</v>
      </c>
    </row>
    <row r="57" spans="1:48" ht="12" customHeight="1" x14ac:dyDescent="0.3">
      <c r="A57" s="13">
        <v>46</v>
      </c>
      <c r="B57" s="11" t="s">
        <v>142</v>
      </c>
      <c r="C57" s="11" t="s">
        <v>855</v>
      </c>
      <c r="D57" s="11" t="s">
        <v>66</v>
      </c>
      <c r="E57" s="14"/>
      <c r="F57" s="14">
        <v>1.85</v>
      </c>
      <c r="G57" s="15">
        <v>20</v>
      </c>
      <c r="H57" s="15">
        <v>7841000</v>
      </c>
      <c r="I57" s="189">
        <v>1.1299999999999999</v>
      </c>
      <c r="J57" s="15">
        <v>4255000</v>
      </c>
      <c r="K57" s="15">
        <v>0</v>
      </c>
      <c r="L57" s="15">
        <v>8860330</v>
      </c>
      <c r="M57" s="15">
        <v>0</v>
      </c>
      <c r="N57" s="15">
        <v>0</v>
      </c>
      <c r="O57" s="15">
        <v>0</v>
      </c>
      <c r="P57" s="15">
        <v>8860330</v>
      </c>
      <c r="Q57" s="15">
        <v>823305</v>
      </c>
      <c r="R57" s="15"/>
      <c r="S57" s="15"/>
      <c r="T57" s="15"/>
      <c r="U57" s="15">
        <v>9000000</v>
      </c>
      <c r="V57" s="15"/>
      <c r="W57" s="15"/>
      <c r="X57" s="15"/>
      <c r="Y57" s="15">
        <v>0</v>
      </c>
      <c r="Z57" s="15"/>
      <c r="AA57" s="15"/>
      <c r="AB57" s="15"/>
      <c r="AC57" s="15"/>
      <c r="AD57" s="15"/>
      <c r="AE57" s="15"/>
      <c r="AF57" s="15"/>
      <c r="AG57" s="15"/>
      <c r="AH57" s="15"/>
      <c r="AI57" s="15"/>
      <c r="AJ57" s="15"/>
      <c r="AK57" s="15"/>
      <c r="AL57" s="15"/>
      <c r="AM57" s="15"/>
      <c r="AN57" s="15">
        <v>0</v>
      </c>
      <c r="AO57" s="15">
        <v>0</v>
      </c>
      <c r="AP57" s="15">
        <v>8037025</v>
      </c>
      <c r="AQ57" s="15"/>
      <c r="AR57" s="15"/>
      <c r="AS57" s="15">
        <v>80370</v>
      </c>
      <c r="AT57" s="15">
        <v>0</v>
      </c>
      <c r="AU57" s="15"/>
      <c r="AV57" s="15">
        <v>7956655</v>
      </c>
    </row>
    <row r="58" spans="1:48" ht="12" customHeight="1" x14ac:dyDescent="0.3">
      <c r="A58" s="13">
        <v>0</v>
      </c>
      <c r="B58" s="11" t="s">
        <v>40</v>
      </c>
      <c r="C58" s="11" t="s">
        <v>855</v>
      </c>
      <c r="D58" s="11"/>
      <c r="E58" s="14"/>
      <c r="F58" s="14">
        <v>17.02</v>
      </c>
      <c r="G58" s="15">
        <v>180</v>
      </c>
      <c r="H58" s="15">
        <v>82783000</v>
      </c>
      <c r="I58" s="189">
        <v>10.17</v>
      </c>
      <c r="J58" s="15">
        <v>39146000</v>
      </c>
      <c r="K58" s="15">
        <v>0</v>
      </c>
      <c r="L58" s="15">
        <v>93544790</v>
      </c>
      <c r="M58" s="15">
        <v>0</v>
      </c>
      <c r="N58" s="15">
        <v>0</v>
      </c>
      <c r="O58" s="15">
        <v>0</v>
      </c>
      <c r="P58" s="15">
        <v>93544790</v>
      </c>
      <c r="Q58" s="15">
        <v>8692215</v>
      </c>
      <c r="R58" s="15"/>
      <c r="S58" s="15"/>
      <c r="T58" s="15"/>
      <c r="U58" s="15">
        <v>109800000</v>
      </c>
      <c r="V58" s="15"/>
      <c r="W58" s="15"/>
      <c r="X58" s="15"/>
      <c r="Y58" s="15">
        <v>780350</v>
      </c>
      <c r="Z58" s="15"/>
      <c r="AA58" s="15"/>
      <c r="AB58" s="15"/>
      <c r="AC58" s="15"/>
      <c r="AD58" s="15"/>
      <c r="AE58" s="15"/>
      <c r="AF58" s="15"/>
      <c r="AG58" s="15"/>
      <c r="AH58" s="15"/>
      <c r="AI58" s="15"/>
      <c r="AJ58" s="15"/>
      <c r="AK58" s="15"/>
      <c r="AL58" s="15"/>
      <c r="AM58" s="15"/>
      <c r="AN58" s="15">
        <v>39018</v>
      </c>
      <c r="AO58" s="15">
        <v>0</v>
      </c>
      <c r="AP58" s="15">
        <v>84813557</v>
      </c>
      <c r="AQ58" s="15"/>
      <c r="AR58" s="15"/>
      <c r="AS58" s="15">
        <v>830697</v>
      </c>
      <c r="AT58" s="15">
        <v>0</v>
      </c>
      <c r="AU58" s="15"/>
      <c r="AV58" s="15">
        <v>83982860</v>
      </c>
    </row>
    <row r="59" spans="1:48" ht="12" customHeight="1" x14ac:dyDescent="0.3">
      <c r="A59" s="13">
        <v>47</v>
      </c>
      <c r="B59" s="11" t="s">
        <v>145</v>
      </c>
      <c r="C59" s="11" t="s">
        <v>855</v>
      </c>
      <c r="D59" s="11" t="s">
        <v>115</v>
      </c>
      <c r="E59" s="14"/>
      <c r="F59" s="14">
        <v>2.41</v>
      </c>
      <c r="G59" s="15">
        <v>20</v>
      </c>
      <c r="H59" s="15">
        <v>16238000</v>
      </c>
      <c r="I59" s="189">
        <v>1.1299999999999999</v>
      </c>
      <c r="J59" s="15">
        <v>5543000</v>
      </c>
      <c r="K59" s="15">
        <v>0</v>
      </c>
      <c r="L59" s="15">
        <v>18348940</v>
      </c>
      <c r="M59" s="15">
        <v>0</v>
      </c>
      <c r="N59" s="15">
        <v>0</v>
      </c>
      <c r="O59" s="15">
        <v>0</v>
      </c>
      <c r="P59" s="15">
        <v>18348940</v>
      </c>
      <c r="Q59" s="15">
        <v>1704990</v>
      </c>
      <c r="R59" s="15"/>
      <c r="S59" s="15"/>
      <c r="T59" s="15"/>
      <c r="U59" s="15">
        <v>19800000</v>
      </c>
      <c r="V59" s="15"/>
      <c r="W59" s="15"/>
      <c r="X59" s="15"/>
      <c r="Y59" s="15">
        <v>0</v>
      </c>
      <c r="Z59" s="15"/>
      <c r="AA59" s="15"/>
      <c r="AB59" s="15"/>
      <c r="AC59" s="15"/>
      <c r="AD59" s="15"/>
      <c r="AE59" s="15"/>
      <c r="AF59" s="15"/>
      <c r="AG59" s="15"/>
      <c r="AH59" s="15"/>
      <c r="AI59" s="15"/>
      <c r="AJ59" s="15"/>
      <c r="AK59" s="15"/>
      <c r="AL59" s="15"/>
      <c r="AM59" s="15"/>
      <c r="AN59" s="15">
        <v>0</v>
      </c>
      <c r="AO59" s="15">
        <v>0</v>
      </c>
      <c r="AP59" s="15">
        <v>16643950</v>
      </c>
      <c r="AQ59" s="15"/>
      <c r="AR59" s="15"/>
      <c r="AS59" s="15">
        <v>149000</v>
      </c>
      <c r="AT59" s="15">
        <v>0</v>
      </c>
      <c r="AU59" s="15"/>
      <c r="AV59" s="15">
        <v>16494950</v>
      </c>
    </row>
    <row r="60" spans="1:48" ht="12" customHeight="1" x14ac:dyDescent="0.3">
      <c r="A60" s="13">
        <v>48</v>
      </c>
      <c r="B60" s="11" t="s">
        <v>147</v>
      </c>
      <c r="C60" s="11" t="s">
        <v>855</v>
      </c>
      <c r="D60" s="11" t="s">
        <v>61</v>
      </c>
      <c r="E60" s="14"/>
      <c r="F60" s="14">
        <v>2.41</v>
      </c>
      <c r="G60" s="15">
        <v>20</v>
      </c>
      <c r="H60" s="15">
        <v>13054000</v>
      </c>
      <c r="I60" s="189">
        <v>1.1299999999999999</v>
      </c>
      <c r="J60" s="15">
        <v>5543000</v>
      </c>
      <c r="K60" s="15">
        <v>0</v>
      </c>
      <c r="L60" s="15">
        <v>14751020</v>
      </c>
      <c r="M60" s="15">
        <v>0</v>
      </c>
      <c r="N60" s="15">
        <v>0</v>
      </c>
      <c r="O60" s="15">
        <v>0</v>
      </c>
      <c r="P60" s="15">
        <v>14751020</v>
      </c>
      <c r="Q60" s="15">
        <v>1370670</v>
      </c>
      <c r="R60" s="15"/>
      <c r="S60" s="15"/>
      <c r="T60" s="15"/>
      <c r="U60" s="15">
        <v>12600000</v>
      </c>
      <c r="V60" s="15"/>
      <c r="W60" s="15"/>
      <c r="X60" s="15"/>
      <c r="Y60" s="15">
        <v>780350</v>
      </c>
      <c r="Z60" s="15"/>
      <c r="AA60" s="15"/>
      <c r="AB60" s="15"/>
      <c r="AC60" s="15"/>
      <c r="AD60" s="15"/>
      <c r="AE60" s="15"/>
      <c r="AF60" s="15"/>
      <c r="AG60" s="15"/>
      <c r="AH60" s="15"/>
      <c r="AI60" s="15"/>
      <c r="AJ60" s="15"/>
      <c r="AK60" s="15"/>
      <c r="AL60" s="15"/>
      <c r="AM60" s="15"/>
      <c r="AN60" s="15">
        <v>39018</v>
      </c>
      <c r="AO60" s="15">
        <v>0</v>
      </c>
      <c r="AP60" s="15">
        <v>13341332</v>
      </c>
      <c r="AQ60" s="15"/>
      <c r="AR60" s="15"/>
      <c r="AS60" s="15">
        <v>133413</v>
      </c>
      <c r="AT60" s="15">
        <v>0</v>
      </c>
      <c r="AU60" s="15"/>
      <c r="AV60" s="15">
        <v>13207919</v>
      </c>
    </row>
    <row r="61" spans="1:48" ht="12" customHeight="1" x14ac:dyDescent="0.3">
      <c r="A61" s="13">
        <v>49</v>
      </c>
      <c r="B61" s="11" t="s">
        <v>149</v>
      </c>
      <c r="C61" s="11" t="s">
        <v>855</v>
      </c>
      <c r="D61" s="11" t="s">
        <v>66</v>
      </c>
      <c r="E61" s="14"/>
      <c r="F61" s="14">
        <v>1.85</v>
      </c>
      <c r="G61" s="15">
        <v>20</v>
      </c>
      <c r="H61" s="15">
        <v>7801000</v>
      </c>
      <c r="I61" s="189">
        <v>1.1299999999999999</v>
      </c>
      <c r="J61" s="15">
        <v>4255000</v>
      </c>
      <c r="K61" s="15">
        <v>0</v>
      </c>
      <c r="L61" s="15">
        <v>8815130</v>
      </c>
      <c r="M61" s="15">
        <v>0</v>
      </c>
      <c r="N61" s="15">
        <v>0</v>
      </c>
      <c r="O61" s="15">
        <v>0</v>
      </c>
      <c r="P61" s="15">
        <v>8815130</v>
      </c>
      <c r="Q61" s="15">
        <v>819105</v>
      </c>
      <c r="R61" s="15"/>
      <c r="S61" s="15"/>
      <c r="T61" s="15"/>
      <c r="U61" s="15">
        <v>9000000</v>
      </c>
      <c r="V61" s="15"/>
      <c r="W61" s="15"/>
      <c r="X61" s="15"/>
      <c r="Y61" s="15">
        <v>0</v>
      </c>
      <c r="Z61" s="15"/>
      <c r="AA61" s="15"/>
      <c r="AB61" s="15"/>
      <c r="AC61" s="15"/>
      <c r="AD61" s="15"/>
      <c r="AE61" s="15"/>
      <c r="AF61" s="15"/>
      <c r="AG61" s="15"/>
      <c r="AH61" s="15"/>
      <c r="AI61" s="15"/>
      <c r="AJ61" s="15"/>
      <c r="AK61" s="15"/>
      <c r="AL61" s="15"/>
      <c r="AM61" s="15"/>
      <c r="AN61" s="15">
        <v>0</v>
      </c>
      <c r="AO61" s="15">
        <v>0</v>
      </c>
      <c r="AP61" s="15">
        <v>7996025</v>
      </c>
      <c r="AQ61" s="15"/>
      <c r="AR61" s="15"/>
      <c r="AS61" s="15">
        <v>79960</v>
      </c>
      <c r="AT61" s="15">
        <v>0</v>
      </c>
      <c r="AU61" s="15"/>
      <c r="AV61" s="15">
        <v>7916065</v>
      </c>
    </row>
    <row r="62" spans="1:48" ht="12" customHeight="1" x14ac:dyDescent="0.3">
      <c r="A62" s="13">
        <v>50</v>
      </c>
      <c r="B62" s="11" t="s">
        <v>151</v>
      </c>
      <c r="C62" s="11" t="s">
        <v>855</v>
      </c>
      <c r="D62" s="11" t="s">
        <v>66</v>
      </c>
      <c r="E62" s="14"/>
      <c r="F62" s="14">
        <v>1.85</v>
      </c>
      <c r="G62" s="15">
        <v>20</v>
      </c>
      <c r="H62" s="15">
        <v>8318000</v>
      </c>
      <c r="I62" s="189">
        <v>1.1299999999999999</v>
      </c>
      <c r="J62" s="15">
        <v>4255000</v>
      </c>
      <c r="K62" s="15">
        <v>0</v>
      </c>
      <c r="L62" s="15">
        <v>9399340</v>
      </c>
      <c r="M62" s="15">
        <v>0</v>
      </c>
      <c r="N62" s="15">
        <v>0</v>
      </c>
      <c r="O62" s="15">
        <v>0</v>
      </c>
      <c r="P62" s="15">
        <v>9399340</v>
      </c>
      <c r="Q62" s="15">
        <v>873390</v>
      </c>
      <c r="R62" s="15"/>
      <c r="S62" s="15"/>
      <c r="T62" s="15"/>
      <c r="U62" s="15">
        <v>12600000</v>
      </c>
      <c r="V62" s="15"/>
      <c r="W62" s="15"/>
      <c r="X62" s="15"/>
      <c r="Y62" s="15">
        <v>0</v>
      </c>
      <c r="Z62" s="15"/>
      <c r="AA62" s="15"/>
      <c r="AB62" s="15"/>
      <c r="AC62" s="15"/>
      <c r="AD62" s="15"/>
      <c r="AE62" s="15"/>
      <c r="AF62" s="15"/>
      <c r="AG62" s="15"/>
      <c r="AH62" s="15"/>
      <c r="AI62" s="15"/>
      <c r="AJ62" s="15"/>
      <c r="AK62" s="15"/>
      <c r="AL62" s="15"/>
      <c r="AM62" s="15"/>
      <c r="AN62" s="15">
        <v>0</v>
      </c>
      <c r="AO62" s="15">
        <v>0</v>
      </c>
      <c r="AP62" s="15">
        <v>8525950</v>
      </c>
      <c r="AQ62" s="15"/>
      <c r="AR62" s="15"/>
      <c r="AS62" s="15">
        <v>85260</v>
      </c>
      <c r="AT62" s="15">
        <v>0</v>
      </c>
      <c r="AU62" s="15"/>
      <c r="AV62" s="15">
        <v>8440690</v>
      </c>
    </row>
    <row r="63" spans="1:48" ht="12" customHeight="1" x14ac:dyDescent="0.3">
      <c r="A63" s="13">
        <v>51</v>
      </c>
      <c r="B63" s="11" t="s">
        <v>153</v>
      </c>
      <c r="C63" s="11" t="s">
        <v>855</v>
      </c>
      <c r="D63" s="11" t="s">
        <v>66</v>
      </c>
      <c r="E63" s="14"/>
      <c r="F63" s="14">
        <v>1.85</v>
      </c>
      <c r="G63" s="15">
        <v>20</v>
      </c>
      <c r="H63" s="15">
        <v>8318000</v>
      </c>
      <c r="I63" s="189">
        <v>1.1299999999999999</v>
      </c>
      <c r="J63" s="15">
        <v>4255000</v>
      </c>
      <c r="K63" s="15">
        <v>0</v>
      </c>
      <c r="L63" s="15">
        <v>9399340</v>
      </c>
      <c r="M63" s="15">
        <v>0</v>
      </c>
      <c r="N63" s="15">
        <v>0</v>
      </c>
      <c r="O63" s="15">
        <v>0</v>
      </c>
      <c r="P63" s="15">
        <v>9399340</v>
      </c>
      <c r="Q63" s="15">
        <v>873390</v>
      </c>
      <c r="R63" s="15"/>
      <c r="S63" s="15"/>
      <c r="T63" s="15"/>
      <c r="U63" s="15">
        <v>9000000</v>
      </c>
      <c r="V63" s="15"/>
      <c r="W63" s="15"/>
      <c r="X63" s="15"/>
      <c r="Y63" s="15">
        <v>0</v>
      </c>
      <c r="Z63" s="15"/>
      <c r="AA63" s="15"/>
      <c r="AB63" s="15"/>
      <c r="AC63" s="15"/>
      <c r="AD63" s="15"/>
      <c r="AE63" s="15"/>
      <c r="AF63" s="15"/>
      <c r="AG63" s="15"/>
      <c r="AH63" s="15"/>
      <c r="AI63" s="15"/>
      <c r="AJ63" s="15"/>
      <c r="AK63" s="15"/>
      <c r="AL63" s="15"/>
      <c r="AM63" s="15"/>
      <c r="AN63" s="15">
        <v>0</v>
      </c>
      <c r="AO63" s="15">
        <v>0</v>
      </c>
      <c r="AP63" s="15">
        <v>8525950</v>
      </c>
      <c r="AQ63" s="15"/>
      <c r="AR63" s="15"/>
      <c r="AS63" s="15">
        <v>85260</v>
      </c>
      <c r="AT63" s="15">
        <v>0</v>
      </c>
      <c r="AU63" s="15"/>
      <c r="AV63" s="15">
        <v>8440690</v>
      </c>
    </row>
    <row r="64" spans="1:48" ht="12" customHeight="1" x14ac:dyDescent="0.3">
      <c r="A64" s="13">
        <v>52</v>
      </c>
      <c r="B64" s="11" t="s">
        <v>161</v>
      </c>
      <c r="C64" s="11" t="s">
        <v>855</v>
      </c>
      <c r="D64" s="11" t="s">
        <v>66</v>
      </c>
      <c r="E64" s="14"/>
      <c r="F64" s="14">
        <v>1.1000000000000001</v>
      </c>
      <c r="G64" s="15">
        <v>20</v>
      </c>
      <c r="H64" s="15">
        <v>6527000</v>
      </c>
      <c r="I64" s="189">
        <v>1.1299999999999999</v>
      </c>
      <c r="J64" s="15">
        <v>2530000</v>
      </c>
      <c r="K64" s="15">
        <v>0</v>
      </c>
      <c r="L64" s="15">
        <v>7375510</v>
      </c>
      <c r="M64" s="15">
        <v>0</v>
      </c>
      <c r="N64" s="15">
        <v>0</v>
      </c>
      <c r="O64" s="15">
        <v>0</v>
      </c>
      <c r="P64" s="15">
        <v>7375510</v>
      </c>
      <c r="Q64" s="15">
        <v>685335</v>
      </c>
      <c r="R64" s="15"/>
      <c r="S64" s="15"/>
      <c r="T64" s="15"/>
      <c r="U64" s="15">
        <v>9000000</v>
      </c>
      <c r="V64" s="15"/>
      <c r="W64" s="15"/>
      <c r="X64" s="15"/>
      <c r="Y64" s="15">
        <v>0</v>
      </c>
      <c r="Z64" s="15"/>
      <c r="AA64" s="15"/>
      <c r="AB64" s="15"/>
      <c r="AC64" s="15"/>
      <c r="AD64" s="15"/>
      <c r="AE64" s="15"/>
      <c r="AF64" s="15"/>
      <c r="AG64" s="15"/>
      <c r="AH64" s="15"/>
      <c r="AI64" s="15"/>
      <c r="AJ64" s="15"/>
      <c r="AK64" s="15"/>
      <c r="AL64" s="15"/>
      <c r="AM64" s="15"/>
      <c r="AN64" s="15">
        <v>0</v>
      </c>
      <c r="AO64" s="15">
        <v>0</v>
      </c>
      <c r="AP64" s="15">
        <v>6690175</v>
      </c>
      <c r="AQ64" s="15"/>
      <c r="AR64" s="15"/>
      <c r="AS64" s="15">
        <v>66902</v>
      </c>
      <c r="AT64" s="15">
        <v>0</v>
      </c>
      <c r="AU64" s="15"/>
      <c r="AV64" s="15">
        <v>6623273</v>
      </c>
    </row>
    <row r="65" spans="1:48" ht="12" customHeight="1" x14ac:dyDescent="0.3">
      <c r="A65" s="13">
        <v>53</v>
      </c>
      <c r="B65" s="11" t="s">
        <v>155</v>
      </c>
      <c r="C65" s="11" t="s">
        <v>855</v>
      </c>
      <c r="D65" s="11" t="s">
        <v>66</v>
      </c>
      <c r="E65" s="14"/>
      <c r="F65" s="14">
        <v>1.85</v>
      </c>
      <c r="G65" s="15">
        <v>20</v>
      </c>
      <c r="H65" s="15">
        <v>7841000</v>
      </c>
      <c r="I65" s="189">
        <v>1.1299999999999999</v>
      </c>
      <c r="J65" s="15">
        <v>4255000</v>
      </c>
      <c r="K65" s="15">
        <v>0</v>
      </c>
      <c r="L65" s="15">
        <v>8860330</v>
      </c>
      <c r="M65" s="15">
        <v>0</v>
      </c>
      <c r="N65" s="15">
        <v>0</v>
      </c>
      <c r="O65" s="15">
        <v>0</v>
      </c>
      <c r="P65" s="15">
        <v>8860330</v>
      </c>
      <c r="Q65" s="15">
        <v>823305</v>
      </c>
      <c r="R65" s="15"/>
      <c r="S65" s="15"/>
      <c r="T65" s="15"/>
      <c r="U65" s="15">
        <v>16200000</v>
      </c>
      <c r="V65" s="15"/>
      <c r="W65" s="15"/>
      <c r="X65" s="15"/>
      <c r="Y65" s="15">
        <v>0</v>
      </c>
      <c r="Z65" s="15"/>
      <c r="AA65" s="15"/>
      <c r="AB65" s="15"/>
      <c r="AC65" s="15"/>
      <c r="AD65" s="15"/>
      <c r="AE65" s="15"/>
      <c r="AF65" s="15"/>
      <c r="AG65" s="15"/>
      <c r="AH65" s="15"/>
      <c r="AI65" s="15"/>
      <c r="AJ65" s="15"/>
      <c r="AK65" s="15"/>
      <c r="AL65" s="15"/>
      <c r="AM65" s="15"/>
      <c r="AN65" s="15">
        <v>0</v>
      </c>
      <c r="AO65" s="15">
        <v>0</v>
      </c>
      <c r="AP65" s="15">
        <v>8037025</v>
      </c>
      <c r="AQ65" s="15"/>
      <c r="AR65" s="15"/>
      <c r="AS65" s="15">
        <v>80370</v>
      </c>
      <c r="AT65" s="15">
        <v>0</v>
      </c>
      <c r="AU65" s="15"/>
      <c r="AV65" s="15">
        <v>7956655</v>
      </c>
    </row>
    <row r="66" spans="1:48" ht="12" customHeight="1" x14ac:dyDescent="0.3">
      <c r="A66" s="13">
        <v>54</v>
      </c>
      <c r="B66" s="11" t="s">
        <v>157</v>
      </c>
      <c r="C66" s="11" t="s">
        <v>855</v>
      </c>
      <c r="D66" s="11" t="s">
        <v>66</v>
      </c>
      <c r="E66" s="14"/>
      <c r="F66" s="14">
        <v>1.85</v>
      </c>
      <c r="G66" s="15">
        <v>20</v>
      </c>
      <c r="H66" s="15">
        <v>7323000</v>
      </c>
      <c r="I66" s="189">
        <v>1.1299999999999999</v>
      </c>
      <c r="J66" s="15">
        <v>4255000</v>
      </c>
      <c r="K66" s="15">
        <v>0</v>
      </c>
      <c r="L66" s="15">
        <v>8274990</v>
      </c>
      <c r="M66" s="15">
        <v>0</v>
      </c>
      <c r="N66" s="15">
        <v>0</v>
      </c>
      <c r="O66" s="15">
        <v>0</v>
      </c>
      <c r="P66" s="15">
        <v>8274990</v>
      </c>
      <c r="Q66" s="15">
        <v>768915</v>
      </c>
      <c r="R66" s="15"/>
      <c r="S66" s="15"/>
      <c r="T66" s="15"/>
      <c r="U66" s="15">
        <v>12600000</v>
      </c>
      <c r="V66" s="15"/>
      <c r="W66" s="15"/>
      <c r="X66" s="15"/>
      <c r="Y66" s="15">
        <v>0</v>
      </c>
      <c r="Z66" s="15"/>
      <c r="AA66" s="15"/>
      <c r="AB66" s="15"/>
      <c r="AC66" s="15"/>
      <c r="AD66" s="15"/>
      <c r="AE66" s="15"/>
      <c r="AF66" s="15"/>
      <c r="AG66" s="15"/>
      <c r="AH66" s="15"/>
      <c r="AI66" s="15"/>
      <c r="AJ66" s="15"/>
      <c r="AK66" s="15"/>
      <c r="AL66" s="15"/>
      <c r="AM66" s="15"/>
      <c r="AN66" s="15">
        <v>0</v>
      </c>
      <c r="AO66" s="15">
        <v>0</v>
      </c>
      <c r="AP66" s="15">
        <v>7506075</v>
      </c>
      <c r="AQ66" s="15"/>
      <c r="AR66" s="15"/>
      <c r="AS66" s="15">
        <v>75061</v>
      </c>
      <c r="AT66" s="15">
        <v>0</v>
      </c>
      <c r="AU66" s="15"/>
      <c r="AV66" s="15">
        <v>7431014</v>
      </c>
    </row>
    <row r="67" spans="1:48" ht="12" customHeight="1" x14ac:dyDescent="0.3">
      <c r="A67" s="13">
        <v>55</v>
      </c>
      <c r="B67" s="11" t="s">
        <v>159</v>
      </c>
      <c r="C67" s="11" t="s">
        <v>855</v>
      </c>
      <c r="D67" s="11" t="s">
        <v>66</v>
      </c>
      <c r="E67" s="14"/>
      <c r="F67" s="14">
        <v>1.85</v>
      </c>
      <c r="G67" s="15">
        <v>20</v>
      </c>
      <c r="H67" s="15">
        <v>7363000</v>
      </c>
      <c r="I67" s="189">
        <v>1.1299999999999999</v>
      </c>
      <c r="J67" s="15">
        <v>4255000</v>
      </c>
      <c r="K67" s="15">
        <v>0</v>
      </c>
      <c r="L67" s="15">
        <v>8320190</v>
      </c>
      <c r="M67" s="15">
        <v>0</v>
      </c>
      <c r="N67" s="15">
        <v>0</v>
      </c>
      <c r="O67" s="15">
        <v>0</v>
      </c>
      <c r="P67" s="15">
        <v>8320190</v>
      </c>
      <c r="Q67" s="15">
        <v>773115</v>
      </c>
      <c r="R67" s="15"/>
      <c r="S67" s="15"/>
      <c r="T67" s="15"/>
      <c r="U67" s="15">
        <v>9000000</v>
      </c>
      <c r="V67" s="15"/>
      <c r="W67" s="15"/>
      <c r="X67" s="15"/>
      <c r="Y67" s="15">
        <v>0</v>
      </c>
      <c r="Z67" s="15"/>
      <c r="AA67" s="15"/>
      <c r="AB67" s="15"/>
      <c r="AC67" s="15"/>
      <c r="AD67" s="15"/>
      <c r="AE67" s="15"/>
      <c r="AF67" s="15"/>
      <c r="AG67" s="15"/>
      <c r="AH67" s="15"/>
      <c r="AI67" s="15"/>
      <c r="AJ67" s="15"/>
      <c r="AK67" s="15"/>
      <c r="AL67" s="15"/>
      <c r="AM67" s="15"/>
      <c r="AN67" s="15">
        <v>0</v>
      </c>
      <c r="AO67" s="15">
        <v>0</v>
      </c>
      <c r="AP67" s="15">
        <v>7547075</v>
      </c>
      <c r="AQ67" s="15"/>
      <c r="AR67" s="15"/>
      <c r="AS67" s="15">
        <v>75471</v>
      </c>
      <c r="AT67" s="15">
        <v>0</v>
      </c>
      <c r="AU67" s="15"/>
      <c r="AV67" s="15">
        <v>7471604</v>
      </c>
    </row>
    <row r="68" spans="1:48" ht="12" customHeight="1" x14ac:dyDescent="0.3">
      <c r="A68" s="13">
        <v>0</v>
      </c>
      <c r="B68" s="11" t="s">
        <v>40</v>
      </c>
      <c r="C68" s="11" t="s">
        <v>855</v>
      </c>
      <c r="D68" s="11"/>
      <c r="E68" s="14"/>
      <c r="F68" s="14">
        <v>14.62</v>
      </c>
      <c r="G68" s="15">
        <v>110</v>
      </c>
      <c r="H68" s="15">
        <v>58174000</v>
      </c>
      <c r="I68" s="189">
        <v>7.78</v>
      </c>
      <c r="J68" s="15">
        <v>29371000</v>
      </c>
      <c r="K68" s="15">
        <v>0</v>
      </c>
      <c r="L68" s="15">
        <v>65314120</v>
      </c>
      <c r="M68" s="15">
        <v>0</v>
      </c>
      <c r="N68" s="15">
        <v>0</v>
      </c>
      <c r="O68" s="15">
        <v>0</v>
      </c>
      <c r="P68" s="15">
        <v>65314120</v>
      </c>
      <c r="Q68" s="15">
        <v>5767020</v>
      </c>
      <c r="R68" s="15"/>
      <c r="S68" s="15"/>
      <c r="T68" s="15"/>
      <c r="U68" s="15">
        <v>73800000</v>
      </c>
      <c r="V68" s="15"/>
      <c r="W68" s="15"/>
      <c r="X68" s="15"/>
      <c r="Y68" s="15">
        <v>10964450</v>
      </c>
      <c r="Z68" s="15"/>
      <c r="AA68" s="15"/>
      <c r="AB68" s="15"/>
      <c r="AC68" s="15"/>
      <c r="AD68" s="15"/>
      <c r="AE68" s="15"/>
      <c r="AF68" s="15"/>
      <c r="AG68" s="15"/>
      <c r="AH68" s="15"/>
      <c r="AI68" s="15"/>
      <c r="AJ68" s="15"/>
      <c r="AK68" s="15"/>
      <c r="AL68" s="15"/>
      <c r="AM68" s="15"/>
      <c r="AN68" s="15">
        <v>680420</v>
      </c>
      <c r="AO68" s="15">
        <v>0</v>
      </c>
      <c r="AP68" s="15">
        <v>58866680</v>
      </c>
      <c r="AQ68" s="15"/>
      <c r="AR68" s="15"/>
      <c r="AS68" s="15">
        <v>576372</v>
      </c>
      <c r="AT68" s="15">
        <v>0</v>
      </c>
      <c r="AU68" s="15"/>
      <c r="AV68" s="15">
        <v>58290308</v>
      </c>
    </row>
    <row r="69" spans="1:48" ht="12" customHeight="1" x14ac:dyDescent="0.3">
      <c r="A69" s="13">
        <v>56</v>
      </c>
      <c r="B69" s="11" t="s">
        <v>164</v>
      </c>
      <c r="C69" s="11" t="s">
        <v>855</v>
      </c>
      <c r="D69" s="11"/>
      <c r="E69" s="14"/>
      <c r="F69" s="14">
        <v>4.8099999999999996</v>
      </c>
      <c r="G69" s="15">
        <v>20</v>
      </c>
      <c r="H69" s="15">
        <v>16238000</v>
      </c>
      <c r="I69" s="189">
        <v>1.1299999999999999</v>
      </c>
      <c r="J69" s="15">
        <v>11063000</v>
      </c>
      <c r="K69" s="15">
        <v>0</v>
      </c>
      <c r="L69" s="15">
        <v>18348940</v>
      </c>
      <c r="M69" s="15">
        <v>0</v>
      </c>
      <c r="N69" s="15">
        <v>0</v>
      </c>
      <c r="O69" s="15">
        <v>0</v>
      </c>
      <c r="P69" s="15">
        <v>18348940</v>
      </c>
      <c r="Q69" s="15">
        <v>1704990</v>
      </c>
      <c r="R69" s="15"/>
      <c r="S69" s="15"/>
      <c r="T69" s="15"/>
      <c r="U69" s="15">
        <v>9000000</v>
      </c>
      <c r="V69" s="15"/>
      <c r="W69" s="15"/>
      <c r="X69" s="15"/>
      <c r="Y69" s="15">
        <v>7643950</v>
      </c>
      <c r="Z69" s="15"/>
      <c r="AA69" s="15"/>
      <c r="AB69" s="15"/>
      <c r="AC69" s="15"/>
      <c r="AD69" s="15"/>
      <c r="AE69" s="15"/>
      <c r="AF69" s="15"/>
      <c r="AG69" s="15"/>
      <c r="AH69" s="15"/>
      <c r="AI69" s="15"/>
      <c r="AJ69" s="15"/>
      <c r="AK69" s="15"/>
      <c r="AL69" s="15"/>
      <c r="AM69" s="15"/>
      <c r="AN69" s="15">
        <v>514395</v>
      </c>
      <c r="AO69" s="15">
        <v>0</v>
      </c>
      <c r="AP69" s="15">
        <v>16129555</v>
      </c>
      <c r="AQ69" s="15"/>
      <c r="AR69" s="15"/>
      <c r="AS69" s="15">
        <v>149000</v>
      </c>
      <c r="AT69" s="15">
        <v>0</v>
      </c>
      <c r="AU69" s="15"/>
      <c r="AV69" s="15">
        <v>15980555</v>
      </c>
    </row>
    <row r="70" spans="1:48" ht="12" customHeight="1" x14ac:dyDescent="0.3">
      <c r="A70" s="13">
        <v>57</v>
      </c>
      <c r="B70" s="11" t="s">
        <v>166</v>
      </c>
      <c r="C70" s="11" t="s">
        <v>855</v>
      </c>
      <c r="D70" s="11" t="s">
        <v>61</v>
      </c>
      <c r="E70" s="14"/>
      <c r="F70" s="14">
        <v>2.41</v>
      </c>
      <c r="G70" s="15">
        <v>20</v>
      </c>
      <c r="H70" s="15">
        <v>12020000</v>
      </c>
      <c r="I70" s="189">
        <v>1.1299999999999999</v>
      </c>
      <c r="J70" s="15">
        <v>5543000</v>
      </c>
      <c r="K70" s="15">
        <v>0</v>
      </c>
      <c r="L70" s="15">
        <v>13582600</v>
      </c>
      <c r="M70" s="15">
        <v>0</v>
      </c>
      <c r="N70" s="15">
        <v>0</v>
      </c>
      <c r="O70" s="15">
        <v>0</v>
      </c>
      <c r="P70" s="15">
        <v>13582600</v>
      </c>
      <c r="Q70" s="15">
        <v>1262100</v>
      </c>
      <c r="R70" s="15"/>
      <c r="S70" s="15"/>
      <c r="T70" s="15"/>
      <c r="U70" s="15">
        <v>16200000</v>
      </c>
      <c r="V70" s="15"/>
      <c r="W70" s="15"/>
      <c r="X70" s="15"/>
      <c r="Y70" s="15">
        <v>0</v>
      </c>
      <c r="Z70" s="15"/>
      <c r="AA70" s="15"/>
      <c r="AB70" s="15"/>
      <c r="AC70" s="15"/>
      <c r="AD70" s="15"/>
      <c r="AE70" s="15"/>
      <c r="AF70" s="15"/>
      <c r="AG70" s="15"/>
      <c r="AH70" s="15"/>
      <c r="AI70" s="15"/>
      <c r="AJ70" s="15"/>
      <c r="AK70" s="15"/>
      <c r="AL70" s="15"/>
      <c r="AM70" s="15"/>
      <c r="AN70" s="15">
        <v>0</v>
      </c>
      <c r="AO70" s="15">
        <v>0</v>
      </c>
      <c r="AP70" s="15">
        <v>12320500</v>
      </c>
      <c r="AQ70" s="15"/>
      <c r="AR70" s="15"/>
      <c r="AS70" s="15">
        <v>123205</v>
      </c>
      <c r="AT70" s="15">
        <v>0</v>
      </c>
      <c r="AU70" s="15"/>
      <c r="AV70" s="15">
        <v>12197295</v>
      </c>
    </row>
    <row r="71" spans="1:48" ht="12" customHeight="1" x14ac:dyDescent="0.3">
      <c r="A71" s="13">
        <v>58</v>
      </c>
      <c r="B71" s="11" t="s">
        <v>188</v>
      </c>
      <c r="C71" s="11" t="s">
        <v>855</v>
      </c>
      <c r="D71" s="11" t="s">
        <v>66</v>
      </c>
      <c r="E71" s="14"/>
      <c r="F71" s="14">
        <v>1.85</v>
      </c>
      <c r="G71" s="15">
        <v>20</v>
      </c>
      <c r="H71" s="15">
        <v>12020000</v>
      </c>
      <c r="I71" s="189">
        <v>1.1299999999999999</v>
      </c>
      <c r="J71" s="15">
        <v>4255000</v>
      </c>
      <c r="K71" s="15">
        <v>0</v>
      </c>
      <c r="L71" s="15">
        <v>13582600</v>
      </c>
      <c r="M71" s="15">
        <v>0</v>
      </c>
      <c r="N71" s="15">
        <v>0</v>
      </c>
      <c r="O71" s="15">
        <v>0</v>
      </c>
      <c r="P71" s="15">
        <v>13582600</v>
      </c>
      <c r="Q71" s="15">
        <v>1262100</v>
      </c>
      <c r="R71" s="15"/>
      <c r="S71" s="15"/>
      <c r="T71" s="15"/>
      <c r="U71" s="15">
        <v>9000000</v>
      </c>
      <c r="V71" s="15"/>
      <c r="W71" s="15"/>
      <c r="X71" s="15"/>
      <c r="Y71" s="15">
        <v>3320500</v>
      </c>
      <c r="Z71" s="15"/>
      <c r="AA71" s="15"/>
      <c r="AB71" s="15"/>
      <c r="AC71" s="15"/>
      <c r="AD71" s="15"/>
      <c r="AE71" s="15"/>
      <c r="AF71" s="15"/>
      <c r="AG71" s="15"/>
      <c r="AH71" s="15"/>
      <c r="AI71" s="15"/>
      <c r="AJ71" s="15"/>
      <c r="AK71" s="15"/>
      <c r="AL71" s="15"/>
      <c r="AM71" s="15"/>
      <c r="AN71" s="15">
        <v>166025</v>
      </c>
      <c r="AO71" s="15">
        <v>0</v>
      </c>
      <c r="AP71" s="15">
        <v>12154475</v>
      </c>
      <c r="AQ71" s="15"/>
      <c r="AR71" s="15"/>
      <c r="AS71" s="15">
        <v>121545</v>
      </c>
      <c r="AT71" s="15">
        <v>0</v>
      </c>
      <c r="AU71" s="15"/>
      <c r="AV71" s="15">
        <v>12032930</v>
      </c>
    </row>
    <row r="72" spans="1:48" ht="12" customHeight="1" x14ac:dyDescent="0.3">
      <c r="A72" s="13">
        <v>59</v>
      </c>
      <c r="B72" s="11" t="s">
        <v>172</v>
      </c>
      <c r="C72" s="11" t="s">
        <v>855</v>
      </c>
      <c r="D72" s="11" t="s">
        <v>66</v>
      </c>
      <c r="E72" s="14"/>
      <c r="F72" s="14">
        <v>1.85</v>
      </c>
      <c r="G72" s="15">
        <v>0</v>
      </c>
      <c r="H72" s="15">
        <v>0</v>
      </c>
      <c r="I72" s="189">
        <v>1.1299999999999999</v>
      </c>
      <c r="J72" s="15"/>
      <c r="K72" s="15">
        <v>0</v>
      </c>
      <c r="L72" s="15">
        <v>0</v>
      </c>
      <c r="M72" s="15">
        <v>0</v>
      </c>
      <c r="N72" s="15">
        <v>0</v>
      </c>
      <c r="O72" s="15">
        <v>0</v>
      </c>
      <c r="P72" s="15">
        <v>0</v>
      </c>
      <c r="Q72" s="15">
        <v>0</v>
      </c>
      <c r="R72" s="15"/>
      <c r="S72" s="15"/>
      <c r="T72" s="15"/>
      <c r="U72" s="15">
        <v>9000000</v>
      </c>
      <c r="V72" s="15"/>
      <c r="W72" s="15"/>
      <c r="X72" s="15"/>
      <c r="Y72" s="15">
        <v>0</v>
      </c>
      <c r="Z72" s="15"/>
      <c r="AA72" s="15"/>
      <c r="AB72" s="15"/>
      <c r="AC72" s="15"/>
      <c r="AD72" s="15"/>
      <c r="AE72" s="15"/>
      <c r="AF72" s="15"/>
      <c r="AG72" s="15"/>
      <c r="AH72" s="15"/>
      <c r="AI72" s="15"/>
      <c r="AJ72" s="15"/>
      <c r="AK72" s="15"/>
      <c r="AL72" s="15"/>
      <c r="AM72" s="15"/>
      <c r="AN72" s="15">
        <v>0</v>
      </c>
      <c r="AO72" s="15">
        <v>0</v>
      </c>
      <c r="AP72" s="15">
        <v>0</v>
      </c>
      <c r="AQ72" s="15"/>
      <c r="AR72" s="15"/>
      <c r="AS72" s="15">
        <v>0</v>
      </c>
      <c r="AT72" s="15">
        <v>0</v>
      </c>
      <c r="AU72" s="15"/>
      <c r="AV72" s="15">
        <v>0</v>
      </c>
    </row>
    <row r="73" spans="1:48" ht="12" customHeight="1" x14ac:dyDescent="0.3">
      <c r="A73" s="13">
        <v>60</v>
      </c>
      <c r="B73" s="11" t="s">
        <v>168</v>
      </c>
      <c r="C73" s="11" t="s">
        <v>855</v>
      </c>
      <c r="D73" s="11" t="s">
        <v>66</v>
      </c>
      <c r="E73" s="14"/>
      <c r="F73" s="14">
        <v>1.85</v>
      </c>
      <c r="G73" s="15">
        <v>20</v>
      </c>
      <c r="H73" s="15">
        <v>7323000</v>
      </c>
      <c r="I73" s="189">
        <v>1.1299999999999999</v>
      </c>
      <c r="J73" s="15">
        <v>4255000</v>
      </c>
      <c r="K73" s="15">
        <v>0</v>
      </c>
      <c r="L73" s="15">
        <v>8274990</v>
      </c>
      <c r="M73" s="15">
        <v>0</v>
      </c>
      <c r="N73" s="15">
        <v>0</v>
      </c>
      <c r="O73" s="15">
        <v>0</v>
      </c>
      <c r="P73" s="15">
        <v>8274990</v>
      </c>
      <c r="Q73" s="15">
        <v>768915</v>
      </c>
      <c r="R73" s="15"/>
      <c r="S73" s="15"/>
      <c r="T73" s="15"/>
      <c r="U73" s="15">
        <v>9000000</v>
      </c>
      <c r="V73" s="15"/>
      <c r="W73" s="15"/>
      <c r="X73" s="15"/>
      <c r="Y73" s="15">
        <v>0</v>
      </c>
      <c r="Z73" s="15"/>
      <c r="AA73" s="15"/>
      <c r="AB73" s="15"/>
      <c r="AC73" s="15"/>
      <c r="AD73" s="15"/>
      <c r="AE73" s="15"/>
      <c r="AF73" s="15"/>
      <c r="AG73" s="15"/>
      <c r="AH73" s="15"/>
      <c r="AI73" s="15"/>
      <c r="AJ73" s="15"/>
      <c r="AK73" s="15"/>
      <c r="AL73" s="15"/>
      <c r="AM73" s="15"/>
      <c r="AN73" s="15">
        <v>0</v>
      </c>
      <c r="AO73" s="15">
        <v>0</v>
      </c>
      <c r="AP73" s="15">
        <v>7506075</v>
      </c>
      <c r="AQ73" s="15"/>
      <c r="AR73" s="15"/>
      <c r="AS73" s="15">
        <v>75061</v>
      </c>
      <c r="AT73" s="15">
        <v>0</v>
      </c>
      <c r="AU73" s="15"/>
      <c r="AV73" s="15">
        <v>7431014</v>
      </c>
    </row>
    <row r="74" spans="1:48" ht="12" customHeight="1" x14ac:dyDescent="0.3">
      <c r="A74" s="13">
        <v>61</v>
      </c>
      <c r="B74" s="11" t="s">
        <v>170</v>
      </c>
      <c r="C74" s="11" t="s">
        <v>855</v>
      </c>
      <c r="D74" s="11" t="s">
        <v>66</v>
      </c>
      <c r="E74" s="14"/>
      <c r="F74" s="14">
        <v>1.85</v>
      </c>
      <c r="G74" s="15">
        <v>17</v>
      </c>
      <c r="H74" s="15">
        <f>7323000/20*G74</f>
        <v>6224550</v>
      </c>
      <c r="I74" s="189">
        <v>1.1299999999999999</v>
      </c>
      <c r="J74" s="15">
        <v>4255000</v>
      </c>
      <c r="K74" s="15">
        <v>0</v>
      </c>
      <c r="L74" s="15">
        <v>8274990</v>
      </c>
      <c r="M74" s="15">
        <v>0</v>
      </c>
      <c r="N74" s="15">
        <v>0</v>
      </c>
      <c r="O74" s="15">
        <v>0</v>
      </c>
      <c r="P74" s="15">
        <v>8274990</v>
      </c>
      <c r="Q74" s="15">
        <v>768915</v>
      </c>
      <c r="R74" s="15"/>
      <c r="S74" s="15"/>
      <c r="T74" s="15"/>
      <c r="U74" s="15">
        <v>12600000</v>
      </c>
      <c r="V74" s="15"/>
      <c r="W74" s="15"/>
      <c r="X74" s="15"/>
      <c r="Y74" s="15">
        <v>0</v>
      </c>
      <c r="Z74" s="15"/>
      <c r="AA74" s="15"/>
      <c r="AB74" s="15"/>
      <c r="AC74" s="15"/>
      <c r="AD74" s="15"/>
      <c r="AE74" s="15"/>
      <c r="AF74" s="15"/>
      <c r="AG74" s="15"/>
      <c r="AH74" s="15"/>
      <c r="AI74" s="15"/>
      <c r="AJ74" s="15"/>
      <c r="AK74" s="15"/>
      <c r="AL74" s="15"/>
      <c r="AM74" s="15"/>
      <c r="AN74" s="15">
        <v>0</v>
      </c>
      <c r="AO74" s="15">
        <v>0</v>
      </c>
      <c r="AP74" s="15">
        <v>7506075</v>
      </c>
      <c r="AQ74" s="15"/>
      <c r="AR74" s="15"/>
      <c r="AS74" s="15">
        <v>75061</v>
      </c>
      <c r="AT74" s="15">
        <v>0</v>
      </c>
      <c r="AU74" s="15"/>
      <c r="AV74" s="15">
        <v>7431014</v>
      </c>
    </row>
    <row r="75" spans="1:48" ht="12" customHeight="1" x14ac:dyDescent="0.3">
      <c r="A75" s="13">
        <v>62</v>
      </c>
      <c r="B75" s="11" t="s">
        <v>826</v>
      </c>
      <c r="C75" s="11" t="s">
        <v>855</v>
      </c>
      <c r="D75" s="11" t="s">
        <v>66</v>
      </c>
      <c r="E75" s="14"/>
      <c r="F75" s="14">
        <v>0</v>
      </c>
      <c r="G75" s="15">
        <v>10</v>
      </c>
      <c r="H75" s="15">
        <v>3250000</v>
      </c>
      <c r="I75" s="189">
        <v>1</v>
      </c>
      <c r="J75" s="15"/>
      <c r="K75" s="15">
        <v>0</v>
      </c>
      <c r="L75" s="15">
        <v>3250000</v>
      </c>
      <c r="M75" s="15">
        <v>0</v>
      </c>
      <c r="N75" s="15">
        <v>0</v>
      </c>
      <c r="O75" s="15">
        <v>0</v>
      </c>
      <c r="P75" s="15">
        <v>3250000</v>
      </c>
      <c r="Q75" s="15">
        <v>0</v>
      </c>
      <c r="R75" s="15"/>
      <c r="S75" s="15"/>
      <c r="T75" s="15"/>
      <c r="U75" s="15">
        <v>9000000</v>
      </c>
      <c r="V75" s="15"/>
      <c r="W75" s="15"/>
      <c r="X75" s="15"/>
      <c r="Y75" s="15">
        <v>0</v>
      </c>
      <c r="Z75" s="15"/>
      <c r="AA75" s="15"/>
      <c r="AB75" s="15"/>
      <c r="AC75" s="15"/>
      <c r="AD75" s="15"/>
      <c r="AE75" s="15"/>
      <c r="AF75" s="15"/>
      <c r="AG75" s="15"/>
      <c r="AH75" s="15"/>
      <c r="AI75" s="15"/>
      <c r="AJ75" s="15"/>
      <c r="AK75" s="15"/>
      <c r="AL75" s="15"/>
      <c r="AM75" s="15"/>
      <c r="AN75" s="15">
        <v>0</v>
      </c>
      <c r="AO75" s="15">
        <v>0</v>
      </c>
      <c r="AP75" s="15">
        <v>3250000</v>
      </c>
      <c r="AQ75" s="15"/>
      <c r="AR75" s="15"/>
      <c r="AS75" s="15">
        <v>32500</v>
      </c>
      <c r="AT75" s="15">
        <v>0</v>
      </c>
      <c r="AU75" s="15"/>
      <c r="AV75" s="15">
        <v>3217500</v>
      </c>
    </row>
    <row r="76" spans="1:48" ht="12" customHeight="1" x14ac:dyDescent="0.3">
      <c r="A76" s="13">
        <v>0</v>
      </c>
      <c r="B76" s="11" t="s">
        <v>40</v>
      </c>
      <c r="C76" s="11" t="s">
        <v>855</v>
      </c>
      <c r="D76" s="11"/>
      <c r="E76" s="14"/>
      <c r="F76" s="14">
        <v>25.33</v>
      </c>
      <c r="G76" s="15">
        <v>296</v>
      </c>
      <c r="H76" s="15">
        <v>127009500</v>
      </c>
      <c r="I76" s="189">
        <v>16.82</v>
      </c>
      <c r="J76" s="15">
        <v>57408000</v>
      </c>
      <c r="K76" s="15">
        <v>0</v>
      </c>
      <c r="L76" s="15">
        <v>142568745</v>
      </c>
      <c r="M76" s="15">
        <v>0</v>
      </c>
      <c r="N76" s="15">
        <v>0</v>
      </c>
      <c r="O76" s="15">
        <v>0</v>
      </c>
      <c r="P76" s="15">
        <v>135480481</v>
      </c>
      <c r="Q76" s="15">
        <v>12677354</v>
      </c>
      <c r="R76" s="15"/>
      <c r="S76" s="15"/>
      <c r="T76" s="15"/>
      <c r="U76" s="15">
        <v>151200000</v>
      </c>
      <c r="V76" s="15"/>
      <c r="W76" s="15"/>
      <c r="X76" s="15"/>
      <c r="Y76" s="15">
        <v>11744800</v>
      </c>
      <c r="Z76" s="15"/>
      <c r="AA76" s="15"/>
      <c r="AB76" s="15"/>
      <c r="AC76" s="15"/>
      <c r="AD76" s="15"/>
      <c r="AE76" s="15"/>
      <c r="AF76" s="15"/>
      <c r="AG76" s="15"/>
      <c r="AH76" s="15"/>
      <c r="AI76" s="15"/>
      <c r="AJ76" s="15"/>
      <c r="AK76" s="15"/>
      <c r="AL76" s="15"/>
      <c r="AM76" s="15"/>
      <c r="AN76" s="15">
        <v>719438</v>
      </c>
      <c r="AO76" s="15">
        <v>0</v>
      </c>
      <c r="AP76" s="15">
        <v>122083689</v>
      </c>
      <c r="AQ76" s="15"/>
      <c r="AR76" s="15"/>
      <c r="AS76" s="15">
        <v>1208543</v>
      </c>
      <c r="AT76" s="15">
        <v>0</v>
      </c>
      <c r="AU76" s="15"/>
      <c r="AV76" s="15">
        <v>120875146</v>
      </c>
    </row>
    <row r="77" spans="1:48" ht="12" customHeight="1" x14ac:dyDescent="0.3">
      <c r="A77" s="13">
        <v>63</v>
      </c>
      <c r="B77" s="11" t="s">
        <v>184</v>
      </c>
      <c r="C77" s="11" t="s">
        <v>855</v>
      </c>
      <c r="D77" s="11" t="s">
        <v>181</v>
      </c>
      <c r="E77" s="14"/>
      <c r="F77" s="14">
        <v>1.85</v>
      </c>
      <c r="G77" s="15">
        <v>20</v>
      </c>
      <c r="H77" s="15">
        <v>12020000</v>
      </c>
      <c r="I77" s="189">
        <v>1.1299999999999999</v>
      </c>
      <c r="J77" s="15">
        <v>4255000</v>
      </c>
      <c r="K77" s="15">
        <v>0</v>
      </c>
      <c r="L77" s="15">
        <v>13582600</v>
      </c>
      <c r="M77" s="15">
        <v>0</v>
      </c>
      <c r="N77" s="15">
        <v>0</v>
      </c>
      <c r="O77" s="15">
        <v>0</v>
      </c>
      <c r="P77" s="15">
        <v>13582600</v>
      </c>
      <c r="Q77" s="15">
        <v>1262100</v>
      </c>
      <c r="R77" s="15"/>
      <c r="S77" s="15"/>
      <c r="T77" s="15"/>
      <c r="U77" s="15">
        <v>9000000</v>
      </c>
      <c r="V77" s="15"/>
      <c r="W77" s="15"/>
      <c r="X77" s="15"/>
      <c r="Y77" s="15">
        <v>3320500</v>
      </c>
      <c r="Z77" s="15"/>
      <c r="AA77" s="15"/>
      <c r="AB77" s="15"/>
      <c r="AC77" s="15"/>
      <c r="AD77" s="15"/>
      <c r="AE77" s="15"/>
      <c r="AF77" s="15"/>
      <c r="AG77" s="15"/>
      <c r="AH77" s="15"/>
      <c r="AI77" s="15"/>
      <c r="AJ77" s="15"/>
      <c r="AK77" s="15"/>
      <c r="AL77" s="15"/>
      <c r="AM77" s="15"/>
      <c r="AN77" s="15">
        <v>166025</v>
      </c>
      <c r="AO77" s="15">
        <v>0</v>
      </c>
      <c r="AP77" s="15">
        <v>12154475</v>
      </c>
      <c r="AQ77" s="15"/>
      <c r="AR77" s="15"/>
      <c r="AS77" s="15">
        <v>121545</v>
      </c>
      <c r="AT77" s="15">
        <v>0</v>
      </c>
      <c r="AU77" s="15"/>
      <c r="AV77" s="15">
        <v>12032930</v>
      </c>
    </row>
    <row r="78" spans="1:48" ht="12" customHeight="1" x14ac:dyDescent="0.3">
      <c r="A78" s="13">
        <v>64</v>
      </c>
      <c r="B78" s="11" t="s">
        <v>179</v>
      </c>
      <c r="C78" s="11" t="s">
        <v>855</v>
      </c>
      <c r="D78" s="11" t="s">
        <v>181</v>
      </c>
      <c r="E78" s="14"/>
      <c r="F78" s="14">
        <v>2.41</v>
      </c>
      <c r="G78" s="15">
        <v>20</v>
      </c>
      <c r="H78" s="15">
        <v>13054000</v>
      </c>
      <c r="I78" s="189">
        <v>1.1299999999999999</v>
      </c>
      <c r="J78" s="15">
        <v>5543000</v>
      </c>
      <c r="K78" s="15">
        <v>0</v>
      </c>
      <c r="L78" s="15">
        <v>14751020</v>
      </c>
      <c r="M78" s="15">
        <v>0</v>
      </c>
      <c r="N78" s="15">
        <v>0</v>
      </c>
      <c r="O78" s="15">
        <v>0</v>
      </c>
      <c r="P78" s="15">
        <v>14751020</v>
      </c>
      <c r="Q78" s="15">
        <v>1370670</v>
      </c>
      <c r="R78" s="15"/>
      <c r="S78" s="15"/>
      <c r="T78" s="15"/>
      <c r="U78" s="15">
        <v>12600000</v>
      </c>
      <c r="V78" s="15"/>
      <c r="W78" s="15"/>
      <c r="X78" s="15"/>
      <c r="Y78" s="15">
        <v>780350</v>
      </c>
      <c r="Z78" s="15"/>
      <c r="AA78" s="15"/>
      <c r="AB78" s="15"/>
      <c r="AC78" s="15"/>
      <c r="AD78" s="15"/>
      <c r="AE78" s="15"/>
      <c r="AF78" s="15"/>
      <c r="AG78" s="15"/>
      <c r="AH78" s="15"/>
      <c r="AI78" s="15"/>
      <c r="AJ78" s="15"/>
      <c r="AK78" s="15"/>
      <c r="AL78" s="15"/>
      <c r="AM78" s="15"/>
      <c r="AN78" s="15">
        <v>39018</v>
      </c>
      <c r="AO78" s="15">
        <v>0</v>
      </c>
      <c r="AP78" s="15">
        <v>13341332</v>
      </c>
      <c r="AQ78" s="15"/>
      <c r="AR78" s="15"/>
      <c r="AS78" s="15">
        <v>133413</v>
      </c>
      <c r="AT78" s="15">
        <v>0</v>
      </c>
      <c r="AU78" s="15"/>
      <c r="AV78" s="15">
        <v>13207919</v>
      </c>
    </row>
    <row r="79" spans="1:48" ht="12" customHeight="1" x14ac:dyDescent="0.3">
      <c r="A79" s="13">
        <v>65</v>
      </c>
      <c r="B79" s="11" t="s">
        <v>182</v>
      </c>
      <c r="C79" s="11" t="s">
        <v>855</v>
      </c>
      <c r="D79" s="11" t="s">
        <v>181</v>
      </c>
      <c r="E79" s="14"/>
      <c r="F79" s="14">
        <v>2.41</v>
      </c>
      <c r="G79" s="15">
        <v>20</v>
      </c>
      <c r="H79" s="15">
        <v>12020000</v>
      </c>
      <c r="I79" s="189">
        <v>1.1299999999999999</v>
      </c>
      <c r="J79" s="15">
        <v>5543000</v>
      </c>
      <c r="K79" s="15">
        <v>0</v>
      </c>
      <c r="L79" s="15">
        <v>13582600</v>
      </c>
      <c r="M79" s="15">
        <v>0</v>
      </c>
      <c r="N79" s="15">
        <v>0</v>
      </c>
      <c r="O79" s="15">
        <v>0</v>
      </c>
      <c r="P79" s="15">
        <v>13582600</v>
      </c>
      <c r="Q79" s="15">
        <v>1262100</v>
      </c>
      <c r="R79" s="15"/>
      <c r="S79" s="15"/>
      <c r="T79" s="15"/>
      <c r="U79" s="15">
        <v>12600000</v>
      </c>
      <c r="V79" s="15"/>
      <c r="W79" s="15"/>
      <c r="X79" s="15"/>
      <c r="Y79" s="15">
        <v>0</v>
      </c>
      <c r="Z79" s="15"/>
      <c r="AA79" s="15"/>
      <c r="AB79" s="15"/>
      <c r="AC79" s="15"/>
      <c r="AD79" s="15"/>
      <c r="AE79" s="15"/>
      <c r="AF79" s="15"/>
      <c r="AG79" s="15"/>
      <c r="AH79" s="15"/>
      <c r="AI79" s="15"/>
      <c r="AJ79" s="15"/>
      <c r="AK79" s="15"/>
      <c r="AL79" s="15"/>
      <c r="AM79" s="15"/>
      <c r="AN79" s="15">
        <v>0</v>
      </c>
      <c r="AO79" s="15">
        <v>0</v>
      </c>
      <c r="AP79" s="15">
        <v>12320500</v>
      </c>
      <c r="AQ79" s="15"/>
      <c r="AR79" s="15"/>
      <c r="AS79" s="15">
        <v>123205</v>
      </c>
      <c r="AT79" s="15">
        <v>0</v>
      </c>
      <c r="AU79" s="15"/>
      <c r="AV79" s="15">
        <v>12197295</v>
      </c>
    </row>
    <row r="80" spans="1:48" ht="12" customHeight="1" x14ac:dyDescent="0.3">
      <c r="A80" s="13">
        <v>66</v>
      </c>
      <c r="B80" s="11" t="s">
        <v>56</v>
      </c>
      <c r="C80" s="11" t="s">
        <v>855</v>
      </c>
      <c r="D80" s="11" t="s">
        <v>181</v>
      </c>
      <c r="E80" s="14"/>
      <c r="F80" s="14">
        <v>3.13</v>
      </c>
      <c r="G80" s="15">
        <v>20</v>
      </c>
      <c r="H80" s="15">
        <v>16238000</v>
      </c>
      <c r="I80" s="189">
        <v>1.1299999999999999</v>
      </c>
      <c r="J80" s="15">
        <v>7199000</v>
      </c>
      <c r="K80" s="15">
        <v>0</v>
      </c>
      <c r="L80" s="15">
        <v>18348940</v>
      </c>
      <c r="M80" s="15">
        <v>0</v>
      </c>
      <c r="N80" s="15">
        <v>0</v>
      </c>
      <c r="O80" s="15">
        <v>0</v>
      </c>
      <c r="P80" s="15">
        <v>18348940</v>
      </c>
      <c r="Q80" s="15">
        <v>1704990</v>
      </c>
      <c r="R80" s="15"/>
      <c r="S80" s="15"/>
      <c r="T80" s="15"/>
      <c r="U80" s="15">
        <v>9000000</v>
      </c>
      <c r="V80" s="15"/>
      <c r="W80" s="15"/>
      <c r="X80" s="15"/>
      <c r="Y80" s="15">
        <v>7643950</v>
      </c>
      <c r="Z80" s="15"/>
      <c r="AA80" s="15"/>
      <c r="AB80" s="15"/>
      <c r="AC80" s="15"/>
      <c r="AD80" s="15"/>
      <c r="AE80" s="15"/>
      <c r="AF80" s="15"/>
      <c r="AG80" s="15"/>
      <c r="AH80" s="15"/>
      <c r="AI80" s="15"/>
      <c r="AJ80" s="15"/>
      <c r="AK80" s="15"/>
      <c r="AL80" s="15"/>
      <c r="AM80" s="15"/>
      <c r="AN80" s="15">
        <v>514395</v>
      </c>
      <c r="AO80" s="15">
        <v>0</v>
      </c>
      <c r="AP80" s="15">
        <v>16129555</v>
      </c>
      <c r="AQ80" s="15"/>
      <c r="AR80" s="15"/>
      <c r="AS80" s="15">
        <v>149000</v>
      </c>
      <c r="AT80" s="15">
        <v>0</v>
      </c>
      <c r="AU80" s="15"/>
      <c r="AV80" s="15">
        <v>15980555</v>
      </c>
    </row>
    <row r="81" spans="1:48" ht="12" customHeight="1" x14ac:dyDescent="0.3">
      <c r="A81" s="13">
        <v>67</v>
      </c>
      <c r="B81" s="11" t="s">
        <v>186</v>
      </c>
      <c r="C81" s="11" t="s">
        <v>855</v>
      </c>
      <c r="D81" s="11" t="s">
        <v>66</v>
      </c>
      <c r="E81" s="14"/>
      <c r="F81" s="14">
        <v>1.85</v>
      </c>
      <c r="G81" s="15">
        <v>20</v>
      </c>
      <c r="H81" s="15">
        <v>8278000</v>
      </c>
      <c r="I81" s="189">
        <v>1.1299999999999999</v>
      </c>
      <c r="J81" s="15">
        <v>4255000</v>
      </c>
      <c r="K81" s="15">
        <v>0</v>
      </c>
      <c r="L81" s="15">
        <v>9354140</v>
      </c>
      <c r="M81" s="15">
        <v>0</v>
      </c>
      <c r="N81" s="15">
        <v>0</v>
      </c>
      <c r="O81" s="15">
        <v>0</v>
      </c>
      <c r="P81" s="15">
        <v>9354140</v>
      </c>
      <c r="Q81" s="15">
        <v>869190</v>
      </c>
      <c r="R81" s="15"/>
      <c r="S81" s="15"/>
      <c r="T81" s="15"/>
      <c r="U81" s="15">
        <v>9000000</v>
      </c>
      <c r="V81" s="15"/>
      <c r="W81" s="15"/>
      <c r="X81" s="15"/>
      <c r="Y81" s="15">
        <v>0</v>
      </c>
      <c r="Z81" s="15"/>
      <c r="AA81" s="15"/>
      <c r="AB81" s="15"/>
      <c r="AC81" s="15"/>
      <c r="AD81" s="15"/>
      <c r="AE81" s="15"/>
      <c r="AF81" s="15"/>
      <c r="AG81" s="15"/>
      <c r="AH81" s="15"/>
      <c r="AI81" s="15"/>
      <c r="AJ81" s="15"/>
      <c r="AK81" s="15"/>
      <c r="AL81" s="15"/>
      <c r="AM81" s="15"/>
      <c r="AN81" s="15">
        <v>0</v>
      </c>
      <c r="AO81" s="15">
        <v>0</v>
      </c>
      <c r="AP81" s="15">
        <v>8484950</v>
      </c>
      <c r="AQ81" s="15"/>
      <c r="AR81" s="15"/>
      <c r="AS81" s="15">
        <v>84850</v>
      </c>
      <c r="AT81" s="15">
        <v>0</v>
      </c>
      <c r="AU81" s="15"/>
      <c r="AV81" s="15">
        <v>8400100</v>
      </c>
    </row>
    <row r="82" spans="1:48" ht="12" customHeight="1" x14ac:dyDescent="0.3">
      <c r="A82" s="13">
        <v>68</v>
      </c>
      <c r="B82" s="11" t="s">
        <v>190</v>
      </c>
      <c r="C82" s="11" t="s">
        <v>855</v>
      </c>
      <c r="D82" s="11" t="s">
        <v>66</v>
      </c>
      <c r="E82" s="14"/>
      <c r="F82" s="14">
        <v>1.85</v>
      </c>
      <c r="G82" s="15">
        <v>20</v>
      </c>
      <c r="H82" s="15">
        <v>7801000</v>
      </c>
      <c r="I82" s="189">
        <v>1.1299999999999999</v>
      </c>
      <c r="J82" s="15">
        <v>4255000</v>
      </c>
      <c r="K82" s="15">
        <v>0</v>
      </c>
      <c r="L82" s="15">
        <v>8815130</v>
      </c>
      <c r="M82" s="15">
        <v>0</v>
      </c>
      <c r="N82" s="15">
        <v>0</v>
      </c>
      <c r="O82" s="15">
        <v>0</v>
      </c>
      <c r="P82" s="15">
        <v>8815130</v>
      </c>
      <c r="Q82" s="15">
        <v>819105</v>
      </c>
      <c r="R82" s="15"/>
      <c r="S82" s="15"/>
      <c r="T82" s="15"/>
      <c r="U82" s="15">
        <v>12600000</v>
      </c>
      <c r="V82" s="15"/>
      <c r="W82" s="15"/>
      <c r="X82" s="15"/>
      <c r="Y82" s="15">
        <v>0</v>
      </c>
      <c r="Z82" s="15"/>
      <c r="AA82" s="15"/>
      <c r="AB82" s="15"/>
      <c r="AC82" s="15"/>
      <c r="AD82" s="15"/>
      <c r="AE82" s="15"/>
      <c r="AF82" s="15"/>
      <c r="AG82" s="15"/>
      <c r="AH82" s="15"/>
      <c r="AI82" s="15"/>
      <c r="AJ82" s="15"/>
      <c r="AK82" s="15"/>
      <c r="AL82" s="15"/>
      <c r="AM82" s="15"/>
      <c r="AN82" s="15">
        <v>0</v>
      </c>
      <c r="AO82" s="15">
        <v>0</v>
      </c>
      <c r="AP82" s="15">
        <v>7996025</v>
      </c>
      <c r="AQ82" s="15"/>
      <c r="AR82" s="15"/>
      <c r="AS82" s="15">
        <v>79960</v>
      </c>
      <c r="AT82" s="15">
        <v>0</v>
      </c>
      <c r="AU82" s="15"/>
      <c r="AV82" s="15">
        <v>7916065</v>
      </c>
    </row>
    <row r="83" spans="1:48" s="179" customFormat="1" ht="12" customHeight="1" x14ac:dyDescent="0.3">
      <c r="A83" s="176">
        <v>12</v>
      </c>
      <c r="B83" s="164" t="s">
        <v>192</v>
      </c>
      <c r="C83" s="11" t="s">
        <v>855</v>
      </c>
      <c r="D83" s="164" t="s">
        <v>66</v>
      </c>
      <c r="E83" s="177"/>
      <c r="F83" s="177">
        <v>1.85</v>
      </c>
      <c r="G83" s="178">
        <v>20</v>
      </c>
      <c r="H83" s="178">
        <v>7841000</v>
      </c>
      <c r="I83" s="190">
        <v>1.1299999999999999</v>
      </c>
      <c r="J83" s="178">
        <v>851000</v>
      </c>
      <c r="K83" s="178">
        <v>0</v>
      </c>
      <c r="L83" s="178">
        <v>1772066</v>
      </c>
      <c r="M83" s="178">
        <v>0</v>
      </c>
      <c r="N83" s="178">
        <v>0</v>
      </c>
      <c r="O83" s="178">
        <v>0</v>
      </c>
      <c r="P83" s="178">
        <v>8860330</v>
      </c>
      <c r="Q83" s="178">
        <v>823305</v>
      </c>
      <c r="R83" s="178"/>
      <c r="S83" s="178"/>
      <c r="T83" s="178"/>
      <c r="U83" s="178">
        <v>9000000</v>
      </c>
      <c r="V83" s="178"/>
      <c r="W83" s="178"/>
      <c r="X83" s="178"/>
      <c r="Y83" s="178">
        <v>0</v>
      </c>
      <c r="Z83" s="178"/>
      <c r="AA83" s="178"/>
      <c r="AB83" s="178"/>
      <c r="AC83" s="178"/>
      <c r="AD83" s="178"/>
      <c r="AE83" s="178"/>
      <c r="AF83" s="178"/>
      <c r="AG83" s="178"/>
      <c r="AH83" s="178"/>
      <c r="AI83" s="178"/>
      <c r="AJ83" s="178"/>
      <c r="AK83" s="178"/>
      <c r="AL83" s="178"/>
      <c r="AM83" s="178"/>
      <c r="AN83" s="178">
        <v>0</v>
      </c>
      <c r="AO83" s="178">
        <v>0</v>
      </c>
      <c r="AP83" s="178">
        <v>8037025</v>
      </c>
      <c r="AQ83" s="178"/>
      <c r="AR83" s="178"/>
      <c r="AS83" s="178">
        <v>80370</v>
      </c>
      <c r="AT83" s="178">
        <v>0</v>
      </c>
      <c r="AU83" s="178"/>
      <c r="AV83" s="178">
        <v>7956655</v>
      </c>
    </row>
    <row r="84" spans="1:48" ht="12" customHeight="1" x14ac:dyDescent="0.3">
      <c r="A84" s="13">
        <v>70</v>
      </c>
      <c r="B84" s="11" t="s">
        <v>194</v>
      </c>
      <c r="C84" s="11" t="s">
        <v>855</v>
      </c>
      <c r="D84" s="11" t="s">
        <v>66</v>
      </c>
      <c r="E84" s="14"/>
      <c r="F84" s="14">
        <v>1.85</v>
      </c>
      <c r="G84" s="15">
        <v>20</v>
      </c>
      <c r="H84" s="15">
        <v>7801000</v>
      </c>
      <c r="I84" s="189">
        <v>1.1299999999999999</v>
      </c>
      <c r="J84" s="15">
        <v>4255000</v>
      </c>
      <c r="K84" s="15">
        <v>0</v>
      </c>
      <c r="L84" s="15">
        <v>8815130</v>
      </c>
      <c r="M84" s="15">
        <v>0</v>
      </c>
      <c r="N84" s="15">
        <v>0</v>
      </c>
      <c r="O84" s="15">
        <v>0</v>
      </c>
      <c r="P84" s="15">
        <v>8815130</v>
      </c>
      <c r="Q84" s="15">
        <v>819105</v>
      </c>
      <c r="R84" s="15"/>
      <c r="S84" s="15"/>
      <c r="T84" s="15"/>
      <c r="U84" s="15">
        <v>9000000</v>
      </c>
      <c r="V84" s="15"/>
      <c r="W84" s="15"/>
      <c r="X84" s="15"/>
      <c r="Y84" s="15">
        <v>0</v>
      </c>
      <c r="Z84" s="15"/>
      <c r="AA84" s="15"/>
      <c r="AB84" s="15"/>
      <c r="AC84" s="15"/>
      <c r="AD84" s="15"/>
      <c r="AE84" s="15"/>
      <c r="AF84" s="15"/>
      <c r="AG84" s="15"/>
      <c r="AH84" s="15"/>
      <c r="AI84" s="15"/>
      <c r="AJ84" s="15"/>
      <c r="AK84" s="15"/>
      <c r="AL84" s="15"/>
      <c r="AM84" s="15"/>
      <c r="AN84" s="15">
        <v>0</v>
      </c>
      <c r="AO84" s="15">
        <v>0</v>
      </c>
      <c r="AP84" s="15">
        <v>7996025</v>
      </c>
      <c r="AQ84" s="15"/>
      <c r="AR84" s="15"/>
      <c r="AS84" s="15">
        <v>79960</v>
      </c>
      <c r="AT84" s="15">
        <v>0</v>
      </c>
      <c r="AU84" s="15"/>
      <c r="AV84" s="15">
        <v>7916065</v>
      </c>
    </row>
    <row r="85" spans="1:48" ht="12" customHeight="1" x14ac:dyDescent="0.3">
      <c r="A85" s="13">
        <v>71</v>
      </c>
      <c r="B85" s="11" t="s">
        <v>196</v>
      </c>
      <c r="C85" s="11" t="s">
        <v>855</v>
      </c>
      <c r="D85" s="11" t="s">
        <v>66</v>
      </c>
      <c r="E85" s="14"/>
      <c r="F85" s="14">
        <v>1.85</v>
      </c>
      <c r="G85" s="15">
        <v>20</v>
      </c>
      <c r="H85" s="15">
        <v>7363000</v>
      </c>
      <c r="I85" s="189">
        <v>1.1299999999999999</v>
      </c>
      <c r="J85" s="15">
        <v>4255000</v>
      </c>
      <c r="K85" s="15">
        <v>0</v>
      </c>
      <c r="L85" s="15">
        <v>8320190</v>
      </c>
      <c r="M85" s="15">
        <v>0</v>
      </c>
      <c r="N85" s="15">
        <v>0</v>
      </c>
      <c r="O85" s="15">
        <v>0</v>
      </c>
      <c r="P85" s="15">
        <v>8320190</v>
      </c>
      <c r="Q85" s="15">
        <v>773115</v>
      </c>
      <c r="R85" s="15"/>
      <c r="S85" s="15"/>
      <c r="T85" s="15"/>
      <c r="U85" s="15">
        <v>9000000</v>
      </c>
      <c r="V85" s="15"/>
      <c r="W85" s="15"/>
      <c r="X85" s="15"/>
      <c r="Y85" s="15">
        <v>0</v>
      </c>
      <c r="Z85" s="15"/>
      <c r="AA85" s="15"/>
      <c r="AB85" s="15"/>
      <c r="AC85" s="15"/>
      <c r="AD85" s="15"/>
      <c r="AE85" s="15"/>
      <c r="AF85" s="15"/>
      <c r="AG85" s="15"/>
      <c r="AH85" s="15"/>
      <c r="AI85" s="15"/>
      <c r="AJ85" s="15"/>
      <c r="AK85" s="15"/>
      <c r="AL85" s="15"/>
      <c r="AM85" s="15"/>
      <c r="AN85" s="15">
        <v>0</v>
      </c>
      <c r="AO85" s="15">
        <v>0</v>
      </c>
      <c r="AP85" s="15">
        <v>7547075</v>
      </c>
      <c r="AQ85" s="15"/>
      <c r="AR85" s="15"/>
      <c r="AS85" s="15">
        <v>75471</v>
      </c>
      <c r="AT85" s="15">
        <v>0</v>
      </c>
      <c r="AU85" s="15"/>
      <c r="AV85" s="15">
        <v>7471604</v>
      </c>
    </row>
    <row r="86" spans="1:48" ht="12" customHeight="1" x14ac:dyDescent="0.3">
      <c r="A86" s="13">
        <v>72</v>
      </c>
      <c r="B86" s="11" t="s">
        <v>828</v>
      </c>
      <c r="C86" s="11" t="s">
        <v>855</v>
      </c>
      <c r="D86" s="11" t="s">
        <v>66</v>
      </c>
      <c r="E86" s="14"/>
      <c r="F86" s="14">
        <v>0</v>
      </c>
      <c r="G86" s="15">
        <v>20</v>
      </c>
      <c r="H86" s="15">
        <v>7323000</v>
      </c>
      <c r="I86" s="189">
        <v>1.1299999999999999</v>
      </c>
      <c r="J86" s="15"/>
      <c r="K86" s="15">
        <v>0</v>
      </c>
      <c r="L86" s="15">
        <v>7323000</v>
      </c>
      <c r="M86" s="15">
        <v>0</v>
      </c>
      <c r="N86" s="15">
        <v>0</v>
      </c>
      <c r="O86" s="15">
        <v>0</v>
      </c>
      <c r="P86" s="15">
        <v>7323000</v>
      </c>
      <c r="Q86" s="15">
        <v>768915</v>
      </c>
      <c r="R86" s="15"/>
      <c r="S86" s="15"/>
      <c r="T86" s="15"/>
      <c r="U86" s="15">
        <v>9000000</v>
      </c>
      <c r="V86" s="15"/>
      <c r="W86" s="15"/>
      <c r="X86" s="15"/>
      <c r="Y86" s="15">
        <v>0</v>
      </c>
      <c r="Z86" s="15"/>
      <c r="AA86" s="15"/>
      <c r="AB86" s="15"/>
      <c r="AC86" s="15"/>
      <c r="AD86" s="15"/>
      <c r="AE86" s="15"/>
      <c r="AF86" s="15"/>
      <c r="AG86" s="15"/>
      <c r="AH86" s="15"/>
      <c r="AI86" s="15"/>
      <c r="AJ86" s="15"/>
      <c r="AK86" s="15"/>
      <c r="AL86" s="15"/>
      <c r="AM86" s="15"/>
      <c r="AN86" s="15">
        <v>0</v>
      </c>
      <c r="AO86" s="15">
        <v>0</v>
      </c>
      <c r="AP86" s="15">
        <v>6554085</v>
      </c>
      <c r="AQ86" s="15"/>
      <c r="AR86" s="15"/>
      <c r="AS86" s="15">
        <v>65541</v>
      </c>
      <c r="AT86" s="15">
        <v>0</v>
      </c>
      <c r="AU86" s="15"/>
      <c r="AV86" s="15">
        <v>6488544</v>
      </c>
    </row>
    <row r="87" spans="1:48" ht="12" customHeight="1" x14ac:dyDescent="0.3">
      <c r="A87" s="13">
        <v>73</v>
      </c>
      <c r="B87" s="11" t="s">
        <v>198</v>
      </c>
      <c r="C87" s="11" t="s">
        <v>855</v>
      </c>
      <c r="D87" s="11" t="s">
        <v>200</v>
      </c>
      <c r="E87" s="14"/>
      <c r="F87" s="14">
        <v>1.54</v>
      </c>
      <c r="G87" s="15">
        <v>20</v>
      </c>
      <c r="H87" s="15">
        <v>6567000</v>
      </c>
      <c r="I87" s="189">
        <v>1.1299999999999999</v>
      </c>
      <c r="J87" s="15">
        <v>3542000</v>
      </c>
      <c r="K87" s="15">
        <v>0</v>
      </c>
      <c r="L87" s="15">
        <v>7420710</v>
      </c>
      <c r="M87" s="15">
        <v>0</v>
      </c>
      <c r="N87" s="15">
        <v>0</v>
      </c>
      <c r="O87" s="15">
        <v>0</v>
      </c>
      <c r="P87" s="15">
        <v>7420710</v>
      </c>
      <c r="Q87" s="15">
        <v>689535</v>
      </c>
      <c r="R87" s="15"/>
      <c r="S87" s="15"/>
      <c r="T87" s="15"/>
      <c r="U87" s="15">
        <v>9000000</v>
      </c>
      <c r="V87" s="15"/>
      <c r="W87" s="15"/>
      <c r="X87" s="15"/>
      <c r="Y87" s="15">
        <v>0</v>
      </c>
      <c r="Z87" s="15"/>
      <c r="AA87" s="15"/>
      <c r="AB87" s="15"/>
      <c r="AC87" s="15"/>
      <c r="AD87" s="15"/>
      <c r="AE87" s="15"/>
      <c r="AF87" s="15"/>
      <c r="AG87" s="15"/>
      <c r="AH87" s="15"/>
      <c r="AI87" s="15"/>
      <c r="AJ87" s="15"/>
      <c r="AK87" s="15"/>
      <c r="AL87" s="15"/>
      <c r="AM87" s="15"/>
      <c r="AN87" s="15">
        <v>0</v>
      </c>
      <c r="AO87" s="15">
        <v>0</v>
      </c>
      <c r="AP87" s="15">
        <v>6731175</v>
      </c>
      <c r="AQ87" s="15"/>
      <c r="AR87" s="15"/>
      <c r="AS87" s="15">
        <v>67312</v>
      </c>
      <c r="AT87" s="15">
        <v>0</v>
      </c>
      <c r="AU87" s="15"/>
      <c r="AV87" s="15">
        <v>6663863</v>
      </c>
    </row>
    <row r="88" spans="1:48" ht="12" customHeight="1" x14ac:dyDescent="0.3">
      <c r="A88" s="13">
        <v>74</v>
      </c>
      <c r="B88" s="11" t="s">
        <v>201</v>
      </c>
      <c r="C88" s="11" t="s">
        <v>855</v>
      </c>
      <c r="D88" s="11" t="s">
        <v>200</v>
      </c>
      <c r="E88" s="14"/>
      <c r="F88" s="14">
        <v>1.54</v>
      </c>
      <c r="G88" s="15">
        <v>20</v>
      </c>
      <c r="H88" s="15">
        <v>7267700</v>
      </c>
      <c r="I88" s="189">
        <v>1.1299999999999999</v>
      </c>
      <c r="J88" s="15">
        <v>3542000</v>
      </c>
      <c r="K88" s="15">
        <v>0</v>
      </c>
      <c r="L88" s="15">
        <v>8212501</v>
      </c>
      <c r="M88" s="15">
        <v>0</v>
      </c>
      <c r="N88" s="15">
        <v>0</v>
      </c>
      <c r="O88" s="15">
        <v>0</v>
      </c>
      <c r="P88" s="15">
        <v>8212501</v>
      </c>
      <c r="Q88" s="15">
        <v>763109</v>
      </c>
      <c r="R88" s="15"/>
      <c r="S88" s="15"/>
      <c r="T88" s="15"/>
      <c r="U88" s="15">
        <v>12600000</v>
      </c>
      <c r="V88" s="15"/>
      <c r="W88" s="15"/>
      <c r="X88" s="15"/>
      <c r="Y88" s="15">
        <v>0</v>
      </c>
      <c r="Z88" s="15"/>
      <c r="AA88" s="15"/>
      <c r="AB88" s="15"/>
      <c r="AC88" s="15"/>
      <c r="AD88" s="15"/>
      <c r="AE88" s="15"/>
      <c r="AF88" s="15"/>
      <c r="AG88" s="15"/>
      <c r="AH88" s="15"/>
      <c r="AI88" s="15"/>
      <c r="AJ88" s="15"/>
      <c r="AK88" s="15"/>
      <c r="AL88" s="15"/>
      <c r="AM88" s="15"/>
      <c r="AN88" s="15">
        <v>0</v>
      </c>
      <c r="AO88" s="15">
        <v>0</v>
      </c>
      <c r="AP88" s="15">
        <v>7449392</v>
      </c>
      <c r="AQ88" s="15"/>
      <c r="AR88" s="15"/>
      <c r="AS88" s="15">
        <v>74494</v>
      </c>
      <c r="AT88" s="15">
        <v>0</v>
      </c>
      <c r="AU88" s="15"/>
      <c r="AV88" s="15">
        <v>7374898</v>
      </c>
    </row>
    <row r="89" spans="1:48" ht="12" customHeight="1" x14ac:dyDescent="0.3">
      <c r="A89" s="13">
        <v>75</v>
      </c>
      <c r="B89" s="11" t="s">
        <v>203</v>
      </c>
      <c r="C89" s="11" t="s">
        <v>855</v>
      </c>
      <c r="D89" s="11" t="s">
        <v>205</v>
      </c>
      <c r="E89" s="14"/>
      <c r="F89" s="14">
        <v>1</v>
      </c>
      <c r="G89" s="15">
        <v>20</v>
      </c>
      <c r="H89" s="15">
        <v>4736000</v>
      </c>
      <c r="I89" s="189">
        <v>1.1299999999999999</v>
      </c>
      <c r="J89" s="15">
        <v>2300000</v>
      </c>
      <c r="K89" s="15">
        <v>0</v>
      </c>
      <c r="L89" s="15">
        <v>5351680</v>
      </c>
      <c r="M89" s="15">
        <v>0</v>
      </c>
      <c r="N89" s="15">
        <v>0</v>
      </c>
      <c r="O89" s="15">
        <v>0</v>
      </c>
      <c r="P89" s="15">
        <v>5351680</v>
      </c>
      <c r="Q89" s="15">
        <v>497280</v>
      </c>
      <c r="R89" s="15"/>
      <c r="S89" s="15"/>
      <c r="T89" s="15"/>
      <c r="U89" s="15">
        <v>12600000</v>
      </c>
      <c r="V89" s="15"/>
      <c r="W89" s="15"/>
      <c r="X89" s="15"/>
      <c r="Y89" s="15">
        <v>0</v>
      </c>
      <c r="Z89" s="15"/>
      <c r="AA89" s="15"/>
      <c r="AB89" s="15"/>
      <c r="AC89" s="15"/>
      <c r="AD89" s="15"/>
      <c r="AE89" s="15"/>
      <c r="AF89" s="15"/>
      <c r="AG89" s="15"/>
      <c r="AH89" s="15"/>
      <c r="AI89" s="15"/>
      <c r="AJ89" s="15"/>
      <c r="AK89" s="15"/>
      <c r="AL89" s="15"/>
      <c r="AM89" s="15"/>
      <c r="AN89" s="15">
        <v>0</v>
      </c>
      <c r="AO89" s="15">
        <v>0</v>
      </c>
      <c r="AP89" s="15">
        <v>4854400</v>
      </c>
      <c r="AQ89" s="15"/>
      <c r="AR89" s="15"/>
      <c r="AS89" s="15">
        <v>48544</v>
      </c>
      <c r="AT89" s="15">
        <v>0</v>
      </c>
      <c r="AU89" s="15"/>
      <c r="AV89" s="15">
        <v>4805856</v>
      </c>
    </row>
    <row r="90" spans="1:48" ht="12" customHeight="1" x14ac:dyDescent="0.3">
      <c r="A90" s="13">
        <v>76</v>
      </c>
      <c r="B90" s="11" t="s">
        <v>206</v>
      </c>
      <c r="C90" s="11" t="s">
        <v>855</v>
      </c>
      <c r="D90" s="11" t="s">
        <v>208</v>
      </c>
      <c r="E90" s="14"/>
      <c r="F90" s="14">
        <v>1.1000000000000001</v>
      </c>
      <c r="G90" s="15">
        <v>20</v>
      </c>
      <c r="H90" s="15">
        <v>5134000</v>
      </c>
      <c r="I90" s="189">
        <v>1.1299999999999999</v>
      </c>
      <c r="J90" s="15">
        <v>2530000</v>
      </c>
      <c r="K90" s="15">
        <v>0</v>
      </c>
      <c r="L90" s="15">
        <v>5801420</v>
      </c>
      <c r="M90" s="15">
        <v>0</v>
      </c>
      <c r="N90" s="15">
        <v>0</v>
      </c>
      <c r="O90" s="15">
        <v>0</v>
      </c>
      <c r="P90" s="15">
        <v>5801420</v>
      </c>
      <c r="Q90" s="15">
        <v>539070</v>
      </c>
      <c r="R90" s="15"/>
      <c r="S90" s="15"/>
      <c r="T90" s="15"/>
      <c r="U90" s="15">
        <v>12600000</v>
      </c>
      <c r="V90" s="15"/>
      <c r="W90" s="15"/>
      <c r="X90" s="15"/>
      <c r="Y90" s="15">
        <v>0</v>
      </c>
      <c r="Z90" s="15"/>
      <c r="AA90" s="15"/>
      <c r="AB90" s="15"/>
      <c r="AC90" s="15"/>
      <c r="AD90" s="15"/>
      <c r="AE90" s="15"/>
      <c r="AF90" s="15"/>
      <c r="AG90" s="15"/>
      <c r="AH90" s="15"/>
      <c r="AI90" s="15"/>
      <c r="AJ90" s="15"/>
      <c r="AK90" s="15"/>
      <c r="AL90" s="15"/>
      <c r="AM90" s="15"/>
      <c r="AN90" s="15">
        <v>0</v>
      </c>
      <c r="AO90" s="15">
        <v>0</v>
      </c>
      <c r="AP90" s="15">
        <v>5262350</v>
      </c>
      <c r="AQ90" s="15"/>
      <c r="AR90" s="15"/>
      <c r="AS90" s="15">
        <v>52624</v>
      </c>
      <c r="AT90" s="15">
        <v>0</v>
      </c>
      <c r="AU90" s="15"/>
      <c r="AV90" s="15">
        <v>5209726</v>
      </c>
    </row>
    <row r="91" spans="1:48" ht="12" customHeight="1" x14ac:dyDescent="0.3">
      <c r="A91" s="13">
        <v>77</v>
      </c>
      <c r="B91" s="11" t="s">
        <v>209</v>
      </c>
      <c r="C91" s="11" t="s">
        <v>855</v>
      </c>
      <c r="D91" s="11" t="s">
        <v>208</v>
      </c>
      <c r="E91" s="14"/>
      <c r="F91" s="14">
        <v>1.1000000000000001</v>
      </c>
      <c r="G91" s="15">
        <v>20</v>
      </c>
      <c r="H91" s="15">
        <v>5134000</v>
      </c>
      <c r="I91" s="189">
        <v>1.1299999999999999</v>
      </c>
      <c r="J91" s="15">
        <v>2530000</v>
      </c>
      <c r="K91" s="15">
        <v>0</v>
      </c>
      <c r="L91" s="15">
        <v>5801420</v>
      </c>
      <c r="M91" s="15">
        <v>0</v>
      </c>
      <c r="N91" s="15">
        <v>0</v>
      </c>
      <c r="O91" s="15">
        <v>0</v>
      </c>
      <c r="P91" s="15">
        <v>5801420</v>
      </c>
      <c r="Q91" s="15">
        <v>539070</v>
      </c>
      <c r="R91" s="15"/>
      <c r="S91" s="15"/>
      <c r="T91" s="15"/>
      <c r="U91" s="15">
        <v>12600000</v>
      </c>
      <c r="V91" s="15"/>
      <c r="W91" s="15"/>
      <c r="X91" s="15"/>
      <c r="Y91" s="15">
        <v>0</v>
      </c>
      <c r="Z91" s="15"/>
      <c r="AA91" s="15"/>
      <c r="AB91" s="15"/>
      <c r="AC91" s="15"/>
      <c r="AD91" s="15"/>
      <c r="AE91" s="15"/>
      <c r="AF91" s="15"/>
      <c r="AG91" s="15"/>
      <c r="AH91" s="15"/>
      <c r="AI91" s="15"/>
      <c r="AJ91" s="15"/>
      <c r="AK91" s="15"/>
      <c r="AL91" s="15"/>
      <c r="AM91" s="15"/>
      <c r="AN91" s="15">
        <v>0</v>
      </c>
      <c r="AO91" s="15">
        <v>0</v>
      </c>
      <c r="AP91" s="15">
        <v>5262350</v>
      </c>
      <c r="AQ91" s="15"/>
      <c r="AR91" s="15"/>
      <c r="AS91" s="15">
        <v>52624</v>
      </c>
      <c r="AT91" s="15">
        <v>0</v>
      </c>
      <c r="AU91" s="15"/>
      <c r="AV91" s="15">
        <v>5209726</v>
      </c>
    </row>
    <row r="92" spans="1:48" ht="12" customHeight="1" x14ac:dyDescent="0.3">
      <c r="A92" s="13">
        <v>0</v>
      </c>
      <c r="B92" s="11" t="s">
        <v>40</v>
      </c>
      <c r="C92" s="11" t="s">
        <v>855</v>
      </c>
      <c r="D92" s="11"/>
      <c r="E92" s="14"/>
      <c r="F92" s="14">
        <v>33.159999999999997</v>
      </c>
      <c r="G92" s="15">
        <v>340</v>
      </c>
      <c r="H92" s="15">
        <v>143741700</v>
      </c>
      <c r="I92" s="189">
        <v>17</v>
      </c>
      <c r="J92" s="15">
        <v>76268000</v>
      </c>
      <c r="K92" s="15">
        <v>0</v>
      </c>
      <c r="L92" s="15">
        <v>143741700</v>
      </c>
      <c r="M92" s="15">
        <v>2190000</v>
      </c>
      <c r="N92" s="15">
        <v>0</v>
      </c>
      <c r="O92" s="15">
        <v>0</v>
      </c>
      <c r="P92" s="15">
        <v>145931700</v>
      </c>
      <c r="Q92" s="15">
        <v>15092879</v>
      </c>
      <c r="R92" s="15"/>
      <c r="S92" s="15"/>
      <c r="T92" s="15"/>
      <c r="U92" s="15">
        <v>199800000</v>
      </c>
      <c r="V92" s="15"/>
      <c r="W92" s="15"/>
      <c r="X92" s="15"/>
      <c r="Y92" s="15">
        <v>0</v>
      </c>
      <c r="Z92" s="15"/>
      <c r="AA92" s="15"/>
      <c r="AB92" s="15"/>
      <c r="AC92" s="15"/>
      <c r="AD92" s="15"/>
      <c r="AE92" s="15"/>
      <c r="AF92" s="15"/>
      <c r="AG92" s="15"/>
      <c r="AH92" s="15"/>
      <c r="AI92" s="15"/>
      <c r="AJ92" s="15"/>
      <c r="AK92" s="15"/>
      <c r="AL92" s="15"/>
      <c r="AM92" s="15"/>
      <c r="AN92" s="15">
        <v>0</v>
      </c>
      <c r="AO92" s="15">
        <v>0</v>
      </c>
      <c r="AP92" s="15">
        <v>130838821</v>
      </c>
      <c r="AQ92" s="15"/>
      <c r="AR92" s="15"/>
      <c r="AS92" s="15">
        <v>1308389</v>
      </c>
      <c r="AT92" s="15">
        <v>0</v>
      </c>
      <c r="AU92" s="15"/>
      <c r="AV92" s="15">
        <v>129530432</v>
      </c>
    </row>
    <row r="93" spans="1:48" ht="12" customHeight="1" x14ac:dyDescent="0.3">
      <c r="A93" s="13">
        <v>78</v>
      </c>
      <c r="B93" s="11" t="s">
        <v>212</v>
      </c>
      <c r="C93" s="11" t="s">
        <v>855</v>
      </c>
      <c r="D93" s="11" t="s">
        <v>214</v>
      </c>
      <c r="E93" s="14"/>
      <c r="F93" s="14">
        <v>6.25</v>
      </c>
      <c r="G93" s="15">
        <v>20</v>
      </c>
      <c r="H93" s="15">
        <v>16238000</v>
      </c>
      <c r="I93" s="189">
        <v>1</v>
      </c>
      <c r="J93" s="15">
        <v>14375000</v>
      </c>
      <c r="K93" s="15">
        <v>0</v>
      </c>
      <c r="L93" s="15">
        <v>16238000</v>
      </c>
      <c r="M93" s="15">
        <v>0</v>
      </c>
      <c r="N93" s="15">
        <v>0</v>
      </c>
      <c r="O93" s="15">
        <v>0</v>
      </c>
      <c r="P93" s="15">
        <v>16238000</v>
      </c>
      <c r="Q93" s="15">
        <v>1704990</v>
      </c>
      <c r="R93" s="15"/>
      <c r="S93" s="15"/>
      <c r="T93" s="15"/>
      <c r="U93" s="15">
        <v>19800000</v>
      </c>
      <c r="V93" s="15"/>
      <c r="W93" s="15"/>
      <c r="X93" s="15"/>
      <c r="Y93" s="15">
        <v>0</v>
      </c>
      <c r="Z93" s="15"/>
      <c r="AA93" s="15"/>
      <c r="AB93" s="15"/>
      <c r="AC93" s="15"/>
      <c r="AD93" s="15"/>
      <c r="AE93" s="15"/>
      <c r="AF93" s="15"/>
      <c r="AG93" s="15"/>
      <c r="AH93" s="15"/>
      <c r="AI93" s="15"/>
      <c r="AJ93" s="15"/>
      <c r="AK93" s="15"/>
      <c r="AL93" s="15"/>
      <c r="AM93" s="15"/>
      <c r="AN93" s="15">
        <v>0</v>
      </c>
      <c r="AO93" s="15">
        <v>0</v>
      </c>
      <c r="AP93" s="15">
        <v>14533010</v>
      </c>
      <c r="AQ93" s="15"/>
      <c r="AR93" s="15"/>
      <c r="AS93" s="15">
        <v>145330</v>
      </c>
      <c r="AT93" s="15">
        <v>0</v>
      </c>
      <c r="AU93" s="15"/>
      <c r="AV93" s="15">
        <v>14387680</v>
      </c>
    </row>
    <row r="94" spans="1:48" ht="12" customHeight="1" x14ac:dyDescent="0.3">
      <c r="A94" s="13">
        <v>79</v>
      </c>
      <c r="B94" s="11" t="s">
        <v>215</v>
      </c>
      <c r="C94" s="11" t="s">
        <v>855</v>
      </c>
      <c r="D94" s="11" t="s">
        <v>430</v>
      </c>
      <c r="E94" s="14"/>
      <c r="F94" s="14">
        <v>2.29</v>
      </c>
      <c r="G94" s="15">
        <v>20</v>
      </c>
      <c r="H94" s="15">
        <v>12020000</v>
      </c>
      <c r="I94" s="189">
        <v>1</v>
      </c>
      <c r="J94" s="15">
        <v>5267000</v>
      </c>
      <c r="K94" s="15">
        <v>0</v>
      </c>
      <c r="L94" s="15">
        <v>12020000</v>
      </c>
      <c r="M94" s="15">
        <v>0</v>
      </c>
      <c r="N94" s="15">
        <v>0</v>
      </c>
      <c r="O94" s="15">
        <v>0</v>
      </c>
      <c r="P94" s="15">
        <v>12020000</v>
      </c>
      <c r="Q94" s="15">
        <v>1262100</v>
      </c>
      <c r="R94" s="15"/>
      <c r="S94" s="15"/>
      <c r="T94" s="15"/>
      <c r="U94" s="15">
        <v>19800000</v>
      </c>
      <c r="V94" s="15"/>
      <c r="W94" s="15"/>
      <c r="X94" s="15"/>
      <c r="Y94" s="15">
        <v>0</v>
      </c>
      <c r="Z94" s="15"/>
      <c r="AA94" s="15"/>
      <c r="AB94" s="15"/>
      <c r="AC94" s="15"/>
      <c r="AD94" s="15"/>
      <c r="AE94" s="15"/>
      <c r="AF94" s="15"/>
      <c r="AG94" s="15"/>
      <c r="AH94" s="15"/>
      <c r="AI94" s="15"/>
      <c r="AJ94" s="15"/>
      <c r="AK94" s="15"/>
      <c r="AL94" s="15"/>
      <c r="AM94" s="15"/>
      <c r="AN94" s="15">
        <v>0</v>
      </c>
      <c r="AO94" s="15">
        <v>0</v>
      </c>
      <c r="AP94" s="15">
        <v>10757900</v>
      </c>
      <c r="AQ94" s="15"/>
      <c r="AR94" s="15"/>
      <c r="AS94" s="15">
        <v>107579</v>
      </c>
      <c r="AT94" s="15">
        <v>0</v>
      </c>
      <c r="AU94" s="15"/>
      <c r="AV94" s="15">
        <v>10650321</v>
      </c>
    </row>
    <row r="95" spans="1:48" ht="12" customHeight="1" x14ac:dyDescent="0.3">
      <c r="A95" s="13">
        <v>80</v>
      </c>
      <c r="B95" s="11" t="s">
        <v>239</v>
      </c>
      <c r="C95" s="11" t="s">
        <v>855</v>
      </c>
      <c r="D95" s="11" t="s">
        <v>66</v>
      </c>
      <c r="E95" s="14"/>
      <c r="F95" s="14">
        <v>1.85</v>
      </c>
      <c r="G95" s="15">
        <v>20</v>
      </c>
      <c r="H95" s="15">
        <v>7323000</v>
      </c>
      <c r="I95" s="189">
        <v>1</v>
      </c>
      <c r="J95" s="15">
        <v>4255000</v>
      </c>
      <c r="K95" s="15">
        <v>0</v>
      </c>
      <c r="L95" s="15">
        <v>7323000</v>
      </c>
      <c r="M95" s="15">
        <v>0</v>
      </c>
      <c r="N95" s="15">
        <v>0</v>
      </c>
      <c r="O95" s="15">
        <v>0</v>
      </c>
      <c r="P95" s="15">
        <v>7323000</v>
      </c>
      <c r="Q95" s="15">
        <v>768915</v>
      </c>
      <c r="R95" s="15"/>
      <c r="S95" s="15"/>
      <c r="T95" s="15"/>
      <c r="U95" s="15">
        <v>9000000</v>
      </c>
      <c r="V95" s="15"/>
      <c r="W95" s="15"/>
      <c r="X95" s="15"/>
      <c r="Y95" s="15">
        <v>0</v>
      </c>
      <c r="Z95" s="15"/>
      <c r="AA95" s="15"/>
      <c r="AB95" s="15"/>
      <c r="AC95" s="15"/>
      <c r="AD95" s="15"/>
      <c r="AE95" s="15"/>
      <c r="AF95" s="15"/>
      <c r="AG95" s="15"/>
      <c r="AH95" s="15"/>
      <c r="AI95" s="15"/>
      <c r="AJ95" s="15"/>
      <c r="AK95" s="15"/>
      <c r="AL95" s="15"/>
      <c r="AM95" s="15"/>
      <c r="AN95" s="15">
        <v>0</v>
      </c>
      <c r="AO95" s="15">
        <v>0</v>
      </c>
      <c r="AP95" s="15">
        <v>6554085</v>
      </c>
      <c r="AQ95" s="15"/>
      <c r="AR95" s="15"/>
      <c r="AS95" s="15">
        <v>65541</v>
      </c>
      <c r="AT95" s="15">
        <v>0</v>
      </c>
      <c r="AU95" s="15"/>
      <c r="AV95" s="15">
        <v>6488544</v>
      </c>
    </row>
    <row r="96" spans="1:48" ht="12" customHeight="1" x14ac:dyDescent="0.3">
      <c r="A96" s="13">
        <v>81</v>
      </c>
      <c r="B96" s="11" t="s">
        <v>220</v>
      </c>
      <c r="C96" s="11" t="s">
        <v>855</v>
      </c>
      <c r="D96" s="11" t="s">
        <v>217</v>
      </c>
      <c r="E96" s="14"/>
      <c r="F96" s="14">
        <v>2.29</v>
      </c>
      <c r="G96" s="15">
        <v>20</v>
      </c>
      <c r="H96" s="15">
        <v>9831000</v>
      </c>
      <c r="I96" s="189">
        <v>1</v>
      </c>
      <c r="J96" s="15">
        <v>5267000</v>
      </c>
      <c r="K96" s="15">
        <v>0</v>
      </c>
      <c r="L96" s="15">
        <v>9831000</v>
      </c>
      <c r="M96" s="15">
        <v>0</v>
      </c>
      <c r="N96" s="15">
        <v>0</v>
      </c>
      <c r="O96" s="15">
        <v>0</v>
      </c>
      <c r="P96" s="15">
        <v>9831000</v>
      </c>
      <c r="Q96" s="15">
        <v>1032255</v>
      </c>
      <c r="R96" s="15"/>
      <c r="S96" s="15"/>
      <c r="T96" s="15"/>
      <c r="U96" s="15">
        <v>9000000</v>
      </c>
      <c r="V96" s="15"/>
      <c r="W96" s="15"/>
      <c r="X96" s="15"/>
      <c r="Y96" s="15">
        <v>0</v>
      </c>
      <c r="Z96" s="15"/>
      <c r="AA96" s="15"/>
      <c r="AB96" s="15"/>
      <c r="AC96" s="15"/>
      <c r="AD96" s="15"/>
      <c r="AE96" s="15"/>
      <c r="AF96" s="15"/>
      <c r="AG96" s="15"/>
      <c r="AH96" s="15"/>
      <c r="AI96" s="15"/>
      <c r="AJ96" s="15"/>
      <c r="AK96" s="15"/>
      <c r="AL96" s="15"/>
      <c r="AM96" s="15"/>
      <c r="AN96" s="15">
        <v>0</v>
      </c>
      <c r="AO96" s="15">
        <v>0</v>
      </c>
      <c r="AP96" s="15">
        <v>8798745</v>
      </c>
      <c r="AQ96" s="15"/>
      <c r="AR96" s="15"/>
      <c r="AS96" s="15">
        <v>87987</v>
      </c>
      <c r="AT96" s="15">
        <v>0</v>
      </c>
      <c r="AU96" s="15"/>
      <c r="AV96" s="15">
        <v>8710758</v>
      </c>
    </row>
    <row r="97" spans="1:48" ht="12" customHeight="1" x14ac:dyDescent="0.3">
      <c r="A97" s="13">
        <v>82</v>
      </c>
      <c r="B97" s="11" t="s">
        <v>218</v>
      </c>
      <c r="C97" s="11" t="s">
        <v>855</v>
      </c>
      <c r="D97" s="11" t="s">
        <v>217</v>
      </c>
      <c r="E97" s="14"/>
      <c r="F97" s="14">
        <v>2.29</v>
      </c>
      <c r="G97" s="15">
        <v>20</v>
      </c>
      <c r="H97" s="15">
        <v>9831000</v>
      </c>
      <c r="I97" s="189">
        <v>1</v>
      </c>
      <c r="J97" s="15">
        <v>5267000</v>
      </c>
      <c r="K97" s="15">
        <v>0</v>
      </c>
      <c r="L97" s="15">
        <v>9831000</v>
      </c>
      <c r="M97" s="15">
        <v>0</v>
      </c>
      <c r="N97" s="15">
        <v>0</v>
      </c>
      <c r="O97" s="15">
        <v>0</v>
      </c>
      <c r="P97" s="15">
        <v>9831000</v>
      </c>
      <c r="Q97" s="15">
        <v>1032255</v>
      </c>
      <c r="R97" s="15"/>
      <c r="S97" s="15"/>
      <c r="T97" s="15"/>
      <c r="U97" s="15">
        <v>23400000</v>
      </c>
      <c r="V97" s="15"/>
      <c r="W97" s="15"/>
      <c r="X97" s="15"/>
      <c r="Y97" s="15">
        <v>0</v>
      </c>
      <c r="Z97" s="15"/>
      <c r="AA97" s="15"/>
      <c r="AB97" s="15"/>
      <c r="AC97" s="15"/>
      <c r="AD97" s="15"/>
      <c r="AE97" s="15"/>
      <c r="AF97" s="15"/>
      <c r="AG97" s="15"/>
      <c r="AH97" s="15"/>
      <c r="AI97" s="15"/>
      <c r="AJ97" s="15"/>
      <c r="AK97" s="15"/>
      <c r="AL97" s="15"/>
      <c r="AM97" s="15"/>
      <c r="AN97" s="15">
        <v>0</v>
      </c>
      <c r="AO97" s="15">
        <v>0</v>
      </c>
      <c r="AP97" s="15">
        <v>8798745</v>
      </c>
      <c r="AQ97" s="15"/>
      <c r="AR97" s="15"/>
      <c r="AS97" s="15">
        <v>87987</v>
      </c>
      <c r="AT97" s="15">
        <v>0</v>
      </c>
      <c r="AU97" s="15"/>
      <c r="AV97" s="15">
        <v>8710758</v>
      </c>
    </row>
    <row r="98" spans="1:48" ht="12" customHeight="1" x14ac:dyDescent="0.3">
      <c r="A98" s="13">
        <v>83</v>
      </c>
      <c r="B98" s="11" t="s">
        <v>230</v>
      </c>
      <c r="C98" s="11" t="s">
        <v>855</v>
      </c>
      <c r="D98" s="11" t="s">
        <v>66</v>
      </c>
      <c r="E98" s="14"/>
      <c r="F98" s="14">
        <v>1.85</v>
      </c>
      <c r="G98" s="15">
        <v>20</v>
      </c>
      <c r="H98" s="15">
        <v>7323000</v>
      </c>
      <c r="I98" s="189">
        <v>1</v>
      </c>
      <c r="J98" s="15">
        <v>4255000</v>
      </c>
      <c r="K98" s="15">
        <v>0</v>
      </c>
      <c r="L98" s="15">
        <v>7323000</v>
      </c>
      <c r="M98" s="15">
        <v>0</v>
      </c>
      <c r="N98" s="15">
        <v>0</v>
      </c>
      <c r="O98" s="15">
        <v>0</v>
      </c>
      <c r="P98" s="15">
        <v>7323000</v>
      </c>
      <c r="Q98" s="15">
        <v>768915</v>
      </c>
      <c r="R98" s="15"/>
      <c r="S98" s="15"/>
      <c r="T98" s="15"/>
      <c r="U98" s="15">
        <v>9000000</v>
      </c>
      <c r="V98" s="15"/>
      <c r="W98" s="15"/>
      <c r="X98" s="15"/>
      <c r="Y98" s="15">
        <v>0</v>
      </c>
      <c r="Z98" s="15"/>
      <c r="AA98" s="15"/>
      <c r="AB98" s="15"/>
      <c r="AC98" s="15"/>
      <c r="AD98" s="15"/>
      <c r="AE98" s="15"/>
      <c r="AF98" s="15"/>
      <c r="AG98" s="15"/>
      <c r="AH98" s="15"/>
      <c r="AI98" s="15"/>
      <c r="AJ98" s="15"/>
      <c r="AK98" s="15"/>
      <c r="AL98" s="15"/>
      <c r="AM98" s="15"/>
      <c r="AN98" s="15">
        <v>0</v>
      </c>
      <c r="AO98" s="15">
        <v>0</v>
      </c>
      <c r="AP98" s="15">
        <v>6554085</v>
      </c>
      <c r="AQ98" s="15"/>
      <c r="AR98" s="15"/>
      <c r="AS98" s="15">
        <v>65541</v>
      </c>
      <c r="AT98" s="15">
        <v>0</v>
      </c>
      <c r="AU98" s="15"/>
      <c r="AV98" s="15">
        <v>6488544</v>
      </c>
    </row>
    <row r="99" spans="1:48" ht="12" customHeight="1" x14ac:dyDescent="0.3">
      <c r="A99" s="13">
        <v>84</v>
      </c>
      <c r="B99" s="11" t="s">
        <v>232</v>
      </c>
      <c r="C99" s="11" t="s">
        <v>855</v>
      </c>
      <c r="D99" s="11" t="s">
        <v>66</v>
      </c>
      <c r="E99" s="14"/>
      <c r="F99" s="14">
        <v>1.85</v>
      </c>
      <c r="G99" s="15">
        <v>20</v>
      </c>
      <c r="H99" s="15">
        <v>7323000</v>
      </c>
      <c r="I99" s="189">
        <v>1</v>
      </c>
      <c r="J99" s="15">
        <v>4255000</v>
      </c>
      <c r="K99" s="15">
        <v>0</v>
      </c>
      <c r="L99" s="15">
        <v>7323000</v>
      </c>
      <c r="M99" s="15">
        <v>0</v>
      </c>
      <c r="N99" s="15">
        <v>0</v>
      </c>
      <c r="O99" s="15">
        <v>0</v>
      </c>
      <c r="P99" s="15">
        <v>7323000</v>
      </c>
      <c r="Q99" s="15">
        <v>768915</v>
      </c>
      <c r="R99" s="15"/>
      <c r="S99" s="15"/>
      <c r="T99" s="15"/>
      <c r="U99" s="15">
        <v>12600000</v>
      </c>
      <c r="V99" s="15"/>
      <c r="W99" s="15"/>
      <c r="X99" s="15"/>
      <c r="Y99" s="15">
        <v>0</v>
      </c>
      <c r="Z99" s="15"/>
      <c r="AA99" s="15"/>
      <c r="AB99" s="15"/>
      <c r="AC99" s="15"/>
      <c r="AD99" s="15"/>
      <c r="AE99" s="15"/>
      <c r="AF99" s="15"/>
      <c r="AG99" s="15"/>
      <c r="AH99" s="15"/>
      <c r="AI99" s="15"/>
      <c r="AJ99" s="15"/>
      <c r="AK99" s="15"/>
      <c r="AL99" s="15"/>
      <c r="AM99" s="15"/>
      <c r="AN99" s="15">
        <v>0</v>
      </c>
      <c r="AO99" s="15">
        <v>0</v>
      </c>
      <c r="AP99" s="15">
        <v>6554085</v>
      </c>
      <c r="AQ99" s="15"/>
      <c r="AR99" s="15"/>
      <c r="AS99" s="15">
        <v>65541</v>
      </c>
      <c r="AT99" s="15">
        <v>0</v>
      </c>
      <c r="AU99" s="15"/>
      <c r="AV99" s="15">
        <v>6488544</v>
      </c>
    </row>
    <row r="100" spans="1:48" ht="12" customHeight="1" x14ac:dyDescent="0.3">
      <c r="A100" s="13">
        <v>85</v>
      </c>
      <c r="B100" s="11" t="s">
        <v>228</v>
      </c>
      <c r="C100" s="11" t="s">
        <v>855</v>
      </c>
      <c r="D100" s="11" t="s">
        <v>66</v>
      </c>
      <c r="E100" s="14"/>
      <c r="F100" s="14">
        <v>1.85</v>
      </c>
      <c r="G100" s="15">
        <v>20</v>
      </c>
      <c r="H100" s="15">
        <v>7323000</v>
      </c>
      <c r="I100" s="189">
        <v>1</v>
      </c>
      <c r="J100" s="15">
        <v>4255000</v>
      </c>
      <c r="K100" s="15">
        <v>0</v>
      </c>
      <c r="L100" s="15">
        <v>7323000</v>
      </c>
      <c r="M100" s="15">
        <v>0</v>
      </c>
      <c r="N100" s="15">
        <v>0</v>
      </c>
      <c r="O100" s="15">
        <v>0</v>
      </c>
      <c r="P100" s="15">
        <v>7323000</v>
      </c>
      <c r="Q100" s="15">
        <v>768915</v>
      </c>
      <c r="R100" s="15"/>
      <c r="S100" s="15"/>
      <c r="T100" s="15"/>
      <c r="U100" s="15">
        <v>9000000</v>
      </c>
      <c r="V100" s="15"/>
      <c r="W100" s="15"/>
      <c r="X100" s="15"/>
      <c r="Y100" s="15">
        <v>0</v>
      </c>
      <c r="Z100" s="15"/>
      <c r="AA100" s="15"/>
      <c r="AB100" s="15"/>
      <c r="AC100" s="15"/>
      <c r="AD100" s="15"/>
      <c r="AE100" s="15"/>
      <c r="AF100" s="15"/>
      <c r="AG100" s="15"/>
      <c r="AH100" s="15"/>
      <c r="AI100" s="15"/>
      <c r="AJ100" s="15"/>
      <c r="AK100" s="15"/>
      <c r="AL100" s="15"/>
      <c r="AM100" s="15"/>
      <c r="AN100" s="15">
        <v>0</v>
      </c>
      <c r="AO100" s="15">
        <v>0</v>
      </c>
      <c r="AP100" s="15">
        <v>6554085</v>
      </c>
      <c r="AQ100" s="15"/>
      <c r="AR100" s="15"/>
      <c r="AS100" s="15">
        <v>65541</v>
      </c>
      <c r="AT100" s="15">
        <v>0</v>
      </c>
      <c r="AU100" s="15"/>
      <c r="AV100" s="15">
        <v>6488544</v>
      </c>
    </row>
    <row r="101" spans="1:48" ht="12" customHeight="1" x14ac:dyDescent="0.3">
      <c r="A101" s="13">
        <v>86</v>
      </c>
      <c r="B101" s="11" t="s">
        <v>222</v>
      </c>
      <c r="C101" s="11" t="s">
        <v>855</v>
      </c>
      <c r="D101" s="11" t="s">
        <v>66</v>
      </c>
      <c r="E101" s="14"/>
      <c r="F101" s="14">
        <v>1.85</v>
      </c>
      <c r="G101" s="15">
        <v>20</v>
      </c>
      <c r="H101" s="15">
        <v>7323000</v>
      </c>
      <c r="I101" s="189">
        <v>1</v>
      </c>
      <c r="J101" s="15">
        <v>4255000</v>
      </c>
      <c r="K101" s="15">
        <v>0</v>
      </c>
      <c r="L101" s="15">
        <v>7323000</v>
      </c>
      <c r="M101" s="15">
        <v>730000</v>
      </c>
      <c r="N101" s="15">
        <v>0</v>
      </c>
      <c r="O101" s="15">
        <v>0</v>
      </c>
      <c r="P101" s="15">
        <v>8053000</v>
      </c>
      <c r="Q101" s="15">
        <v>768915</v>
      </c>
      <c r="R101" s="15"/>
      <c r="S101" s="15"/>
      <c r="T101" s="15"/>
      <c r="U101" s="15">
        <v>9000000</v>
      </c>
      <c r="V101" s="15"/>
      <c r="W101" s="15"/>
      <c r="X101" s="15"/>
      <c r="Y101" s="15">
        <v>0</v>
      </c>
      <c r="Z101" s="15"/>
      <c r="AA101" s="15"/>
      <c r="AB101" s="15"/>
      <c r="AC101" s="15"/>
      <c r="AD101" s="15"/>
      <c r="AE101" s="15"/>
      <c r="AF101" s="15"/>
      <c r="AG101" s="15"/>
      <c r="AH101" s="15"/>
      <c r="AI101" s="15"/>
      <c r="AJ101" s="15"/>
      <c r="AK101" s="15"/>
      <c r="AL101" s="15"/>
      <c r="AM101" s="15"/>
      <c r="AN101" s="15">
        <v>0</v>
      </c>
      <c r="AO101" s="15">
        <v>0</v>
      </c>
      <c r="AP101" s="15">
        <v>7284085</v>
      </c>
      <c r="AQ101" s="15"/>
      <c r="AR101" s="15"/>
      <c r="AS101" s="15">
        <v>72841</v>
      </c>
      <c r="AT101" s="15">
        <v>0</v>
      </c>
      <c r="AU101" s="15"/>
      <c r="AV101" s="15">
        <v>7211244</v>
      </c>
    </row>
    <row r="102" spans="1:48" ht="12" customHeight="1" x14ac:dyDescent="0.3">
      <c r="A102" s="13">
        <v>87</v>
      </c>
      <c r="B102" s="11" t="s">
        <v>243</v>
      </c>
      <c r="C102" s="11" t="s">
        <v>855</v>
      </c>
      <c r="D102" s="11" t="s">
        <v>66</v>
      </c>
      <c r="E102" s="14"/>
      <c r="F102" s="14">
        <v>1.85</v>
      </c>
      <c r="G102" s="15">
        <v>20</v>
      </c>
      <c r="H102" s="15">
        <v>7323000</v>
      </c>
      <c r="I102" s="189">
        <v>1</v>
      </c>
      <c r="J102" s="15">
        <v>4255000</v>
      </c>
      <c r="K102" s="15">
        <v>0</v>
      </c>
      <c r="L102" s="15">
        <v>7323000</v>
      </c>
      <c r="M102" s="15">
        <v>0</v>
      </c>
      <c r="N102" s="15">
        <v>0</v>
      </c>
      <c r="O102" s="15">
        <v>0</v>
      </c>
      <c r="P102" s="15">
        <v>7323000</v>
      </c>
      <c r="Q102" s="15">
        <v>768915</v>
      </c>
      <c r="R102" s="15"/>
      <c r="S102" s="15"/>
      <c r="T102" s="15"/>
      <c r="U102" s="15">
        <v>9000000</v>
      </c>
      <c r="V102" s="15"/>
      <c r="W102" s="15"/>
      <c r="X102" s="15"/>
      <c r="Y102" s="15">
        <v>0</v>
      </c>
      <c r="Z102" s="15"/>
      <c r="AA102" s="15"/>
      <c r="AB102" s="15"/>
      <c r="AC102" s="15"/>
      <c r="AD102" s="15"/>
      <c r="AE102" s="15"/>
      <c r="AF102" s="15"/>
      <c r="AG102" s="15"/>
      <c r="AH102" s="15"/>
      <c r="AI102" s="15"/>
      <c r="AJ102" s="15"/>
      <c r="AK102" s="15"/>
      <c r="AL102" s="15"/>
      <c r="AM102" s="15"/>
      <c r="AN102" s="15">
        <v>0</v>
      </c>
      <c r="AO102" s="15">
        <v>0</v>
      </c>
      <c r="AP102" s="15">
        <v>6554085</v>
      </c>
      <c r="AQ102" s="15"/>
      <c r="AR102" s="15"/>
      <c r="AS102" s="15">
        <v>65541</v>
      </c>
      <c r="AT102" s="15">
        <v>0</v>
      </c>
      <c r="AU102" s="15"/>
      <c r="AV102" s="15">
        <v>6488544</v>
      </c>
    </row>
    <row r="103" spans="1:48" ht="12" customHeight="1" x14ac:dyDescent="0.3">
      <c r="A103" s="13">
        <v>88</v>
      </c>
      <c r="B103" s="11" t="s">
        <v>224</v>
      </c>
      <c r="C103" s="11" t="s">
        <v>855</v>
      </c>
      <c r="D103" s="11" t="s">
        <v>66</v>
      </c>
      <c r="E103" s="14"/>
      <c r="F103" s="14">
        <v>1.85</v>
      </c>
      <c r="G103" s="15">
        <v>20</v>
      </c>
      <c r="H103" s="15">
        <v>7363000</v>
      </c>
      <c r="I103" s="189">
        <v>1</v>
      </c>
      <c r="J103" s="15">
        <v>4255000</v>
      </c>
      <c r="K103" s="15">
        <v>0</v>
      </c>
      <c r="L103" s="15">
        <v>7363000</v>
      </c>
      <c r="M103" s="15">
        <v>0</v>
      </c>
      <c r="N103" s="15">
        <v>0</v>
      </c>
      <c r="O103" s="15">
        <v>0</v>
      </c>
      <c r="P103" s="15">
        <v>7363000</v>
      </c>
      <c r="Q103" s="15">
        <v>773115</v>
      </c>
      <c r="R103" s="15"/>
      <c r="S103" s="15"/>
      <c r="T103" s="15"/>
      <c r="U103" s="15">
        <v>9000000</v>
      </c>
      <c r="V103" s="15"/>
      <c r="W103" s="15"/>
      <c r="X103" s="15"/>
      <c r="Y103" s="15">
        <v>0</v>
      </c>
      <c r="Z103" s="15"/>
      <c r="AA103" s="15"/>
      <c r="AB103" s="15"/>
      <c r="AC103" s="15"/>
      <c r="AD103" s="15"/>
      <c r="AE103" s="15"/>
      <c r="AF103" s="15"/>
      <c r="AG103" s="15"/>
      <c r="AH103" s="15"/>
      <c r="AI103" s="15"/>
      <c r="AJ103" s="15"/>
      <c r="AK103" s="15"/>
      <c r="AL103" s="15"/>
      <c r="AM103" s="15"/>
      <c r="AN103" s="15">
        <v>0</v>
      </c>
      <c r="AO103" s="15">
        <v>0</v>
      </c>
      <c r="AP103" s="15">
        <v>6589885</v>
      </c>
      <c r="AQ103" s="15"/>
      <c r="AR103" s="15"/>
      <c r="AS103" s="15">
        <v>65899</v>
      </c>
      <c r="AT103" s="15">
        <v>0</v>
      </c>
      <c r="AU103" s="15"/>
      <c r="AV103" s="15">
        <v>6523986</v>
      </c>
    </row>
    <row r="104" spans="1:48" ht="12" customHeight="1" x14ac:dyDescent="0.3">
      <c r="A104" s="13">
        <v>89</v>
      </c>
      <c r="B104" s="11" t="s">
        <v>226</v>
      </c>
      <c r="C104" s="11" t="s">
        <v>855</v>
      </c>
      <c r="D104" s="11" t="s">
        <v>66</v>
      </c>
      <c r="E104" s="14"/>
      <c r="F104" s="14">
        <v>1.85</v>
      </c>
      <c r="G104" s="15">
        <v>20</v>
      </c>
      <c r="H104" s="15">
        <v>7841000</v>
      </c>
      <c r="I104" s="189">
        <v>1</v>
      </c>
      <c r="J104" s="15">
        <v>4255000</v>
      </c>
      <c r="K104" s="15">
        <v>0</v>
      </c>
      <c r="L104" s="15">
        <v>7841000</v>
      </c>
      <c r="M104" s="15">
        <v>0</v>
      </c>
      <c r="N104" s="15">
        <v>0</v>
      </c>
      <c r="O104" s="15">
        <v>0</v>
      </c>
      <c r="P104" s="15">
        <v>7841000</v>
      </c>
      <c r="Q104" s="15">
        <v>823305</v>
      </c>
      <c r="R104" s="15"/>
      <c r="S104" s="15"/>
      <c r="T104" s="15"/>
      <c r="U104" s="15">
        <v>12600000</v>
      </c>
      <c r="V104" s="15"/>
      <c r="W104" s="15"/>
      <c r="X104" s="15"/>
      <c r="Y104" s="15">
        <v>0</v>
      </c>
      <c r="Z104" s="15"/>
      <c r="AA104" s="15"/>
      <c r="AB104" s="15"/>
      <c r="AC104" s="15"/>
      <c r="AD104" s="15"/>
      <c r="AE104" s="15"/>
      <c r="AF104" s="15"/>
      <c r="AG104" s="15"/>
      <c r="AH104" s="15"/>
      <c r="AI104" s="15"/>
      <c r="AJ104" s="15"/>
      <c r="AK104" s="15"/>
      <c r="AL104" s="15"/>
      <c r="AM104" s="15"/>
      <c r="AN104" s="15">
        <v>0</v>
      </c>
      <c r="AO104" s="15">
        <v>0</v>
      </c>
      <c r="AP104" s="15">
        <v>7017695</v>
      </c>
      <c r="AQ104" s="15"/>
      <c r="AR104" s="15"/>
      <c r="AS104" s="15">
        <v>70177</v>
      </c>
      <c r="AT104" s="15">
        <v>0</v>
      </c>
      <c r="AU104" s="15"/>
      <c r="AV104" s="15">
        <v>6947518</v>
      </c>
    </row>
    <row r="105" spans="1:48" ht="12" customHeight="1" x14ac:dyDescent="0.3">
      <c r="A105" s="13">
        <v>90</v>
      </c>
      <c r="B105" s="11" t="s">
        <v>236</v>
      </c>
      <c r="C105" s="11" t="s">
        <v>855</v>
      </c>
      <c r="D105" s="11" t="s">
        <v>66</v>
      </c>
      <c r="E105" s="14"/>
      <c r="F105" s="14">
        <v>1.85</v>
      </c>
      <c r="G105" s="15">
        <v>20</v>
      </c>
      <c r="H105" s="15">
        <v>7323000</v>
      </c>
      <c r="I105" s="189">
        <v>1</v>
      </c>
      <c r="J105" s="15">
        <v>4255000</v>
      </c>
      <c r="K105" s="15">
        <v>0</v>
      </c>
      <c r="L105" s="15">
        <v>7323000</v>
      </c>
      <c r="M105" s="15">
        <v>730000</v>
      </c>
      <c r="N105" s="15">
        <v>0</v>
      </c>
      <c r="O105" s="15">
        <v>0</v>
      </c>
      <c r="P105" s="15">
        <v>8053000</v>
      </c>
      <c r="Q105" s="15">
        <v>768915</v>
      </c>
      <c r="R105" s="15"/>
      <c r="S105" s="15"/>
      <c r="T105" s="15"/>
      <c r="U105" s="15">
        <v>9000000</v>
      </c>
      <c r="V105" s="15"/>
      <c r="W105" s="15"/>
      <c r="X105" s="15"/>
      <c r="Y105" s="15">
        <v>0</v>
      </c>
      <c r="Z105" s="15"/>
      <c r="AA105" s="15"/>
      <c r="AB105" s="15"/>
      <c r="AC105" s="15"/>
      <c r="AD105" s="15"/>
      <c r="AE105" s="15"/>
      <c r="AF105" s="15"/>
      <c r="AG105" s="15"/>
      <c r="AH105" s="15"/>
      <c r="AI105" s="15"/>
      <c r="AJ105" s="15"/>
      <c r="AK105" s="15"/>
      <c r="AL105" s="15"/>
      <c r="AM105" s="15"/>
      <c r="AN105" s="15">
        <v>0</v>
      </c>
      <c r="AO105" s="15">
        <v>0</v>
      </c>
      <c r="AP105" s="15">
        <v>7284085</v>
      </c>
      <c r="AQ105" s="15"/>
      <c r="AR105" s="15"/>
      <c r="AS105" s="15">
        <v>72841</v>
      </c>
      <c r="AT105" s="15">
        <v>0</v>
      </c>
      <c r="AU105" s="15"/>
      <c r="AV105" s="15">
        <v>7211244</v>
      </c>
    </row>
    <row r="106" spans="1:48" ht="12" customHeight="1" x14ac:dyDescent="0.3">
      <c r="A106" s="13">
        <v>91</v>
      </c>
      <c r="B106" s="11" t="s">
        <v>241</v>
      </c>
      <c r="C106" s="11" t="s">
        <v>855</v>
      </c>
      <c r="D106" s="11" t="s">
        <v>66</v>
      </c>
      <c r="E106" s="14"/>
      <c r="F106" s="14">
        <v>1.85</v>
      </c>
      <c r="G106" s="15">
        <v>20</v>
      </c>
      <c r="H106" s="15">
        <v>7323000</v>
      </c>
      <c r="I106" s="189">
        <v>1</v>
      </c>
      <c r="J106" s="15">
        <v>4255000</v>
      </c>
      <c r="K106" s="15">
        <v>0</v>
      </c>
      <c r="L106" s="15">
        <v>7323000</v>
      </c>
      <c r="M106" s="15">
        <v>730000</v>
      </c>
      <c r="N106" s="15">
        <v>0</v>
      </c>
      <c r="O106" s="15">
        <v>0</v>
      </c>
      <c r="P106" s="15">
        <v>8053000</v>
      </c>
      <c r="Q106" s="15">
        <v>768915</v>
      </c>
      <c r="R106" s="15"/>
      <c r="S106" s="15"/>
      <c r="T106" s="15"/>
      <c r="U106" s="15">
        <v>9000000</v>
      </c>
      <c r="V106" s="15"/>
      <c r="W106" s="15"/>
      <c r="X106" s="15"/>
      <c r="Y106" s="15">
        <v>0</v>
      </c>
      <c r="Z106" s="15"/>
      <c r="AA106" s="15"/>
      <c r="AB106" s="15"/>
      <c r="AC106" s="15"/>
      <c r="AD106" s="15"/>
      <c r="AE106" s="15"/>
      <c r="AF106" s="15"/>
      <c r="AG106" s="15"/>
      <c r="AH106" s="15"/>
      <c r="AI106" s="15"/>
      <c r="AJ106" s="15"/>
      <c r="AK106" s="15"/>
      <c r="AL106" s="15"/>
      <c r="AM106" s="15"/>
      <c r="AN106" s="15">
        <v>0</v>
      </c>
      <c r="AO106" s="15">
        <v>0</v>
      </c>
      <c r="AP106" s="15">
        <v>7284085</v>
      </c>
      <c r="AQ106" s="15"/>
      <c r="AR106" s="15"/>
      <c r="AS106" s="15">
        <v>72841</v>
      </c>
      <c r="AT106" s="15">
        <v>0</v>
      </c>
      <c r="AU106" s="15"/>
      <c r="AV106" s="15">
        <v>7211244</v>
      </c>
    </row>
    <row r="107" spans="1:48" ht="12" customHeight="1" x14ac:dyDescent="0.3">
      <c r="A107" s="13">
        <v>92</v>
      </c>
      <c r="B107" s="11" t="s">
        <v>805</v>
      </c>
      <c r="C107" s="11" t="s">
        <v>855</v>
      </c>
      <c r="D107" s="11" t="s">
        <v>66</v>
      </c>
      <c r="E107" s="14"/>
      <c r="F107" s="14">
        <v>0</v>
      </c>
      <c r="G107" s="15">
        <v>20</v>
      </c>
      <c r="H107" s="15">
        <v>6925000</v>
      </c>
      <c r="I107" s="189">
        <v>1</v>
      </c>
      <c r="J107" s="15"/>
      <c r="K107" s="15">
        <v>0</v>
      </c>
      <c r="L107" s="15">
        <v>6925000</v>
      </c>
      <c r="M107" s="15">
        <v>0</v>
      </c>
      <c r="N107" s="15">
        <v>0</v>
      </c>
      <c r="O107" s="15">
        <v>0</v>
      </c>
      <c r="P107" s="15">
        <v>6925000</v>
      </c>
      <c r="Q107" s="15">
        <v>727125</v>
      </c>
      <c r="R107" s="15"/>
      <c r="S107" s="15"/>
      <c r="T107" s="15"/>
      <c r="U107" s="15">
        <v>9000000</v>
      </c>
      <c r="V107" s="15"/>
      <c r="W107" s="15"/>
      <c r="X107" s="15"/>
      <c r="Y107" s="15">
        <v>0</v>
      </c>
      <c r="Z107" s="15"/>
      <c r="AA107" s="15"/>
      <c r="AB107" s="15"/>
      <c r="AC107" s="15"/>
      <c r="AD107" s="15"/>
      <c r="AE107" s="15"/>
      <c r="AF107" s="15"/>
      <c r="AG107" s="15"/>
      <c r="AH107" s="15"/>
      <c r="AI107" s="15"/>
      <c r="AJ107" s="15"/>
      <c r="AK107" s="15"/>
      <c r="AL107" s="15"/>
      <c r="AM107" s="15"/>
      <c r="AN107" s="15">
        <v>0</v>
      </c>
      <c r="AO107" s="15">
        <v>0</v>
      </c>
      <c r="AP107" s="15">
        <v>6197875</v>
      </c>
      <c r="AQ107" s="15"/>
      <c r="AR107" s="15"/>
      <c r="AS107" s="15">
        <v>61979</v>
      </c>
      <c r="AT107" s="15">
        <v>0</v>
      </c>
      <c r="AU107" s="15"/>
      <c r="AV107" s="15">
        <v>6135896</v>
      </c>
    </row>
    <row r="108" spans="1:48" ht="12" customHeight="1" x14ac:dyDescent="0.3">
      <c r="A108" s="13">
        <v>93</v>
      </c>
      <c r="B108" s="11" t="s">
        <v>234</v>
      </c>
      <c r="C108" s="11" t="s">
        <v>855</v>
      </c>
      <c r="D108" s="11" t="s">
        <v>66</v>
      </c>
      <c r="E108" s="14"/>
      <c r="F108" s="14">
        <v>0</v>
      </c>
      <c r="G108" s="15">
        <v>20</v>
      </c>
      <c r="H108" s="15">
        <v>7841000</v>
      </c>
      <c r="I108" s="189">
        <v>1</v>
      </c>
      <c r="J108" s="15"/>
      <c r="K108" s="15">
        <v>0</v>
      </c>
      <c r="L108" s="15">
        <v>7841000</v>
      </c>
      <c r="M108" s="15">
        <v>0</v>
      </c>
      <c r="N108" s="15">
        <v>0</v>
      </c>
      <c r="O108" s="15">
        <v>0</v>
      </c>
      <c r="P108" s="15">
        <v>7841000</v>
      </c>
      <c r="Q108" s="15">
        <v>823305</v>
      </c>
      <c r="R108" s="15"/>
      <c r="S108" s="15"/>
      <c r="T108" s="15"/>
      <c r="U108" s="15">
        <v>9000000</v>
      </c>
      <c r="V108" s="15"/>
      <c r="W108" s="15"/>
      <c r="X108" s="15"/>
      <c r="Y108" s="15">
        <v>0</v>
      </c>
      <c r="Z108" s="15"/>
      <c r="AA108" s="15"/>
      <c r="AB108" s="15"/>
      <c r="AC108" s="15"/>
      <c r="AD108" s="15"/>
      <c r="AE108" s="15"/>
      <c r="AF108" s="15"/>
      <c r="AG108" s="15"/>
      <c r="AH108" s="15"/>
      <c r="AI108" s="15"/>
      <c r="AJ108" s="15"/>
      <c r="AK108" s="15"/>
      <c r="AL108" s="15"/>
      <c r="AM108" s="15"/>
      <c r="AN108" s="15">
        <v>0</v>
      </c>
      <c r="AO108" s="15">
        <v>0</v>
      </c>
      <c r="AP108" s="15">
        <v>7017695</v>
      </c>
      <c r="AQ108" s="15"/>
      <c r="AR108" s="15"/>
      <c r="AS108" s="15">
        <v>70177</v>
      </c>
      <c r="AT108" s="15">
        <v>0</v>
      </c>
      <c r="AU108" s="15"/>
      <c r="AV108" s="15">
        <v>6947518</v>
      </c>
    </row>
    <row r="109" spans="1:48" ht="12" customHeight="1" x14ac:dyDescent="0.3">
      <c r="A109" s="13">
        <v>94</v>
      </c>
      <c r="B109" s="11" t="s">
        <v>245</v>
      </c>
      <c r="C109" s="11" t="s">
        <v>855</v>
      </c>
      <c r="D109" s="11" t="s">
        <v>200</v>
      </c>
      <c r="E109" s="14"/>
      <c r="F109" s="14">
        <v>1.54</v>
      </c>
      <c r="G109" s="15">
        <v>20</v>
      </c>
      <c r="H109" s="15">
        <v>7267700</v>
      </c>
      <c r="I109" s="189">
        <v>1</v>
      </c>
      <c r="J109" s="15">
        <v>3542000</v>
      </c>
      <c r="K109" s="15">
        <v>0</v>
      </c>
      <c r="L109" s="15">
        <v>7267700</v>
      </c>
      <c r="M109" s="15">
        <v>0</v>
      </c>
      <c r="N109" s="15">
        <v>0</v>
      </c>
      <c r="O109" s="15">
        <v>0</v>
      </c>
      <c r="P109" s="15">
        <v>7267700</v>
      </c>
      <c r="Q109" s="15">
        <v>763109</v>
      </c>
      <c r="R109" s="15"/>
      <c r="S109" s="15"/>
      <c r="T109" s="15"/>
      <c r="U109" s="15">
        <v>12600000</v>
      </c>
      <c r="V109" s="15"/>
      <c r="W109" s="15"/>
      <c r="X109" s="15"/>
      <c r="Y109" s="15">
        <v>0</v>
      </c>
      <c r="Z109" s="15"/>
      <c r="AA109" s="15"/>
      <c r="AB109" s="15"/>
      <c r="AC109" s="15"/>
      <c r="AD109" s="15"/>
      <c r="AE109" s="15"/>
      <c r="AF109" s="15"/>
      <c r="AG109" s="15"/>
      <c r="AH109" s="15"/>
      <c r="AI109" s="15"/>
      <c r="AJ109" s="15"/>
      <c r="AK109" s="15"/>
      <c r="AL109" s="15"/>
      <c r="AM109" s="15"/>
      <c r="AN109" s="15">
        <v>0</v>
      </c>
      <c r="AO109" s="15">
        <v>0</v>
      </c>
      <c r="AP109" s="15">
        <v>6504591</v>
      </c>
      <c r="AQ109" s="15"/>
      <c r="AR109" s="15"/>
      <c r="AS109" s="15">
        <v>65046</v>
      </c>
      <c r="AT109" s="15">
        <v>0</v>
      </c>
      <c r="AU109" s="15"/>
      <c r="AV109" s="15">
        <v>6439545</v>
      </c>
    </row>
    <row r="110" spans="1:48" ht="12" customHeight="1" x14ac:dyDescent="0.3">
      <c r="A110" s="13">
        <v>0</v>
      </c>
      <c r="B110" s="11" t="s">
        <v>40</v>
      </c>
      <c r="C110" s="11" t="s">
        <v>855</v>
      </c>
      <c r="D110" s="11"/>
      <c r="E110" s="14"/>
      <c r="F110" s="14">
        <v>38.270000000000003</v>
      </c>
      <c r="G110" s="15">
        <v>360</v>
      </c>
      <c r="H110" s="15">
        <v>150722000</v>
      </c>
      <c r="I110" s="189">
        <v>18</v>
      </c>
      <c r="J110" s="15">
        <v>88021000</v>
      </c>
      <c r="K110" s="15">
        <v>0</v>
      </c>
      <c r="L110" s="15">
        <v>150722000</v>
      </c>
      <c r="M110" s="15">
        <v>0</v>
      </c>
      <c r="N110" s="15">
        <v>0</v>
      </c>
      <c r="O110" s="15">
        <v>0</v>
      </c>
      <c r="P110" s="15">
        <v>150722000</v>
      </c>
      <c r="Q110" s="15">
        <v>15825810</v>
      </c>
      <c r="R110" s="15"/>
      <c r="S110" s="15"/>
      <c r="T110" s="15"/>
      <c r="U110" s="15">
        <v>237600000</v>
      </c>
      <c r="V110" s="15"/>
      <c r="W110" s="15"/>
      <c r="X110" s="15"/>
      <c r="Y110" s="15">
        <v>0</v>
      </c>
      <c r="Z110" s="15"/>
      <c r="AA110" s="15"/>
      <c r="AB110" s="15"/>
      <c r="AC110" s="15"/>
      <c r="AD110" s="15"/>
      <c r="AE110" s="15"/>
      <c r="AF110" s="15"/>
      <c r="AG110" s="15"/>
      <c r="AH110" s="15"/>
      <c r="AI110" s="15"/>
      <c r="AJ110" s="15"/>
      <c r="AK110" s="15"/>
      <c r="AL110" s="15"/>
      <c r="AM110" s="15"/>
      <c r="AN110" s="15">
        <v>0</v>
      </c>
      <c r="AO110" s="15">
        <v>0</v>
      </c>
      <c r="AP110" s="15">
        <v>134896190</v>
      </c>
      <c r="AQ110" s="15"/>
      <c r="AR110" s="15"/>
      <c r="AS110" s="15">
        <v>1348963</v>
      </c>
      <c r="AT110" s="15">
        <v>0</v>
      </c>
      <c r="AU110" s="15"/>
      <c r="AV110" s="15">
        <v>133547227</v>
      </c>
    </row>
    <row r="111" spans="1:48" ht="12" customHeight="1" x14ac:dyDescent="0.3">
      <c r="A111" s="13">
        <v>95</v>
      </c>
      <c r="B111" s="11" t="s">
        <v>248</v>
      </c>
      <c r="C111" s="11" t="s">
        <v>855</v>
      </c>
      <c r="D111" s="11" t="s">
        <v>214</v>
      </c>
      <c r="E111" s="14"/>
      <c r="F111" s="14">
        <v>6.25</v>
      </c>
      <c r="G111" s="15">
        <v>20</v>
      </c>
      <c r="H111" s="15">
        <v>16238000</v>
      </c>
      <c r="I111" s="189">
        <v>1</v>
      </c>
      <c r="J111" s="15">
        <v>14375000</v>
      </c>
      <c r="K111" s="15">
        <v>0</v>
      </c>
      <c r="L111" s="15">
        <v>16238000</v>
      </c>
      <c r="M111" s="15">
        <v>0</v>
      </c>
      <c r="N111" s="15">
        <v>0</v>
      </c>
      <c r="O111" s="15">
        <v>0</v>
      </c>
      <c r="P111" s="15">
        <v>16238000</v>
      </c>
      <c r="Q111" s="15">
        <v>1704990</v>
      </c>
      <c r="R111" s="15"/>
      <c r="S111" s="15"/>
      <c r="T111" s="15"/>
      <c r="U111" s="15">
        <v>16200000</v>
      </c>
      <c r="V111" s="15"/>
      <c r="W111" s="15"/>
      <c r="X111" s="15"/>
      <c r="Y111" s="15">
        <v>0</v>
      </c>
      <c r="Z111" s="15"/>
      <c r="AA111" s="15"/>
      <c r="AB111" s="15"/>
      <c r="AC111" s="15"/>
      <c r="AD111" s="15"/>
      <c r="AE111" s="15"/>
      <c r="AF111" s="15"/>
      <c r="AG111" s="15"/>
      <c r="AH111" s="15"/>
      <c r="AI111" s="15"/>
      <c r="AJ111" s="15"/>
      <c r="AK111" s="15"/>
      <c r="AL111" s="15"/>
      <c r="AM111" s="15"/>
      <c r="AN111" s="15">
        <v>0</v>
      </c>
      <c r="AO111" s="15">
        <v>0</v>
      </c>
      <c r="AP111" s="15">
        <v>14533010</v>
      </c>
      <c r="AQ111" s="15"/>
      <c r="AR111" s="15"/>
      <c r="AS111" s="15">
        <v>145330</v>
      </c>
      <c r="AT111" s="15">
        <v>0</v>
      </c>
      <c r="AU111" s="15"/>
      <c r="AV111" s="15">
        <v>14387680</v>
      </c>
    </row>
    <row r="112" spans="1:48" ht="12" customHeight="1" x14ac:dyDescent="0.3">
      <c r="A112" s="13">
        <v>96</v>
      </c>
      <c r="B112" s="11" t="s">
        <v>252</v>
      </c>
      <c r="C112" s="11" t="s">
        <v>855</v>
      </c>
      <c r="D112" s="11" t="s">
        <v>430</v>
      </c>
      <c r="E112" s="14"/>
      <c r="F112" s="14">
        <v>2.29</v>
      </c>
      <c r="G112" s="15">
        <v>20</v>
      </c>
      <c r="H112" s="15">
        <v>12020000</v>
      </c>
      <c r="I112" s="189">
        <v>1</v>
      </c>
      <c r="J112" s="15">
        <v>5267000</v>
      </c>
      <c r="K112" s="15">
        <v>0</v>
      </c>
      <c r="L112" s="15">
        <v>12020000</v>
      </c>
      <c r="M112" s="15">
        <v>0</v>
      </c>
      <c r="N112" s="15">
        <v>0</v>
      </c>
      <c r="O112" s="15">
        <v>0</v>
      </c>
      <c r="P112" s="15">
        <v>12020000</v>
      </c>
      <c r="Q112" s="15">
        <v>1262100</v>
      </c>
      <c r="R112" s="15"/>
      <c r="S112" s="15"/>
      <c r="T112" s="15"/>
      <c r="U112" s="15">
        <v>19800000</v>
      </c>
      <c r="V112" s="15"/>
      <c r="W112" s="15"/>
      <c r="X112" s="15"/>
      <c r="Y112" s="15">
        <v>0</v>
      </c>
      <c r="Z112" s="15"/>
      <c r="AA112" s="15"/>
      <c r="AB112" s="15"/>
      <c r="AC112" s="15"/>
      <c r="AD112" s="15"/>
      <c r="AE112" s="15"/>
      <c r="AF112" s="15"/>
      <c r="AG112" s="15"/>
      <c r="AH112" s="15"/>
      <c r="AI112" s="15"/>
      <c r="AJ112" s="15"/>
      <c r="AK112" s="15"/>
      <c r="AL112" s="15"/>
      <c r="AM112" s="15"/>
      <c r="AN112" s="15">
        <v>0</v>
      </c>
      <c r="AO112" s="15">
        <v>0</v>
      </c>
      <c r="AP112" s="15">
        <v>10757900</v>
      </c>
      <c r="AQ112" s="15"/>
      <c r="AR112" s="15"/>
      <c r="AS112" s="15">
        <v>107579</v>
      </c>
      <c r="AT112" s="15">
        <v>0</v>
      </c>
      <c r="AU112" s="15"/>
      <c r="AV112" s="15">
        <v>10650321</v>
      </c>
    </row>
    <row r="113" spans="1:48" ht="12" customHeight="1" x14ac:dyDescent="0.3">
      <c r="A113" s="13">
        <v>97</v>
      </c>
      <c r="B113" s="11" t="s">
        <v>250</v>
      </c>
      <c r="C113" s="11" t="s">
        <v>855</v>
      </c>
      <c r="D113" s="11" t="s">
        <v>217</v>
      </c>
      <c r="E113" s="14"/>
      <c r="F113" s="14">
        <v>2.29</v>
      </c>
      <c r="G113" s="15">
        <v>20</v>
      </c>
      <c r="H113" s="15">
        <v>10666000</v>
      </c>
      <c r="I113" s="189">
        <v>1</v>
      </c>
      <c r="J113" s="15">
        <v>5267000</v>
      </c>
      <c r="K113" s="15">
        <v>0</v>
      </c>
      <c r="L113" s="15">
        <v>10666000</v>
      </c>
      <c r="M113" s="15">
        <v>0</v>
      </c>
      <c r="N113" s="15">
        <v>0</v>
      </c>
      <c r="O113" s="15">
        <v>0</v>
      </c>
      <c r="P113" s="15">
        <v>10666000</v>
      </c>
      <c r="Q113" s="15">
        <v>1119930</v>
      </c>
      <c r="R113" s="15"/>
      <c r="S113" s="15"/>
      <c r="T113" s="15"/>
      <c r="U113" s="15">
        <v>23400000</v>
      </c>
      <c r="V113" s="15"/>
      <c r="W113" s="15"/>
      <c r="X113" s="15"/>
      <c r="Y113" s="15">
        <v>0</v>
      </c>
      <c r="Z113" s="15"/>
      <c r="AA113" s="15"/>
      <c r="AB113" s="15"/>
      <c r="AC113" s="15"/>
      <c r="AD113" s="15"/>
      <c r="AE113" s="15"/>
      <c r="AF113" s="15"/>
      <c r="AG113" s="15"/>
      <c r="AH113" s="15"/>
      <c r="AI113" s="15"/>
      <c r="AJ113" s="15"/>
      <c r="AK113" s="15"/>
      <c r="AL113" s="15"/>
      <c r="AM113" s="15"/>
      <c r="AN113" s="15">
        <v>0</v>
      </c>
      <c r="AO113" s="15">
        <v>0</v>
      </c>
      <c r="AP113" s="15">
        <v>9546070</v>
      </c>
      <c r="AQ113" s="15"/>
      <c r="AR113" s="15"/>
      <c r="AS113" s="15">
        <v>95461</v>
      </c>
      <c r="AT113" s="15">
        <v>0</v>
      </c>
      <c r="AU113" s="15"/>
      <c r="AV113" s="15">
        <v>9450609</v>
      </c>
    </row>
    <row r="114" spans="1:48" ht="12" customHeight="1" x14ac:dyDescent="0.3">
      <c r="A114" s="13">
        <v>98</v>
      </c>
      <c r="B114" s="11" t="s">
        <v>254</v>
      </c>
      <c r="C114" s="11" t="s">
        <v>855</v>
      </c>
      <c r="D114" s="11" t="s">
        <v>217</v>
      </c>
      <c r="E114" s="14"/>
      <c r="F114" s="14">
        <v>2.29</v>
      </c>
      <c r="G114" s="15">
        <v>20</v>
      </c>
      <c r="H114" s="15">
        <v>9831000</v>
      </c>
      <c r="I114" s="189">
        <v>1</v>
      </c>
      <c r="J114" s="15">
        <v>5267000</v>
      </c>
      <c r="K114" s="15">
        <v>0</v>
      </c>
      <c r="L114" s="15">
        <v>9831000</v>
      </c>
      <c r="M114" s="15">
        <v>0</v>
      </c>
      <c r="N114" s="15">
        <v>0</v>
      </c>
      <c r="O114" s="15">
        <v>0</v>
      </c>
      <c r="P114" s="15">
        <v>9831000</v>
      </c>
      <c r="Q114" s="15">
        <v>1032255</v>
      </c>
      <c r="R114" s="15"/>
      <c r="S114" s="15"/>
      <c r="T114" s="15"/>
      <c r="U114" s="15">
        <v>16200000</v>
      </c>
      <c r="V114" s="15"/>
      <c r="W114" s="15"/>
      <c r="X114" s="15"/>
      <c r="Y114" s="15">
        <v>0</v>
      </c>
      <c r="Z114" s="15"/>
      <c r="AA114" s="15"/>
      <c r="AB114" s="15"/>
      <c r="AC114" s="15"/>
      <c r="AD114" s="15"/>
      <c r="AE114" s="15"/>
      <c r="AF114" s="15"/>
      <c r="AG114" s="15"/>
      <c r="AH114" s="15"/>
      <c r="AI114" s="15"/>
      <c r="AJ114" s="15"/>
      <c r="AK114" s="15"/>
      <c r="AL114" s="15"/>
      <c r="AM114" s="15"/>
      <c r="AN114" s="15">
        <v>0</v>
      </c>
      <c r="AO114" s="15">
        <v>0</v>
      </c>
      <c r="AP114" s="15">
        <v>8798745</v>
      </c>
      <c r="AQ114" s="15"/>
      <c r="AR114" s="15"/>
      <c r="AS114" s="15">
        <v>87987</v>
      </c>
      <c r="AT114" s="15">
        <v>0</v>
      </c>
      <c r="AU114" s="15"/>
      <c r="AV114" s="15">
        <v>8710758</v>
      </c>
    </row>
    <row r="115" spans="1:48" ht="12" customHeight="1" x14ac:dyDescent="0.3">
      <c r="A115" s="13">
        <v>99</v>
      </c>
      <c r="B115" s="11" t="s">
        <v>256</v>
      </c>
      <c r="C115" s="11" t="s">
        <v>855</v>
      </c>
      <c r="D115" s="11" t="s">
        <v>66</v>
      </c>
      <c r="E115" s="14"/>
      <c r="F115" s="14">
        <v>1.85</v>
      </c>
      <c r="G115" s="15">
        <v>20</v>
      </c>
      <c r="H115" s="15">
        <v>7801000</v>
      </c>
      <c r="I115" s="189">
        <v>1</v>
      </c>
      <c r="J115" s="15">
        <v>4255000</v>
      </c>
      <c r="K115" s="15">
        <v>0</v>
      </c>
      <c r="L115" s="15">
        <v>7801000</v>
      </c>
      <c r="M115" s="15">
        <v>0</v>
      </c>
      <c r="N115" s="15">
        <v>0</v>
      </c>
      <c r="O115" s="15">
        <v>0</v>
      </c>
      <c r="P115" s="15">
        <v>7801000</v>
      </c>
      <c r="Q115" s="15">
        <v>819105</v>
      </c>
      <c r="R115" s="15"/>
      <c r="S115" s="15"/>
      <c r="T115" s="15"/>
      <c r="U115" s="15">
        <v>12600000</v>
      </c>
      <c r="V115" s="15"/>
      <c r="W115" s="15"/>
      <c r="X115" s="15"/>
      <c r="Y115" s="15">
        <v>0</v>
      </c>
      <c r="Z115" s="15"/>
      <c r="AA115" s="15"/>
      <c r="AB115" s="15"/>
      <c r="AC115" s="15"/>
      <c r="AD115" s="15"/>
      <c r="AE115" s="15"/>
      <c r="AF115" s="15"/>
      <c r="AG115" s="15"/>
      <c r="AH115" s="15"/>
      <c r="AI115" s="15"/>
      <c r="AJ115" s="15"/>
      <c r="AK115" s="15"/>
      <c r="AL115" s="15"/>
      <c r="AM115" s="15"/>
      <c r="AN115" s="15">
        <v>0</v>
      </c>
      <c r="AO115" s="15">
        <v>0</v>
      </c>
      <c r="AP115" s="15">
        <v>6981895</v>
      </c>
      <c r="AQ115" s="15"/>
      <c r="AR115" s="15"/>
      <c r="AS115" s="15">
        <v>69819</v>
      </c>
      <c r="AT115" s="15">
        <v>0</v>
      </c>
      <c r="AU115" s="15"/>
      <c r="AV115" s="15">
        <v>6912076</v>
      </c>
    </row>
    <row r="116" spans="1:48" ht="12" customHeight="1" x14ac:dyDescent="0.3">
      <c r="A116" s="13">
        <v>100</v>
      </c>
      <c r="B116" s="11" t="s">
        <v>258</v>
      </c>
      <c r="C116" s="11" t="s">
        <v>855</v>
      </c>
      <c r="D116" s="11" t="s">
        <v>66</v>
      </c>
      <c r="E116" s="14"/>
      <c r="F116" s="14">
        <v>1.85</v>
      </c>
      <c r="G116" s="15">
        <v>20</v>
      </c>
      <c r="H116" s="15">
        <v>7841000</v>
      </c>
      <c r="I116" s="189">
        <v>1</v>
      </c>
      <c r="J116" s="15">
        <v>4255000</v>
      </c>
      <c r="K116" s="15">
        <v>0</v>
      </c>
      <c r="L116" s="15">
        <v>7841000</v>
      </c>
      <c r="M116" s="15">
        <v>0</v>
      </c>
      <c r="N116" s="15">
        <v>0</v>
      </c>
      <c r="O116" s="15">
        <v>0</v>
      </c>
      <c r="P116" s="15">
        <v>7841000</v>
      </c>
      <c r="Q116" s="15">
        <v>823305</v>
      </c>
      <c r="R116" s="15"/>
      <c r="S116" s="15"/>
      <c r="T116" s="15"/>
      <c r="U116" s="15">
        <v>12600000</v>
      </c>
      <c r="V116" s="15"/>
      <c r="W116" s="15"/>
      <c r="X116" s="15"/>
      <c r="Y116" s="15">
        <v>0</v>
      </c>
      <c r="Z116" s="15"/>
      <c r="AA116" s="15"/>
      <c r="AB116" s="15"/>
      <c r="AC116" s="15"/>
      <c r="AD116" s="15"/>
      <c r="AE116" s="15"/>
      <c r="AF116" s="15"/>
      <c r="AG116" s="15"/>
      <c r="AH116" s="15"/>
      <c r="AI116" s="15"/>
      <c r="AJ116" s="15"/>
      <c r="AK116" s="15"/>
      <c r="AL116" s="15"/>
      <c r="AM116" s="15"/>
      <c r="AN116" s="15">
        <v>0</v>
      </c>
      <c r="AO116" s="15">
        <v>0</v>
      </c>
      <c r="AP116" s="15">
        <v>7017695</v>
      </c>
      <c r="AQ116" s="15"/>
      <c r="AR116" s="15"/>
      <c r="AS116" s="15">
        <v>70177</v>
      </c>
      <c r="AT116" s="15">
        <v>0</v>
      </c>
      <c r="AU116" s="15"/>
      <c r="AV116" s="15">
        <v>6947518</v>
      </c>
    </row>
    <row r="117" spans="1:48" ht="12" customHeight="1" x14ac:dyDescent="0.3">
      <c r="A117" s="13">
        <v>101</v>
      </c>
      <c r="B117" s="11" t="s">
        <v>260</v>
      </c>
      <c r="C117" s="11" t="s">
        <v>855</v>
      </c>
      <c r="D117" s="11" t="s">
        <v>66</v>
      </c>
      <c r="E117" s="14"/>
      <c r="F117" s="14">
        <v>1.85</v>
      </c>
      <c r="G117" s="15">
        <v>20</v>
      </c>
      <c r="H117" s="15">
        <v>7363000</v>
      </c>
      <c r="I117" s="189">
        <v>1</v>
      </c>
      <c r="J117" s="15">
        <v>4255000</v>
      </c>
      <c r="K117" s="15">
        <v>0</v>
      </c>
      <c r="L117" s="15">
        <v>7363000</v>
      </c>
      <c r="M117" s="15">
        <v>0</v>
      </c>
      <c r="N117" s="15">
        <v>0</v>
      </c>
      <c r="O117" s="15">
        <v>0</v>
      </c>
      <c r="P117" s="15">
        <v>7363000</v>
      </c>
      <c r="Q117" s="15">
        <v>773115</v>
      </c>
      <c r="R117" s="15"/>
      <c r="S117" s="15"/>
      <c r="T117" s="15"/>
      <c r="U117" s="15">
        <v>16200000</v>
      </c>
      <c r="V117" s="15"/>
      <c r="W117" s="15"/>
      <c r="X117" s="15"/>
      <c r="Y117" s="15">
        <v>0</v>
      </c>
      <c r="Z117" s="15"/>
      <c r="AA117" s="15"/>
      <c r="AB117" s="15"/>
      <c r="AC117" s="15"/>
      <c r="AD117" s="15"/>
      <c r="AE117" s="15"/>
      <c r="AF117" s="15"/>
      <c r="AG117" s="15"/>
      <c r="AH117" s="15"/>
      <c r="AI117" s="15"/>
      <c r="AJ117" s="15"/>
      <c r="AK117" s="15"/>
      <c r="AL117" s="15"/>
      <c r="AM117" s="15"/>
      <c r="AN117" s="15">
        <v>0</v>
      </c>
      <c r="AO117" s="15">
        <v>0</v>
      </c>
      <c r="AP117" s="15">
        <v>6589885</v>
      </c>
      <c r="AQ117" s="15"/>
      <c r="AR117" s="15"/>
      <c r="AS117" s="15">
        <v>65899</v>
      </c>
      <c r="AT117" s="15">
        <v>0</v>
      </c>
      <c r="AU117" s="15"/>
      <c r="AV117" s="15">
        <v>6523986</v>
      </c>
    </row>
    <row r="118" spans="1:48" ht="12" customHeight="1" x14ac:dyDescent="0.3">
      <c r="A118" s="13">
        <v>102</v>
      </c>
      <c r="B118" s="11" t="s">
        <v>270</v>
      </c>
      <c r="C118" s="11" t="s">
        <v>855</v>
      </c>
      <c r="D118" s="11" t="s">
        <v>66</v>
      </c>
      <c r="E118" s="14"/>
      <c r="F118" s="14">
        <v>1.85</v>
      </c>
      <c r="G118" s="15">
        <v>20</v>
      </c>
      <c r="H118" s="15">
        <v>7841000</v>
      </c>
      <c r="I118" s="189">
        <v>1</v>
      </c>
      <c r="J118" s="15">
        <v>4255000</v>
      </c>
      <c r="K118" s="15">
        <v>0</v>
      </c>
      <c r="L118" s="15">
        <v>7841000</v>
      </c>
      <c r="M118" s="15">
        <v>0</v>
      </c>
      <c r="N118" s="15">
        <v>0</v>
      </c>
      <c r="O118" s="15">
        <v>0</v>
      </c>
      <c r="P118" s="15">
        <v>7841000</v>
      </c>
      <c r="Q118" s="15">
        <v>823305</v>
      </c>
      <c r="R118" s="15"/>
      <c r="S118" s="15"/>
      <c r="T118" s="15"/>
      <c r="U118" s="15">
        <v>16200000</v>
      </c>
      <c r="V118" s="15"/>
      <c r="W118" s="15"/>
      <c r="X118" s="15"/>
      <c r="Y118" s="15">
        <v>0</v>
      </c>
      <c r="Z118" s="15"/>
      <c r="AA118" s="15"/>
      <c r="AB118" s="15"/>
      <c r="AC118" s="15"/>
      <c r="AD118" s="15"/>
      <c r="AE118" s="15"/>
      <c r="AF118" s="15"/>
      <c r="AG118" s="15"/>
      <c r="AH118" s="15"/>
      <c r="AI118" s="15"/>
      <c r="AJ118" s="15"/>
      <c r="AK118" s="15"/>
      <c r="AL118" s="15"/>
      <c r="AM118" s="15"/>
      <c r="AN118" s="15">
        <v>0</v>
      </c>
      <c r="AO118" s="15">
        <v>0</v>
      </c>
      <c r="AP118" s="15">
        <v>7017695</v>
      </c>
      <c r="AQ118" s="15"/>
      <c r="AR118" s="15"/>
      <c r="AS118" s="15">
        <v>70177</v>
      </c>
      <c r="AT118" s="15">
        <v>0</v>
      </c>
      <c r="AU118" s="15"/>
      <c r="AV118" s="15">
        <v>6947518</v>
      </c>
    </row>
    <row r="119" spans="1:48" ht="12" customHeight="1" x14ac:dyDescent="0.3">
      <c r="A119" s="13">
        <v>103</v>
      </c>
      <c r="B119" s="11" t="s">
        <v>272</v>
      </c>
      <c r="C119" s="11" t="s">
        <v>855</v>
      </c>
      <c r="D119" s="11" t="s">
        <v>66</v>
      </c>
      <c r="E119" s="14"/>
      <c r="F119" s="14">
        <v>1.85</v>
      </c>
      <c r="G119" s="15">
        <v>20</v>
      </c>
      <c r="H119" s="15">
        <v>7323000</v>
      </c>
      <c r="I119" s="189">
        <v>1</v>
      </c>
      <c r="J119" s="15">
        <v>4255000</v>
      </c>
      <c r="K119" s="15">
        <v>0</v>
      </c>
      <c r="L119" s="15">
        <v>7323000</v>
      </c>
      <c r="M119" s="15">
        <v>0</v>
      </c>
      <c r="N119" s="15">
        <v>0</v>
      </c>
      <c r="O119" s="15">
        <v>0</v>
      </c>
      <c r="P119" s="15">
        <v>7323000</v>
      </c>
      <c r="Q119" s="15">
        <v>768915</v>
      </c>
      <c r="R119" s="15"/>
      <c r="S119" s="15"/>
      <c r="T119" s="15"/>
      <c r="U119" s="15">
        <v>9000000</v>
      </c>
      <c r="V119" s="15"/>
      <c r="W119" s="15"/>
      <c r="X119" s="15"/>
      <c r="Y119" s="15">
        <v>0</v>
      </c>
      <c r="Z119" s="15"/>
      <c r="AA119" s="15"/>
      <c r="AB119" s="15"/>
      <c r="AC119" s="15"/>
      <c r="AD119" s="15"/>
      <c r="AE119" s="15"/>
      <c r="AF119" s="15"/>
      <c r="AG119" s="15"/>
      <c r="AH119" s="15"/>
      <c r="AI119" s="15"/>
      <c r="AJ119" s="15"/>
      <c r="AK119" s="15"/>
      <c r="AL119" s="15"/>
      <c r="AM119" s="15"/>
      <c r="AN119" s="15">
        <v>0</v>
      </c>
      <c r="AO119" s="15">
        <v>0</v>
      </c>
      <c r="AP119" s="15">
        <v>6554085</v>
      </c>
      <c r="AQ119" s="15"/>
      <c r="AR119" s="15"/>
      <c r="AS119" s="15">
        <v>65541</v>
      </c>
      <c r="AT119" s="15">
        <v>0</v>
      </c>
      <c r="AU119" s="15"/>
      <c r="AV119" s="15">
        <v>6488544</v>
      </c>
    </row>
    <row r="120" spans="1:48" ht="12" customHeight="1" x14ac:dyDescent="0.3">
      <c r="A120" s="13">
        <v>104</v>
      </c>
      <c r="B120" s="11" t="s">
        <v>262</v>
      </c>
      <c r="C120" s="11" t="s">
        <v>855</v>
      </c>
      <c r="D120" s="11" t="s">
        <v>66</v>
      </c>
      <c r="E120" s="14"/>
      <c r="F120" s="14">
        <v>1.85</v>
      </c>
      <c r="G120" s="15">
        <v>20</v>
      </c>
      <c r="H120" s="15">
        <v>7323000</v>
      </c>
      <c r="I120" s="189">
        <v>1</v>
      </c>
      <c r="J120" s="15">
        <v>4255000</v>
      </c>
      <c r="K120" s="15">
        <v>0</v>
      </c>
      <c r="L120" s="15">
        <v>7323000</v>
      </c>
      <c r="M120" s="15">
        <v>0</v>
      </c>
      <c r="N120" s="15">
        <v>0</v>
      </c>
      <c r="O120" s="15">
        <v>0</v>
      </c>
      <c r="P120" s="15">
        <v>7323000</v>
      </c>
      <c r="Q120" s="15">
        <v>768915</v>
      </c>
      <c r="R120" s="15"/>
      <c r="S120" s="15"/>
      <c r="T120" s="15"/>
      <c r="U120" s="15">
        <v>16200000</v>
      </c>
      <c r="V120" s="15"/>
      <c r="W120" s="15"/>
      <c r="X120" s="15"/>
      <c r="Y120" s="15">
        <v>0</v>
      </c>
      <c r="Z120" s="15"/>
      <c r="AA120" s="15"/>
      <c r="AB120" s="15"/>
      <c r="AC120" s="15"/>
      <c r="AD120" s="15"/>
      <c r="AE120" s="15"/>
      <c r="AF120" s="15"/>
      <c r="AG120" s="15"/>
      <c r="AH120" s="15"/>
      <c r="AI120" s="15"/>
      <c r="AJ120" s="15"/>
      <c r="AK120" s="15"/>
      <c r="AL120" s="15"/>
      <c r="AM120" s="15"/>
      <c r="AN120" s="15">
        <v>0</v>
      </c>
      <c r="AO120" s="15">
        <v>0</v>
      </c>
      <c r="AP120" s="15">
        <v>6554085</v>
      </c>
      <c r="AQ120" s="15"/>
      <c r="AR120" s="15"/>
      <c r="AS120" s="15">
        <v>65541</v>
      </c>
      <c r="AT120" s="15">
        <v>0</v>
      </c>
      <c r="AU120" s="15"/>
      <c r="AV120" s="15">
        <v>6488544</v>
      </c>
    </row>
    <row r="121" spans="1:48" ht="12" customHeight="1" x14ac:dyDescent="0.3">
      <c r="A121" s="13">
        <v>105</v>
      </c>
      <c r="B121" s="11" t="s">
        <v>264</v>
      </c>
      <c r="C121" s="11" t="s">
        <v>855</v>
      </c>
      <c r="D121" s="11" t="s">
        <v>66</v>
      </c>
      <c r="E121" s="14"/>
      <c r="F121" s="14">
        <v>1.85</v>
      </c>
      <c r="G121" s="15">
        <v>20</v>
      </c>
      <c r="H121" s="15">
        <v>7801000</v>
      </c>
      <c r="I121" s="189">
        <v>1</v>
      </c>
      <c r="J121" s="15">
        <v>4255000</v>
      </c>
      <c r="K121" s="15">
        <v>0</v>
      </c>
      <c r="L121" s="15">
        <v>7801000</v>
      </c>
      <c r="M121" s="15">
        <v>0</v>
      </c>
      <c r="N121" s="15">
        <v>0</v>
      </c>
      <c r="O121" s="15">
        <v>0</v>
      </c>
      <c r="P121" s="15">
        <v>7801000</v>
      </c>
      <c r="Q121" s="15">
        <v>819105</v>
      </c>
      <c r="R121" s="15"/>
      <c r="S121" s="15"/>
      <c r="T121" s="15"/>
      <c r="U121" s="15">
        <v>9000000</v>
      </c>
      <c r="V121" s="15"/>
      <c r="W121" s="15"/>
      <c r="X121" s="15"/>
      <c r="Y121" s="15">
        <v>0</v>
      </c>
      <c r="Z121" s="15"/>
      <c r="AA121" s="15"/>
      <c r="AB121" s="15"/>
      <c r="AC121" s="15"/>
      <c r="AD121" s="15"/>
      <c r="AE121" s="15"/>
      <c r="AF121" s="15"/>
      <c r="AG121" s="15"/>
      <c r="AH121" s="15"/>
      <c r="AI121" s="15"/>
      <c r="AJ121" s="15"/>
      <c r="AK121" s="15"/>
      <c r="AL121" s="15"/>
      <c r="AM121" s="15"/>
      <c r="AN121" s="15">
        <v>0</v>
      </c>
      <c r="AO121" s="15">
        <v>0</v>
      </c>
      <c r="AP121" s="15">
        <v>6981895</v>
      </c>
      <c r="AQ121" s="15"/>
      <c r="AR121" s="15"/>
      <c r="AS121" s="15">
        <v>69819</v>
      </c>
      <c r="AT121" s="15">
        <v>0</v>
      </c>
      <c r="AU121" s="15"/>
      <c r="AV121" s="15">
        <v>6912076</v>
      </c>
    </row>
    <row r="122" spans="1:48" ht="12" customHeight="1" x14ac:dyDescent="0.3">
      <c r="A122" s="13">
        <v>106</v>
      </c>
      <c r="B122" s="11" t="s">
        <v>266</v>
      </c>
      <c r="C122" s="11" t="s">
        <v>855</v>
      </c>
      <c r="D122" s="11" t="s">
        <v>66</v>
      </c>
      <c r="E122" s="14"/>
      <c r="F122" s="14">
        <v>1.85</v>
      </c>
      <c r="G122" s="15">
        <v>20</v>
      </c>
      <c r="H122" s="15">
        <v>7323000</v>
      </c>
      <c r="I122" s="189">
        <v>1</v>
      </c>
      <c r="J122" s="15">
        <v>4255000</v>
      </c>
      <c r="K122" s="15">
        <v>0</v>
      </c>
      <c r="L122" s="15">
        <v>7323000</v>
      </c>
      <c r="M122" s="15">
        <v>0</v>
      </c>
      <c r="N122" s="15">
        <v>0</v>
      </c>
      <c r="O122" s="15">
        <v>0</v>
      </c>
      <c r="P122" s="15">
        <v>7323000</v>
      </c>
      <c r="Q122" s="15">
        <v>768915</v>
      </c>
      <c r="R122" s="15"/>
      <c r="S122" s="15"/>
      <c r="T122" s="15"/>
      <c r="U122" s="15">
        <v>12600000</v>
      </c>
      <c r="V122" s="15"/>
      <c r="W122" s="15"/>
      <c r="X122" s="15"/>
      <c r="Y122" s="15">
        <v>0</v>
      </c>
      <c r="Z122" s="15"/>
      <c r="AA122" s="15"/>
      <c r="AB122" s="15"/>
      <c r="AC122" s="15"/>
      <c r="AD122" s="15"/>
      <c r="AE122" s="15"/>
      <c r="AF122" s="15"/>
      <c r="AG122" s="15"/>
      <c r="AH122" s="15"/>
      <c r="AI122" s="15"/>
      <c r="AJ122" s="15"/>
      <c r="AK122" s="15"/>
      <c r="AL122" s="15"/>
      <c r="AM122" s="15"/>
      <c r="AN122" s="15">
        <v>0</v>
      </c>
      <c r="AO122" s="15">
        <v>0</v>
      </c>
      <c r="AP122" s="15">
        <v>6554085</v>
      </c>
      <c r="AQ122" s="15"/>
      <c r="AR122" s="15"/>
      <c r="AS122" s="15">
        <v>65541</v>
      </c>
      <c r="AT122" s="15">
        <v>0</v>
      </c>
      <c r="AU122" s="15"/>
      <c r="AV122" s="15">
        <v>6488544</v>
      </c>
    </row>
    <row r="123" spans="1:48" ht="12" customHeight="1" x14ac:dyDescent="0.3">
      <c r="A123" s="13">
        <v>107</v>
      </c>
      <c r="B123" s="11" t="s">
        <v>268</v>
      </c>
      <c r="C123" s="11" t="s">
        <v>855</v>
      </c>
      <c r="D123" s="11" t="s">
        <v>66</v>
      </c>
      <c r="E123" s="14"/>
      <c r="F123" s="14">
        <v>1.85</v>
      </c>
      <c r="G123" s="15">
        <v>20</v>
      </c>
      <c r="H123" s="15">
        <v>7323000</v>
      </c>
      <c r="I123" s="189">
        <v>1</v>
      </c>
      <c r="J123" s="15">
        <v>4255000</v>
      </c>
      <c r="K123" s="15">
        <v>0</v>
      </c>
      <c r="L123" s="15">
        <v>7323000</v>
      </c>
      <c r="M123" s="15">
        <v>0</v>
      </c>
      <c r="N123" s="15">
        <v>0</v>
      </c>
      <c r="O123" s="15">
        <v>0</v>
      </c>
      <c r="P123" s="15">
        <v>7323000</v>
      </c>
      <c r="Q123" s="15">
        <v>768915</v>
      </c>
      <c r="R123" s="15"/>
      <c r="S123" s="15"/>
      <c r="T123" s="15"/>
      <c r="U123" s="15">
        <v>9000000</v>
      </c>
      <c r="V123" s="15"/>
      <c r="W123" s="15"/>
      <c r="X123" s="15"/>
      <c r="Y123" s="15">
        <v>0</v>
      </c>
      <c r="Z123" s="15"/>
      <c r="AA123" s="15"/>
      <c r="AB123" s="15"/>
      <c r="AC123" s="15"/>
      <c r="AD123" s="15"/>
      <c r="AE123" s="15"/>
      <c r="AF123" s="15"/>
      <c r="AG123" s="15"/>
      <c r="AH123" s="15"/>
      <c r="AI123" s="15"/>
      <c r="AJ123" s="15"/>
      <c r="AK123" s="15"/>
      <c r="AL123" s="15"/>
      <c r="AM123" s="15"/>
      <c r="AN123" s="15">
        <v>0</v>
      </c>
      <c r="AO123" s="15">
        <v>0</v>
      </c>
      <c r="AP123" s="15">
        <v>6554085</v>
      </c>
      <c r="AQ123" s="15"/>
      <c r="AR123" s="15"/>
      <c r="AS123" s="15">
        <v>65541</v>
      </c>
      <c r="AT123" s="15">
        <v>0</v>
      </c>
      <c r="AU123" s="15"/>
      <c r="AV123" s="15">
        <v>6488544</v>
      </c>
    </row>
    <row r="124" spans="1:48" ht="12" customHeight="1" x14ac:dyDescent="0.3">
      <c r="A124" s="13">
        <v>108</v>
      </c>
      <c r="B124" s="11" t="s">
        <v>280</v>
      </c>
      <c r="C124" s="11"/>
      <c r="D124" s="11" t="s">
        <v>66</v>
      </c>
      <c r="E124" s="14"/>
      <c r="F124" s="14">
        <v>1.85</v>
      </c>
      <c r="G124" s="15">
        <v>20</v>
      </c>
      <c r="H124" s="15">
        <v>7323000</v>
      </c>
      <c r="I124" s="189">
        <v>1</v>
      </c>
      <c r="J124" s="15">
        <v>4255000</v>
      </c>
      <c r="K124" s="15">
        <v>0</v>
      </c>
      <c r="L124" s="15">
        <v>7323000</v>
      </c>
      <c r="M124" s="15">
        <v>0</v>
      </c>
      <c r="N124" s="15">
        <v>0</v>
      </c>
      <c r="O124" s="15">
        <v>0</v>
      </c>
      <c r="P124" s="15">
        <v>7323000</v>
      </c>
      <c r="Q124" s="15">
        <v>768915</v>
      </c>
      <c r="R124" s="15"/>
      <c r="S124" s="15"/>
      <c r="T124" s="15"/>
      <c r="U124" s="15">
        <v>9000000</v>
      </c>
      <c r="V124" s="15"/>
      <c r="W124" s="15"/>
      <c r="X124" s="15"/>
      <c r="Y124" s="15">
        <v>0</v>
      </c>
      <c r="Z124" s="15"/>
      <c r="AA124" s="15"/>
      <c r="AB124" s="15"/>
      <c r="AC124" s="15"/>
      <c r="AD124" s="15"/>
      <c r="AE124" s="15"/>
      <c r="AF124" s="15"/>
      <c r="AG124" s="15"/>
      <c r="AH124" s="15"/>
      <c r="AI124" s="15"/>
      <c r="AJ124" s="15"/>
      <c r="AK124" s="15"/>
      <c r="AL124" s="15"/>
      <c r="AM124" s="15"/>
      <c r="AN124" s="15">
        <v>0</v>
      </c>
      <c r="AO124" s="15">
        <v>0</v>
      </c>
      <c r="AP124" s="15">
        <v>6554085</v>
      </c>
      <c r="AQ124" s="15"/>
      <c r="AR124" s="15"/>
      <c r="AS124" s="15">
        <v>65541</v>
      </c>
      <c r="AT124" s="15">
        <v>0</v>
      </c>
      <c r="AU124" s="15"/>
      <c r="AV124" s="15">
        <v>6488544</v>
      </c>
    </row>
    <row r="125" spans="1:48" ht="12" customHeight="1" x14ac:dyDescent="0.3">
      <c r="A125" s="13">
        <v>109</v>
      </c>
      <c r="B125" s="11" t="s">
        <v>282</v>
      </c>
      <c r="C125" s="11"/>
      <c r="D125" s="11" t="s">
        <v>66</v>
      </c>
      <c r="E125" s="14"/>
      <c r="F125" s="14">
        <v>1.85</v>
      </c>
      <c r="G125" s="15">
        <v>20</v>
      </c>
      <c r="H125" s="15">
        <v>7323000</v>
      </c>
      <c r="I125" s="189">
        <v>1</v>
      </c>
      <c r="J125" s="15">
        <v>4255000</v>
      </c>
      <c r="K125" s="15">
        <v>0</v>
      </c>
      <c r="L125" s="15">
        <v>7323000</v>
      </c>
      <c r="M125" s="15">
        <v>0</v>
      </c>
      <c r="N125" s="15">
        <v>0</v>
      </c>
      <c r="O125" s="15">
        <v>0</v>
      </c>
      <c r="P125" s="15">
        <v>7323000</v>
      </c>
      <c r="Q125" s="15">
        <v>768915</v>
      </c>
      <c r="R125" s="15"/>
      <c r="S125" s="15"/>
      <c r="T125" s="15"/>
      <c r="U125" s="15">
        <v>9000000</v>
      </c>
      <c r="V125" s="15"/>
      <c r="W125" s="15"/>
      <c r="X125" s="15"/>
      <c r="Y125" s="15">
        <v>0</v>
      </c>
      <c r="Z125" s="15"/>
      <c r="AA125" s="15"/>
      <c r="AB125" s="15"/>
      <c r="AC125" s="15"/>
      <c r="AD125" s="15"/>
      <c r="AE125" s="15"/>
      <c r="AF125" s="15"/>
      <c r="AG125" s="15"/>
      <c r="AH125" s="15"/>
      <c r="AI125" s="15"/>
      <c r="AJ125" s="15"/>
      <c r="AK125" s="15"/>
      <c r="AL125" s="15"/>
      <c r="AM125" s="15"/>
      <c r="AN125" s="15">
        <v>0</v>
      </c>
      <c r="AO125" s="15">
        <v>0</v>
      </c>
      <c r="AP125" s="15">
        <v>6554085</v>
      </c>
      <c r="AQ125" s="15"/>
      <c r="AR125" s="15"/>
      <c r="AS125" s="15">
        <v>65541</v>
      </c>
      <c r="AT125" s="15">
        <v>0</v>
      </c>
      <c r="AU125" s="15"/>
      <c r="AV125" s="15">
        <v>6488544</v>
      </c>
    </row>
    <row r="126" spans="1:48" ht="12" customHeight="1" x14ac:dyDescent="0.3">
      <c r="A126" s="13">
        <v>110</v>
      </c>
      <c r="B126" s="11" t="s">
        <v>278</v>
      </c>
      <c r="C126" s="11"/>
      <c r="D126" s="11" t="s">
        <v>66</v>
      </c>
      <c r="E126" s="14"/>
      <c r="F126" s="14">
        <v>1.85</v>
      </c>
      <c r="G126" s="15">
        <v>20</v>
      </c>
      <c r="H126" s="15">
        <v>7323000</v>
      </c>
      <c r="I126" s="189">
        <v>1</v>
      </c>
      <c r="J126" s="15">
        <v>4255000</v>
      </c>
      <c r="K126" s="15">
        <v>0</v>
      </c>
      <c r="L126" s="15">
        <v>7323000</v>
      </c>
      <c r="M126" s="15">
        <v>0</v>
      </c>
      <c r="N126" s="15">
        <v>0</v>
      </c>
      <c r="O126" s="15">
        <v>0</v>
      </c>
      <c r="P126" s="15">
        <v>7323000</v>
      </c>
      <c r="Q126" s="15">
        <v>768915</v>
      </c>
      <c r="R126" s="15"/>
      <c r="S126" s="15"/>
      <c r="T126" s="15"/>
      <c r="U126" s="15">
        <v>12600000</v>
      </c>
      <c r="V126" s="15"/>
      <c r="W126" s="15"/>
      <c r="X126" s="15"/>
      <c r="Y126" s="15">
        <v>0</v>
      </c>
      <c r="Z126" s="15"/>
      <c r="AA126" s="15"/>
      <c r="AB126" s="15"/>
      <c r="AC126" s="15"/>
      <c r="AD126" s="15"/>
      <c r="AE126" s="15"/>
      <c r="AF126" s="15"/>
      <c r="AG126" s="15"/>
      <c r="AH126" s="15"/>
      <c r="AI126" s="15"/>
      <c r="AJ126" s="15"/>
      <c r="AK126" s="15"/>
      <c r="AL126" s="15"/>
      <c r="AM126" s="15"/>
      <c r="AN126" s="15">
        <v>0</v>
      </c>
      <c r="AO126" s="15">
        <v>0</v>
      </c>
      <c r="AP126" s="15">
        <v>6554085</v>
      </c>
      <c r="AQ126" s="15"/>
      <c r="AR126" s="15"/>
      <c r="AS126" s="15">
        <v>65541</v>
      </c>
      <c r="AT126" s="15">
        <v>0</v>
      </c>
      <c r="AU126" s="15"/>
      <c r="AV126" s="15">
        <v>6488544</v>
      </c>
    </row>
    <row r="127" spans="1:48" ht="12" customHeight="1" x14ac:dyDescent="0.3">
      <c r="A127" s="13">
        <v>111</v>
      </c>
      <c r="B127" s="11" t="s">
        <v>274</v>
      </c>
      <c r="C127" s="11"/>
      <c r="D127" s="11" t="s">
        <v>66</v>
      </c>
      <c r="E127" s="14"/>
      <c r="F127" s="14">
        <v>1.85</v>
      </c>
      <c r="G127" s="15">
        <v>20</v>
      </c>
      <c r="H127" s="15">
        <v>7323000</v>
      </c>
      <c r="I127" s="189">
        <v>1</v>
      </c>
      <c r="J127" s="15">
        <v>4255000</v>
      </c>
      <c r="K127" s="15">
        <v>0</v>
      </c>
      <c r="L127" s="15">
        <v>7323000</v>
      </c>
      <c r="M127" s="15">
        <v>0</v>
      </c>
      <c r="N127" s="15">
        <v>0</v>
      </c>
      <c r="O127" s="15">
        <v>0</v>
      </c>
      <c r="P127" s="15">
        <v>7323000</v>
      </c>
      <c r="Q127" s="15">
        <v>768915</v>
      </c>
      <c r="R127" s="15"/>
      <c r="S127" s="15"/>
      <c r="T127" s="15"/>
      <c r="U127" s="15">
        <v>9000000</v>
      </c>
      <c r="V127" s="15"/>
      <c r="W127" s="15"/>
      <c r="X127" s="15"/>
      <c r="Y127" s="15">
        <v>0</v>
      </c>
      <c r="Z127" s="15"/>
      <c r="AA127" s="15"/>
      <c r="AB127" s="15"/>
      <c r="AC127" s="15"/>
      <c r="AD127" s="15"/>
      <c r="AE127" s="15"/>
      <c r="AF127" s="15"/>
      <c r="AG127" s="15"/>
      <c r="AH127" s="15"/>
      <c r="AI127" s="15"/>
      <c r="AJ127" s="15"/>
      <c r="AK127" s="15"/>
      <c r="AL127" s="15"/>
      <c r="AM127" s="15"/>
      <c r="AN127" s="15">
        <v>0</v>
      </c>
      <c r="AO127" s="15">
        <v>0</v>
      </c>
      <c r="AP127" s="15">
        <v>6554085</v>
      </c>
      <c r="AQ127" s="15"/>
      <c r="AR127" s="15"/>
      <c r="AS127" s="15">
        <v>65541</v>
      </c>
      <c r="AT127" s="15">
        <v>0</v>
      </c>
      <c r="AU127" s="15"/>
      <c r="AV127" s="15">
        <v>6488544</v>
      </c>
    </row>
    <row r="128" spans="1:48" ht="12" customHeight="1" x14ac:dyDescent="0.3">
      <c r="A128" s="13">
        <v>112</v>
      </c>
      <c r="B128" s="11" t="s">
        <v>284</v>
      </c>
      <c r="C128" s="11"/>
      <c r="D128" s="11" t="s">
        <v>208</v>
      </c>
      <c r="E128" s="14"/>
      <c r="F128" s="14">
        <v>1.1000000000000001</v>
      </c>
      <c r="G128" s="15">
        <v>20</v>
      </c>
      <c r="H128" s="15">
        <v>4736000</v>
      </c>
      <c r="I128" s="189">
        <v>1</v>
      </c>
      <c r="J128" s="15">
        <v>2530000</v>
      </c>
      <c r="K128" s="15">
        <v>0</v>
      </c>
      <c r="L128" s="15">
        <v>4736000</v>
      </c>
      <c r="M128" s="15">
        <v>0</v>
      </c>
      <c r="N128" s="15">
        <v>0</v>
      </c>
      <c r="O128" s="15">
        <v>0</v>
      </c>
      <c r="P128" s="15">
        <v>4736000</v>
      </c>
      <c r="Q128" s="15">
        <v>497280</v>
      </c>
      <c r="R128" s="15"/>
      <c r="S128" s="15"/>
      <c r="T128" s="15"/>
      <c r="U128" s="15">
        <v>9000000</v>
      </c>
      <c r="V128" s="15"/>
      <c r="W128" s="15"/>
      <c r="X128" s="15"/>
      <c r="Y128" s="15">
        <v>0</v>
      </c>
      <c r="Z128" s="15"/>
      <c r="AA128" s="15"/>
      <c r="AB128" s="15"/>
      <c r="AC128" s="15"/>
      <c r="AD128" s="15"/>
      <c r="AE128" s="15"/>
      <c r="AF128" s="15"/>
      <c r="AG128" s="15"/>
      <c r="AH128" s="15"/>
      <c r="AI128" s="15"/>
      <c r="AJ128" s="15"/>
      <c r="AK128" s="15"/>
      <c r="AL128" s="15"/>
      <c r="AM128" s="15"/>
      <c r="AN128" s="15">
        <v>0</v>
      </c>
      <c r="AO128" s="15">
        <v>0</v>
      </c>
      <c r="AP128" s="15">
        <v>4238720</v>
      </c>
      <c r="AQ128" s="15"/>
      <c r="AR128" s="15"/>
      <c r="AS128" s="15">
        <v>42387</v>
      </c>
      <c r="AT128" s="15">
        <v>0</v>
      </c>
      <c r="AU128" s="15"/>
      <c r="AV128" s="15">
        <v>4196333</v>
      </c>
    </row>
    <row r="129" spans="1:48" ht="12" customHeight="1" x14ac:dyDescent="0.3">
      <c r="A129" s="13">
        <v>0</v>
      </c>
      <c r="B129" s="11" t="s">
        <v>40</v>
      </c>
      <c r="C129" s="11"/>
      <c r="D129" s="11"/>
      <c r="E129" s="14"/>
      <c r="F129" s="14">
        <v>51.66</v>
      </c>
      <c r="G129" s="15">
        <v>540</v>
      </c>
      <c r="H129" s="15">
        <v>215953000</v>
      </c>
      <c r="I129" s="189">
        <v>27.52</v>
      </c>
      <c r="J129" s="15">
        <v>118818000</v>
      </c>
      <c r="K129" s="15">
        <v>0</v>
      </c>
      <c r="L129" s="15">
        <v>219885240</v>
      </c>
      <c r="M129" s="15">
        <v>10220000</v>
      </c>
      <c r="N129" s="15">
        <v>0</v>
      </c>
      <c r="O129" s="15">
        <v>0</v>
      </c>
      <c r="P129" s="15">
        <v>230105240</v>
      </c>
      <c r="Q129" s="15">
        <v>22675065</v>
      </c>
      <c r="R129" s="15"/>
      <c r="S129" s="15"/>
      <c r="T129" s="15"/>
      <c r="U129" s="15">
        <v>311400000</v>
      </c>
      <c r="V129" s="15"/>
      <c r="W129" s="15"/>
      <c r="X129" s="15"/>
      <c r="Y129" s="15">
        <v>5533010</v>
      </c>
      <c r="Z129" s="15"/>
      <c r="AA129" s="15"/>
      <c r="AB129" s="15"/>
      <c r="AC129" s="15"/>
      <c r="AD129" s="15"/>
      <c r="AE129" s="15"/>
      <c r="AF129" s="15"/>
      <c r="AG129" s="15"/>
      <c r="AH129" s="15"/>
      <c r="AI129" s="15"/>
      <c r="AJ129" s="15"/>
      <c r="AK129" s="15"/>
      <c r="AL129" s="15"/>
      <c r="AM129" s="15"/>
      <c r="AN129" s="15">
        <v>303301</v>
      </c>
      <c r="AO129" s="15">
        <v>0</v>
      </c>
      <c r="AP129" s="15">
        <v>207126874</v>
      </c>
      <c r="AQ129" s="15"/>
      <c r="AR129" s="15"/>
      <c r="AS129" s="15">
        <v>2071270</v>
      </c>
      <c r="AT129" s="15">
        <v>0</v>
      </c>
      <c r="AU129" s="15"/>
      <c r="AV129" s="15">
        <v>205055604</v>
      </c>
    </row>
    <row r="130" spans="1:48" ht="12" customHeight="1" x14ac:dyDescent="0.3">
      <c r="A130" s="13">
        <v>113</v>
      </c>
      <c r="B130" s="11" t="s">
        <v>322</v>
      </c>
      <c r="C130" s="11"/>
      <c r="D130" s="11" t="s">
        <v>66</v>
      </c>
      <c r="E130" s="14"/>
      <c r="F130" s="14">
        <v>1.85</v>
      </c>
      <c r="G130" s="15">
        <v>20</v>
      </c>
      <c r="H130" s="15">
        <v>7323000</v>
      </c>
      <c r="I130" s="189">
        <v>1</v>
      </c>
      <c r="J130" s="15">
        <v>4255000</v>
      </c>
      <c r="K130" s="15">
        <v>0</v>
      </c>
      <c r="L130" s="15">
        <v>7323000</v>
      </c>
      <c r="M130" s="15">
        <v>0</v>
      </c>
      <c r="N130" s="15">
        <v>0</v>
      </c>
      <c r="O130" s="15">
        <v>0</v>
      </c>
      <c r="P130" s="15">
        <v>7323000</v>
      </c>
      <c r="Q130" s="15">
        <v>768915</v>
      </c>
      <c r="R130" s="15"/>
      <c r="S130" s="15"/>
      <c r="T130" s="15"/>
      <c r="U130" s="15">
        <v>12600000</v>
      </c>
      <c r="V130" s="15"/>
      <c r="W130" s="15"/>
      <c r="X130" s="15"/>
      <c r="Y130" s="15">
        <v>0</v>
      </c>
      <c r="Z130" s="15"/>
      <c r="AA130" s="15"/>
      <c r="AB130" s="15"/>
      <c r="AC130" s="15"/>
      <c r="AD130" s="15"/>
      <c r="AE130" s="15"/>
      <c r="AF130" s="15"/>
      <c r="AG130" s="15"/>
      <c r="AH130" s="15"/>
      <c r="AI130" s="15"/>
      <c r="AJ130" s="15"/>
      <c r="AK130" s="15"/>
      <c r="AL130" s="15"/>
      <c r="AM130" s="15"/>
      <c r="AN130" s="15">
        <v>0</v>
      </c>
      <c r="AO130" s="15">
        <v>0</v>
      </c>
      <c r="AP130" s="15">
        <v>6554085</v>
      </c>
      <c r="AQ130" s="15"/>
      <c r="AR130" s="15"/>
      <c r="AS130" s="15">
        <v>65541</v>
      </c>
      <c r="AT130" s="15">
        <v>0</v>
      </c>
      <c r="AU130" s="15"/>
      <c r="AV130" s="15">
        <v>6488544</v>
      </c>
    </row>
    <row r="131" spans="1:48" ht="12" customHeight="1" x14ac:dyDescent="0.3">
      <c r="A131" s="13">
        <v>114</v>
      </c>
      <c r="B131" s="11" t="s">
        <v>324</v>
      </c>
      <c r="C131" s="11"/>
      <c r="D131" s="11" t="s">
        <v>66</v>
      </c>
      <c r="E131" s="14"/>
      <c r="F131" s="14">
        <v>1.85</v>
      </c>
      <c r="G131" s="15">
        <v>20</v>
      </c>
      <c r="H131" s="15">
        <v>7323000</v>
      </c>
      <c r="I131" s="189">
        <v>1</v>
      </c>
      <c r="J131" s="15">
        <v>4255000</v>
      </c>
      <c r="K131" s="15">
        <v>0</v>
      </c>
      <c r="L131" s="15">
        <v>7323000</v>
      </c>
      <c r="M131" s="15">
        <v>730000</v>
      </c>
      <c r="N131" s="15">
        <v>0</v>
      </c>
      <c r="O131" s="15">
        <v>0</v>
      </c>
      <c r="P131" s="15">
        <v>8053000</v>
      </c>
      <c r="Q131" s="15">
        <v>768915</v>
      </c>
      <c r="R131" s="15"/>
      <c r="S131" s="15"/>
      <c r="T131" s="15"/>
      <c r="U131" s="15">
        <v>9000000</v>
      </c>
      <c r="V131" s="15"/>
      <c r="W131" s="15"/>
      <c r="X131" s="15"/>
      <c r="Y131" s="15">
        <v>0</v>
      </c>
      <c r="Z131" s="15"/>
      <c r="AA131" s="15"/>
      <c r="AB131" s="15"/>
      <c r="AC131" s="15"/>
      <c r="AD131" s="15"/>
      <c r="AE131" s="15"/>
      <c r="AF131" s="15"/>
      <c r="AG131" s="15"/>
      <c r="AH131" s="15"/>
      <c r="AI131" s="15"/>
      <c r="AJ131" s="15"/>
      <c r="AK131" s="15"/>
      <c r="AL131" s="15"/>
      <c r="AM131" s="15"/>
      <c r="AN131" s="15">
        <v>0</v>
      </c>
      <c r="AO131" s="15">
        <v>0</v>
      </c>
      <c r="AP131" s="15">
        <v>7284085</v>
      </c>
      <c r="AQ131" s="15"/>
      <c r="AR131" s="15"/>
      <c r="AS131" s="15">
        <v>72841</v>
      </c>
      <c r="AT131" s="15">
        <v>0</v>
      </c>
      <c r="AU131" s="15"/>
      <c r="AV131" s="15">
        <v>7211244</v>
      </c>
    </row>
    <row r="132" spans="1:48" ht="12" customHeight="1" x14ac:dyDescent="0.3">
      <c r="A132" s="13">
        <v>115</v>
      </c>
      <c r="B132" s="11" t="s">
        <v>287</v>
      </c>
      <c r="C132" s="11"/>
      <c r="D132" s="11" t="s">
        <v>214</v>
      </c>
      <c r="E132" s="14"/>
      <c r="F132" s="14">
        <v>6.25</v>
      </c>
      <c r="G132" s="15">
        <v>20</v>
      </c>
      <c r="H132" s="15">
        <v>16238000</v>
      </c>
      <c r="I132" s="189">
        <v>1</v>
      </c>
      <c r="J132" s="15">
        <v>14375000</v>
      </c>
      <c r="K132" s="15">
        <v>0</v>
      </c>
      <c r="L132" s="15">
        <v>16238000</v>
      </c>
      <c r="M132" s="15">
        <v>0</v>
      </c>
      <c r="N132" s="15">
        <v>0</v>
      </c>
      <c r="O132" s="15">
        <v>0</v>
      </c>
      <c r="P132" s="15">
        <v>16238000</v>
      </c>
      <c r="Q132" s="15">
        <v>1704990</v>
      </c>
      <c r="R132" s="15"/>
      <c r="S132" s="15"/>
      <c r="T132" s="15"/>
      <c r="U132" s="15">
        <v>9000000</v>
      </c>
      <c r="V132" s="15"/>
      <c r="W132" s="15"/>
      <c r="X132" s="15"/>
      <c r="Y132" s="15">
        <v>5533010</v>
      </c>
      <c r="Z132" s="15"/>
      <c r="AA132" s="15"/>
      <c r="AB132" s="15"/>
      <c r="AC132" s="15"/>
      <c r="AD132" s="15"/>
      <c r="AE132" s="15"/>
      <c r="AF132" s="15"/>
      <c r="AG132" s="15"/>
      <c r="AH132" s="15"/>
      <c r="AI132" s="15"/>
      <c r="AJ132" s="15"/>
      <c r="AK132" s="15"/>
      <c r="AL132" s="15"/>
      <c r="AM132" s="15"/>
      <c r="AN132" s="15">
        <v>303301</v>
      </c>
      <c r="AO132" s="15">
        <v>0</v>
      </c>
      <c r="AP132" s="15">
        <v>14229709</v>
      </c>
      <c r="AQ132" s="15"/>
      <c r="AR132" s="15"/>
      <c r="AS132" s="15">
        <v>142297</v>
      </c>
      <c r="AT132" s="15">
        <v>0</v>
      </c>
      <c r="AU132" s="15"/>
      <c r="AV132" s="15">
        <v>14087412</v>
      </c>
    </row>
    <row r="133" spans="1:48" ht="12" customHeight="1" x14ac:dyDescent="0.3">
      <c r="A133" s="13">
        <v>116</v>
      </c>
      <c r="B133" s="11" t="s">
        <v>332</v>
      </c>
      <c r="C133" s="11"/>
      <c r="D133" s="11" t="s">
        <v>66</v>
      </c>
      <c r="E133" s="14"/>
      <c r="F133" s="14">
        <v>1.85</v>
      </c>
      <c r="G133" s="15">
        <v>20</v>
      </c>
      <c r="H133" s="15">
        <v>7323000</v>
      </c>
      <c r="I133" s="189">
        <v>1</v>
      </c>
      <c r="J133" s="15">
        <v>4255000</v>
      </c>
      <c r="K133" s="15">
        <v>0</v>
      </c>
      <c r="L133" s="15">
        <v>7323000</v>
      </c>
      <c r="M133" s="15">
        <v>0</v>
      </c>
      <c r="N133" s="15">
        <v>0</v>
      </c>
      <c r="O133" s="15">
        <v>0</v>
      </c>
      <c r="P133" s="15">
        <v>7323000</v>
      </c>
      <c r="Q133" s="15">
        <v>768915</v>
      </c>
      <c r="R133" s="15"/>
      <c r="S133" s="15"/>
      <c r="T133" s="15"/>
      <c r="U133" s="15">
        <v>16200000</v>
      </c>
      <c r="V133" s="15"/>
      <c r="W133" s="15"/>
      <c r="X133" s="15"/>
      <c r="Y133" s="15">
        <v>0</v>
      </c>
      <c r="Z133" s="15"/>
      <c r="AA133" s="15"/>
      <c r="AB133" s="15"/>
      <c r="AC133" s="15"/>
      <c r="AD133" s="15"/>
      <c r="AE133" s="15"/>
      <c r="AF133" s="15"/>
      <c r="AG133" s="15"/>
      <c r="AH133" s="15"/>
      <c r="AI133" s="15"/>
      <c r="AJ133" s="15"/>
      <c r="AK133" s="15"/>
      <c r="AL133" s="15"/>
      <c r="AM133" s="15"/>
      <c r="AN133" s="15">
        <v>0</v>
      </c>
      <c r="AO133" s="15">
        <v>0</v>
      </c>
      <c r="AP133" s="15">
        <v>6554085</v>
      </c>
      <c r="AQ133" s="15"/>
      <c r="AR133" s="15"/>
      <c r="AS133" s="15">
        <v>65541</v>
      </c>
      <c r="AT133" s="15">
        <v>0</v>
      </c>
      <c r="AU133" s="15"/>
      <c r="AV133" s="15">
        <v>6488544</v>
      </c>
    </row>
    <row r="134" spans="1:48" ht="12" customHeight="1" x14ac:dyDescent="0.3">
      <c r="A134" s="13">
        <v>117</v>
      </c>
      <c r="B134" s="11" t="s">
        <v>334</v>
      </c>
      <c r="C134" s="11"/>
      <c r="D134" s="11" t="s">
        <v>66</v>
      </c>
      <c r="E134" s="14"/>
      <c r="F134" s="14">
        <v>1.85</v>
      </c>
      <c r="G134" s="15">
        <v>20</v>
      </c>
      <c r="H134" s="15">
        <v>7323000</v>
      </c>
      <c r="I134" s="189">
        <v>1</v>
      </c>
      <c r="J134" s="15">
        <v>4255000</v>
      </c>
      <c r="K134" s="15">
        <v>0</v>
      </c>
      <c r="L134" s="15">
        <v>7323000</v>
      </c>
      <c r="M134" s="15">
        <v>730000</v>
      </c>
      <c r="N134" s="15">
        <v>0</v>
      </c>
      <c r="O134" s="15">
        <v>0</v>
      </c>
      <c r="P134" s="15">
        <v>8053000</v>
      </c>
      <c r="Q134" s="15">
        <v>768915</v>
      </c>
      <c r="R134" s="15"/>
      <c r="S134" s="15"/>
      <c r="T134" s="15"/>
      <c r="U134" s="15">
        <v>12600000</v>
      </c>
      <c r="V134" s="15"/>
      <c r="W134" s="15"/>
      <c r="X134" s="15"/>
      <c r="Y134" s="15">
        <v>0</v>
      </c>
      <c r="Z134" s="15"/>
      <c r="AA134" s="15"/>
      <c r="AB134" s="15"/>
      <c r="AC134" s="15"/>
      <c r="AD134" s="15"/>
      <c r="AE134" s="15"/>
      <c r="AF134" s="15"/>
      <c r="AG134" s="15"/>
      <c r="AH134" s="15"/>
      <c r="AI134" s="15"/>
      <c r="AJ134" s="15"/>
      <c r="AK134" s="15"/>
      <c r="AL134" s="15"/>
      <c r="AM134" s="15"/>
      <c r="AN134" s="15">
        <v>0</v>
      </c>
      <c r="AO134" s="15">
        <v>0</v>
      </c>
      <c r="AP134" s="15">
        <v>7284085</v>
      </c>
      <c r="AQ134" s="15"/>
      <c r="AR134" s="15"/>
      <c r="AS134" s="15">
        <v>72841</v>
      </c>
      <c r="AT134" s="15">
        <v>0</v>
      </c>
      <c r="AU134" s="15"/>
      <c r="AV134" s="15">
        <v>7211244</v>
      </c>
    </row>
    <row r="135" spans="1:48" ht="12" customHeight="1" x14ac:dyDescent="0.3">
      <c r="A135" s="13">
        <v>118</v>
      </c>
      <c r="B135" s="11" t="s">
        <v>336</v>
      </c>
      <c r="C135" s="11"/>
      <c r="D135" s="11" t="s">
        <v>66</v>
      </c>
      <c r="E135" s="14"/>
      <c r="F135" s="14">
        <v>1.85</v>
      </c>
      <c r="G135" s="15">
        <v>20</v>
      </c>
      <c r="H135" s="15">
        <v>7323000</v>
      </c>
      <c r="I135" s="189">
        <v>1</v>
      </c>
      <c r="J135" s="15">
        <v>4255000</v>
      </c>
      <c r="K135" s="15">
        <v>0</v>
      </c>
      <c r="L135" s="15">
        <v>7323000</v>
      </c>
      <c r="M135" s="15">
        <v>730000</v>
      </c>
      <c r="N135" s="15">
        <v>0</v>
      </c>
      <c r="O135" s="15">
        <v>0</v>
      </c>
      <c r="P135" s="15">
        <v>8053000</v>
      </c>
      <c r="Q135" s="15">
        <v>768915</v>
      </c>
      <c r="R135" s="15"/>
      <c r="S135" s="15"/>
      <c r="T135" s="15"/>
      <c r="U135" s="15">
        <v>9000000</v>
      </c>
      <c r="V135" s="15"/>
      <c r="W135" s="15"/>
      <c r="X135" s="15"/>
      <c r="Y135" s="15">
        <v>0</v>
      </c>
      <c r="Z135" s="15"/>
      <c r="AA135" s="15"/>
      <c r="AB135" s="15"/>
      <c r="AC135" s="15"/>
      <c r="AD135" s="15"/>
      <c r="AE135" s="15"/>
      <c r="AF135" s="15"/>
      <c r="AG135" s="15"/>
      <c r="AH135" s="15"/>
      <c r="AI135" s="15"/>
      <c r="AJ135" s="15"/>
      <c r="AK135" s="15"/>
      <c r="AL135" s="15"/>
      <c r="AM135" s="15"/>
      <c r="AN135" s="15">
        <v>0</v>
      </c>
      <c r="AO135" s="15">
        <v>0</v>
      </c>
      <c r="AP135" s="15">
        <v>7284085</v>
      </c>
      <c r="AQ135" s="15"/>
      <c r="AR135" s="15"/>
      <c r="AS135" s="15">
        <v>72841</v>
      </c>
      <c r="AT135" s="15">
        <v>0</v>
      </c>
      <c r="AU135" s="15"/>
      <c r="AV135" s="15">
        <v>7211244</v>
      </c>
    </row>
    <row r="136" spans="1:48" ht="12" customHeight="1" x14ac:dyDescent="0.3">
      <c r="A136" s="13">
        <v>119</v>
      </c>
      <c r="B136" s="11" t="s">
        <v>328</v>
      </c>
      <c r="C136" s="11"/>
      <c r="D136" s="11" t="s">
        <v>66</v>
      </c>
      <c r="E136" s="14"/>
      <c r="F136" s="14">
        <v>1.85</v>
      </c>
      <c r="G136" s="15">
        <v>20</v>
      </c>
      <c r="H136" s="15">
        <v>7323000</v>
      </c>
      <c r="I136" s="189">
        <v>1</v>
      </c>
      <c r="J136" s="15">
        <v>4255000</v>
      </c>
      <c r="K136" s="15">
        <v>0</v>
      </c>
      <c r="L136" s="15">
        <v>7323000</v>
      </c>
      <c r="M136" s="15">
        <v>730000</v>
      </c>
      <c r="N136" s="15">
        <v>0</v>
      </c>
      <c r="O136" s="15">
        <v>0</v>
      </c>
      <c r="P136" s="15">
        <v>8053000</v>
      </c>
      <c r="Q136" s="15">
        <v>768915</v>
      </c>
      <c r="R136" s="15"/>
      <c r="S136" s="15"/>
      <c r="T136" s="15"/>
      <c r="U136" s="15">
        <v>9000000</v>
      </c>
      <c r="V136" s="15"/>
      <c r="W136" s="15"/>
      <c r="X136" s="15"/>
      <c r="Y136" s="15">
        <v>0</v>
      </c>
      <c r="Z136" s="15"/>
      <c r="AA136" s="15"/>
      <c r="AB136" s="15"/>
      <c r="AC136" s="15"/>
      <c r="AD136" s="15"/>
      <c r="AE136" s="15"/>
      <c r="AF136" s="15"/>
      <c r="AG136" s="15"/>
      <c r="AH136" s="15"/>
      <c r="AI136" s="15"/>
      <c r="AJ136" s="15"/>
      <c r="AK136" s="15"/>
      <c r="AL136" s="15"/>
      <c r="AM136" s="15"/>
      <c r="AN136" s="15">
        <v>0</v>
      </c>
      <c r="AO136" s="15">
        <v>0</v>
      </c>
      <c r="AP136" s="15">
        <v>7284085</v>
      </c>
      <c r="AQ136" s="15"/>
      <c r="AR136" s="15"/>
      <c r="AS136" s="15">
        <v>72841</v>
      </c>
      <c r="AT136" s="15">
        <v>0</v>
      </c>
      <c r="AU136" s="15"/>
      <c r="AV136" s="15">
        <v>7211244</v>
      </c>
    </row>
    <row r="137" spans="1:48" ht="12" customHeight="1" x14ac:dyDescent="0.3">
      <c r="A137" s="13">
        <v>120</v>
      </c>
      <c r="B137" s="11" t="s">
        <v>796</v>
      </c>
      <c r="C137" s="11"/>
      <c r="D137" s="11" t="s">
        <v>66</v>
      </c>
      <c r="E137" s="14"/>
      <c r="F137" s="14">
        <v>0</v>
      </c>
      <c r="G137" s="15">
        <v>20</v>
      </c>
      <c r="H137" s="15">
        <v>7323000</v>
      </c>
      <c r="I137" s="189">
        <v>1</v>
      </c>
      <c r="J137" s="15"/>
      <c r="K137" s="15">
        <v>0</v>
      </c>
      <c r="L137" s="15">
        <v>7323000</v>
      </c>
      <c r="M137" s="15">
        <v>730000</v>
      </c>
      <c r="N137" s="15">
        <v>0</v>
      </c>
      <c r="O137" s="15">
        <v>0</v>
      </c>
      <c r="P137" s="15">
        <v>8053000</v>
      </c>
      <c r="Q137" s="15">
        <v>768915</v>
      </c>
      <c r="R137" s="15"/>
      <c r="S137" s="15"/>
      <c r="T137" s="15"/>
      <c r="U137" s="15">
        <v>9000000</v>
      </c>
      <c r="V137" s="15"/>
      <c r="W137" s="15"/>
      <c r="X137" s="15"/>
      <c r="Y137" s="15">
        <v>0</v>
      </c>
      <c r="Z137" s="15"/>
      <c r="AA137" s="15"/>
      <c r="AB137" s="15"/>
      <c r="AC137" s="15"/>
      <c r="AD137" s="15"/>
      <c r="AE137" s="15"/>
      <c r="AF137" s="15"/>
      <c r="AG137" s="15"/>
      <c r="AH137" s="15"/>
      <c r="AI137" s="15"/>
      <c r="AJ137" s="15"/>
      <c r="AK137" s="15"/>
      <c r="AL137" s="15"/>
      <c r="AM137" s="15"/>
      <c r="AN137" s="15">
        <v>0</v>
      </c>
      <c r="AO137" s="15">
        <v>0</v>
      </c>
      <c r="AP137" s="15">
        <v>7284085</v>
      </c>
      <c r="AQ137" s="15"/>
      <c r="AR137" s="15"/>
      <c r="AS137" s="15">
        <v>72841</v>
      </c>
      <c r="AT137" s="15">
        <v>0</v>
      </c>
      <c r="AU137" s="15"/>
      <c r="AV137" s="15">
        <v>7211244</v>
      </c>
    </row>
    <row r="138" spans="1:48" ht="12" customHeight="1" x14ac:dyDescent="0.3">
      <c r="A138" s="13">
        <v>121</v>
      </c>
      <c r="B138" s="11" t="s">
        <v>77</v>
      </c>
      <c r="C138" s="11"/>
      <c r="D138" s="11" t="s">
        <v>66</v>
      </c>
      <c r="E138" s="14"/>
      <c r="F138" s="14">
        <v>1.85</v>
      </c>
      <c r="G138" s="15">
        <v>20</v>
      </c>
      <c r="H138" s="15">
        <v>7323000</v>
      </c>
      <c r="I138" s="189">
        <v>1.1299999999999999</v>
      </c>
      <c r="J138" s="15">
        <v>4255000</v>
      </c>
      <c r="K138" s="15">
        <v>0</v>
      </c>
      <c r="L138" s="15">
        <v>8274990</v>
      </c>
      <c r="M138" s="15">
        <v>730000</v>
      </c>
      <c r="N138" s="15">
        <v>0</v>
      </c>
      <c r="O138" s="15">
        <v>0</v>
      </c>
      <c r="P138" s="15">
        <v>9004990</v>
      </c>
      <c r="Q138" s="15">
        <v>768915</v>
      </c>
      <c r="R138" s="15"/>
      <c r="S138" s="15"/>
      <c r="T138" s="15"/>
      <c r="U138" s="15">
        <v>9000000</v>
      </c>
      <c r="V138" s="15"/>
      <c r="W138" s="15"/>
      <c r="X138" s="15"/>
      <c r="Y138" s="15">
        <v>0</v>
      </c>
      <c r="Z138" s="15"/>
      <c r="AA138" s="15"/>
      <c r="AB138" s="15"/>
      <c r="AC138" s="15"/>
      <c r="AD138" s="15"/>
      <c r="AE138" s="15"/>
      <c r="AF138" s="15"/>
      <c r="AG138" s="15"/>
      <c r="AH138" s="15"/>
      <c r="AI138" s="15"/>
      <c r="AJ138" s="15"/>
      <c r="AK138" s="15"/>
      <c r="AL138" s="15"/>
      <c r="AM138" s="15"/>
      <c r="AN138" s="15">
        <v>0</v>
      </c>
      <c r="AO138" s="15">
        <v>0</v>
      </c>
      <c r="AP138" s="15">
        <v>8236075</v>
      </c>
      <c r="AQ138" s="15"/>
      <c r="AR138" s="15"/>
      <c r="AS138" s="15">
        <v>82361</v>
      </c>
      <c r="AT138" s="15">
        <v>0</v>
      </c>
      <c r="AU138" s="15"/>
      <c r="AV138" s="15">
        <v>8153714</v>
      </c>
    </row>
    <row r="139" spans="1:48" ht="12" customHeight="1" x14ac:dyDescent="0.3">
      <c r="A139" s="13">
        <v>122</v>
      </c>
      <c r="B139" s="11" t="s">
        <v>289</v>
      </c>
      <c r="C139" s="11"/>
      <c r="D139" s="11" t="s">
        <v>217</v>
      </c>
      <c r="E139" s="14"/>
      <c r="F139" s="14">
        <v>2.29</v>
      </c>
      <c r="G139" s="15">
        <v>20</v>
      </c>
      <c r="H139" s="15">
        <v>9831000</v>
      </c>
      <c r="I139" s="189">
        <v>1</v>
      </c>
      <c r="J139" s="15">
        <v>5267000</v>
      </c>
      <c r="K139" s="15">
        <v>0</v>
      </c>
      <c r="L139" s="15">
        <v>9831000</v>
      </c>
      <c r="M139" s="15">
        <v>0</v>
      </c>
      <c r="N139" s="15">
        <v>0</v>
      </c>
      <c r="O139" s="15">
        <v>0</v>
      </c>
      <c r="P139" s="15">
        <v>9831000</v>
      </c>
      <c r="Q139" s="15">
        <v>1032255</v>
      </c>
      <c r="R139" s="15"/>
      <c r="S139" s="15"/>
      <c r="T139" s="15"/>
      <c r="U139" s="15">
        <v>16200000</v>
      </c>
      <c r="V139" s="15"/>
      <c r="W139" s="15"/>
      <c r="X139" s="15"/>
      <c r="Y139" s="15">
        <v>0</v>
      </c>
      <c r="Z139" s="15"/>
      <c r="AA139" s="15"/>
      <c r="AB139" s="15"/>
      <c r="AC139" s="15"/>
      <c r="AD139" s="15"/>
      <c r="AE139" s="15"/>
      <c r="AF139" s="15"/>
      <c r="AG139" s="15"/>
      <c r="AH139" s="15"/>
      <c r="AI139" s="15"/>
      <c r="AJ139" s="15"/>
      <c r="AK139" s="15"/>
      <c r="AL139" s="15"/>
      <c r="AM139" s="15"/>
      <c r="AN139" s="15">
        <v>0</v>
      </c>
      <c r="AO139" s="15">
        <v>0</v>
      </c>
      <c r="AP139" s="15">
        <v>8798745</v>
      </c>
      <c r="AQ139" s="15"/>
      <c r="AR139" s="15"/>
      <c r="AS139" s="15">
        <v>87987</v>
      </c>
      <c r="AT139" s="15">
        <v>0</v>
      </c>
      <c r="AU139" s="15"/>
      <c r="AV139" s="15">
        <v>8710758</v>
      </c>
    </row>
    <row r="140" spans="1:48" ht="12" customHeight="1" x14ac:dyDescent="0.3">
      <c r="A140" s="13">
        <v>123</v>
      </c>
      <c r="B140" s="11" t="s">
        <v>291</v>
      </c>
      <c r="C140" s="11"/>
      <c r="D140" s="11" t="s">
        <v>217</v>
      </c>
      <c r="E140" s="14"/>
      <c r="F140" s="14">
        <v>2.29</v>
      </c>
      <c r="G140" s="15">
        <v>20</v>
      </c>
      <c r="H140" s="15">
        <v>9831000</v>
      </c>
      <c r="I140" s="189">
        <v>1</v>
      </c>
      <c r="J140" s="15">
        <v>5267000</v>
      </c>
      <c r="K140" s="15">
        <v>0</v>
      </c>
      <c r="L140" s="15">
        <v>9831000</v>
      </c>
      <c r="M140" s="15">
        <v>0</v>
      </c>
      <c r="N140" s="15">
        <v>0</v>
      </c>
      <c r="O140" s="15">
        <v>0</v>
      </c>
      <c r="P140" s="15">
        <v>9831000</v>
      </c>
      <c r="Q140" s="15">
        <v>1032255</v>
      </c>
      <c r="R140" s="15"/>
      <c r="S140" s="15"/>
      <c r="T140" s="15"/>
      <c r="U140" s="15">
        <v>16200000</v>
      </c>
      <c r="V140" s="15"/>
      <c r="W140" s="15"/>
      <c r="X140" s="15"/>
      <c r="Y140" s="15">
        <v>0</v>
      </c>
      <c r="Z140" s="15"/>
      <c r="AA140" s="15"/>
      <c r="AB140" s="15"/>
      <c r="AC140" s="15"/>
      <c r="AD140" s="15"/>
      <c r="AE140" s="15"/>
      <c r="AF140" s="15"/>
      <c r="AG140" s="15"/>
      <c r="AH140" s="15"/>
      <c r="AI140" s="15"/>
      <c r="AJ140" s="15"/>
      <c r="AK140" s="15"/>
      <c r="AL140" s="15"/>
      <c r="AM140" s="15"/>
      <c r="AN140" s="15">
        <v>0</v>
      </c>
      <c r="AO140" s="15">
        <v>0</v>
      </c>
      <c r="AP140" s="15">
        <v>8798745</v>
      </c>
      <c r="AQ140" s="15"/>
      <c r="AR140" s="15"/>
      <c r="AS140" s="15">
        <v>87987</v>
      </c>
      <c r="AT140" s="15">
        <v>0</v>
      </c>
      <c r="AU140" s="15"/>
      <c r="AV140" s="15">
        <v>8710758</v>
      </c>
    </row>
    <row r="141" spans="1:48" ht="12" customHeight="1" x14ac:dyDescent="0.3">
      <c r="A141" s="13">
        <v>124</v>
      </c>
      <c r="B141" s="11" t="s">
        <v>293</v>
      </c>
      <c r="C141" s="11"/>
      <c r="D141" s="11" t="s">
        <v>217</v>
      </c>
      <c r="E141" s="14"/>
      <c r="F141" s="14">
        <v>2.29</v>
      </c>
      <c r="G141" s="15">
        <v>20</v>
      </c>
      <c r="H141" s="15">
        <v>9831000</v>
      </c>
      <c r="I141" s="189">
        <v>1</v>
      </c>
      <c r="J141" s="15">
        <v>5267000</v>
      </c>
      <c r="K141" s="15">
        <v>0</v>
      </c>
      <c r="L141" s="15">
        <v>9831000</v>
      </c>
      <c r="M141" s="15">
        <v>0</v>
      </c>
      <c r="N141" s="15">
        <v>0</v>
      </c>
      <c r="O141" s="15">
        <v>0</v>
      </c>
      <c r="P141" s="15">
        <v>9831000</v>
      </c>
      <c r="Q141" s="15">
        <v>1032255</v>
      </c>
      <c r="R141" s="15"/>
      <c r="S141" s="15"/>
      <c r="T141" s="15"/>
      <c r="U141" s="15">
        <v>16200000</v>
      </c>
      <c r="V141" s="15"/>
      <c r="W141" s="15"/>
      <c r="X141" s="15"/>
      <c r="Y141" s="15">
        <v>0</v>
      </c>
      <c r="Z141" s="15"/>
      <c r="AA141" s="15"/>
      <c r="AB141" s="15"/>
      <c r="AC141" s="15"/>
      <c r="AD141" s="15"/>
      <c r="AE141" s="15"/>
      <c r="AF141" s="15"/>
      <c r="AG141" s="15"/>
      <c r="AH141" s="15"/>
      <c r="AI141" s="15"/>
      <c r="AJ141" s="15"/>
      <c r="AK141" s="15"/>
      <c r="AL141" s="15"/>
      <c r="AM141" s="15"/>
      <c r="AN141" s="15">
        <v>0</v>
      </c>
      <c r="AO141" s="15">
        <v>0</v>
      </c>
      <c r="AP141" s="15">
        <v>8798745</v>
      </c>
      <c r="AQ141" s="15"/>
      <c r="AR141" s="15"/>
      <c r="AS141" s="15">
        <v>87987</v>
      </c>
      <c r="AT141" s="15">
        <v>0</v>
      </c>
      <c r="AU141" s="15"/>
      <c r="AV141" s="15">
        <v>8710758</v>
      </c>
    </row>
    <row r="142" spans="1:48" ht="12" customHeight="1" x14ac:dyDescent="0.3">
      <c r="A142" s="13">
        <v>125</v>
      </c>
      <c r="B142" s="11" t="s">
        <v>303</v>
      </c>
      <c r="C142" s="11"/>
      <c r="D142" s="11" t="s">
        <v>66</v>
      </c>
      <c r="E142" s="14"/>
      <c r="F142" s="14">
        <v>1.85</v>
      </c>
      <c r="G142" s="15">
        <v>20</v>
      </c>
      <c r="H142" s="15">
        <v>7323000</v>
      </c>
      <c r="I142" s="189">
        <v>1</v>
      </c>
      <c r="J142" s="15">
        <v>4255000</v>
      </c>
      <c r="K142" s="15">
        <v>0</v>
      </c>
      <c r="L142" s="15">
        <v>7323000</v>
      </c>
      <c r="M142" s="15">
        <v>0</v>
      </c>
      <c r="N142" s="15">
        <v>0</v>
      </c>
      <c r="O142" s="15">
        <v>0</v>
      </c>
      <c r="P142" s="15">
        <v>7323000</v>
      </c>
      <c r="Q142" s="15">
        <v>768915</v>
      </c>
      <c r="R142" s="15"/>
      <c r="S142" s="15"/>
      <c r="T142" s="15"/>
      <c r="U142" s="15">
        <v>9000000</v>
      </c>
      <c r="V142" s="15"/>
      <c r="W142" s="15"/>
      <c r="X142" s="15"/>
      <c r="Y142" s="15">
        <v>0</v>
      </c>
      <c r="Z142" s="15"/>
      <c r="AA142" s="15"/>
      <c r="AB142" s="15"/>
      <c r="AC142" s="15"/>
      <c r="AD142" s="15"/>
      <c r="AE142" s="15"/>
      <c r="AF142" s="15"/>
      <c r="AG142" s="15"/>
      <c r="AH142" s="15"/>
      <c r="AI142" s="15"/>
      <c r="AJ142" s="15"/>
      <c r="AK142" s="15"/>
      <c r="AL142" s="15"/>
      <c r="AM142" s="15"/>
      <c r="AN142" s="15">
        <v>0</v>
      </c>
      <c r="AO142" s="15">
        <v>0</v>
      </c>
      <c r="AP142" s="15">
        <v>6554085</v>
      </c>
      <c r="AQ142" s="15"/>
      <c r="AR142" s="15"/>
      <c r="AS142" s="15">
        <v>65541</v>
      </c>
      <c r="AT142" s="15">
        <v>0</v>
      </c>
      <c r="AU142" s="15"/>
      <c r="AV142" s="15">
        <v>6488544</v>
      </c>
    </row>
    <row r="143" spans="1:48" ht="12" customHeight="1" x14ac:dyDescent="0.3">
      <c r="A143" s="13">
        <v>126</v>
      </c>
      <c r="B143" s="11" t="s">
        <v>307</v>
      </c>
      <c r="C143" s="11"/>
      <c r="D143" s="11" t="s">
        <v>66</v>
      </c>
      <c r="E143" s="14"/>
      <c r="F143" s="14">
        <v>1.85</v>
      </c>
      <c r="G143" s="15">
        <v>20</v>
      </c>
      <c r="H143" s="15">
        <v>7323000</v>
      </c>
      <c r="I143" s="189">
        <v>1</v>
      </c>
      <c r="J143" s="15">
        <v>4255000</v>
      </c>
      <c r="K143" s="15">
        <v>0</v>
      </c>
      <c r="L143" s="15">
        <v>7323000</v>
      </c>
      <c r="M143" s="15">
        <v>730000</v>
      </c>
      <c r="N143" s="15">
        <v>0</v>
      </c>
      <c r="O143" s="15">
        <v>0</v>
      </c>
      <c r="P143" s="15">
        <v>8053000</v>
      </c>
      <c r="Q143" s="15">
        <v>768915</v>
      </c>
      <c r="R143" s="15"/>
      <c r="S143" s="15"/>
      <c r="T143" s="15"/>
      <c r="U143" s="15">
        <v>9000000</v>
      </c>
      <c r="V143" s="15"/>
      <c r="W143" s="15"/>
      <c r="X143" s="15"/>
      <c r="Y143" s="15">
        <v>0</v>
      </c>
      <c r="Z143" s="15"/>
      <c r="AA143" s="15"/>
      <c r="AB143" s="15"/>
      <c r="AC143" s="15"/>
      <c r="AD143" s="15"/>
      <c r="AE143" s="15"/>
      <c r="AF143" s="15"/>
      <c r="AG143" s="15"/>
      <c r="AH143" s="15"/>
      <c r="AI143" s="15"/>
      <c r="AJ143" s="15"/>
      <c r="AK143" s="15"/>
      <c r="AL143" s="15"/>
      <c r="AM143" s="15"/>
      <c r="AN143" s="15">
        <v>0</v>
      </c>
      <c r="AO143" s="15">
        <v>0</v>
      </c>
      <c r="AP143" s="15">
        <v>7284085</v>
      </c>
      <c r="AQ143" s="15"/>
      <c r="AR143" s="15"/>
      <c r="AS143" s="15">
        <v>72841</v>
      </c>
      <c r="AT143" s="15">
        <v>0</v>
      </c>
      <c r="AU143" s="15"/>
      <c r="AV143" s="15">
        <v>7211244</v>
      </c>
    </row>
    <row r="144" spans="1:48" ht="12" customHeight="1" x14ac:dyDescent="0.3">
      <c r="A144" s="13">
        <v>127</v>
      </c>
      <c r="B144" s="11" t="s">
        <v>305</v>
      </c>
      <c r="C144" s="11"/>
      <c r="D144" s="11" t="s">
        <v>66</v>
      </c>
      <c r="E144" s="14"/>
      <c r="F144" s="14">
        <v>1.85</v>
      </c>
      <c r="G144" s="15">
        <v>20</v>
      </c>
      <c r="H144" s="15">
        <v>7323000</v>
      </c>
      <c r="I144" s="189">
        <v>1</v>
      </c>
      <c r="J144" s="15">
        <v>4255000</v>
      </c>
      <c r="K144" s="15">
        <v>0</v>
      </c>
      <c r="L144" s="15">
        <v>7323000</v>
      </c>
      <c r="M144" s="15">
        <v>730000</v>
      </c>
      <c r="N144" s="15">
        <v>0</v>
      </c>
      <c r="O144" s="15">
        <v>0</v>
      </c>
      <c r="P144" s="15">
        <v>8053000</v>
      </c>
      <c r="Q144" s="15">
        <v>768915</v>
      </c>
      <c r="R144" s="15"/>
      <c r="S144" s="15"/>
      <c r="T144" s="15"/>
      <c r="U144" s="15">
        <v>9000000</v>
      </c>
      <c r="V144" s="15"/>
      <c r="W144" s="15"/>
      <c r="X144" s="15"/>
      <c r="Y144" s="15">
        <v>0</v>
      </c>
      <c r="Z144" s="15"/>
      <c r="AA144" s="15"/>
      <c r="AB144" s="15"/>
      <c r="AC144" s="15"/>
      <c r="AD144" s="15"/>
      <c r="AE144" s="15"/>
      <c r="AF144" s="15"/>
      <c r="AG144" s="15"/>
      <c r="AH144" s="15"/>
      <c r="AI144" s="15"/>
      <c r="AJ144" s="15"/>
      <c r="AK144" s="15"/>
      <c r="AL144" s="15"/>
      <c r="AM144" s="15"/>
      <c r="AN144" s="15">
        <v>0</v>
      </c>
      <c r="AO144" s="15">
        <v>0</v>
      </c>
      <c r="AP144" s="15">
        <v>7284085</v>
      </c>
      <c r="AQ144" s="15"/>
      <c r="AR144" s="15"/>
      <c r="AS144" s="15">
        <v>72841</v>
      </c>
      <c r="AT144" s="15">
        <v>0</v>
      </c>
      <c r="AU144" s="15"/>
      <c r="AV144" s="15">
        <v>7211244</v>
      </c>
    </row>
    <row r="145" spans="1:48" ht="12" customHeight="1" x14ac:dyDescent="0.3">
      <c r="A145" s="13">
        <v>128</v>
      </c>
      <c r="B145" s="11" t="s">
        <v>299</v>
      </c>
      <c r="C145" s="11"/>
      <c r="D145" s="11" t="s">
        <v>66</v>
      </c>
      <c r="E145" s="14"/>
      <c r="F145" s="14">
        <v>1.85</v>
      </c>
      <c r="G145" s="15">
        <v>20</v>
      </c>
      <c r="H145" s="15">
        <v>7363000</v>
      </c>
      <c r="I145" s="189">
        <v>1</v>
      </c>
      <c r="J145" s="15">
        <v>4255000</v>
      </c>
      <c r="K145" s="15">
        <v>0</v>
      </c>
      <c r="L145" s="15">
        <v>7363000</v>
      </c>
      <c r="M145" s="15">
        <v>0</v>
      </c>
      <c r="N145" s="15">
        <v>0</v>
      </c>
      <c r="O145" s="15">
        <v>0</v>
      </c>
      <c r="P145" s="15">
        <v>7363000</v>
      </c>
      <c r="Q145" s="15">
        <v>773115</v>
      </c>
      <c r="R145" s="15"/>
      <c r="S145" s="15"/>
      <c r="T145" s="15"/>
      <c r="U145" s="15">
        <v>9000000</v>
      </c>
      <c r="V145" s="15"/>
      <c r="W145" s="15"/>
      <c r="X145" s="15"/>
      <c r="Y145" s="15">
        <v>0</v>
      </c>
      <c r="Z145" s="15"/>
      <c r="AA145" s="15"/>
      <c r="AB145" s="15"/>
      <c r="AC145" s="15"/>
      <c r="AD145" s="15"/>
      <c r="AE145" s="15"/>
      <c r="AF145" s="15"/>
      <c r="AG145" s="15"/>
      <c r="AH145" s="15"/>
      <c r="AI145" s="15"/>
      <c r="AJ145" s="15"/>
      <c r="AK145" s="15"/>
      <c r="AL145" s="15"/>
      <c r="AM145" s="15"/>
      <c r="AN145" s="15">
        <v>0</v>
      </c>
      <c r="AO145" s="15">
        <v>0</v>
      </c>
      <c r="AP145" s="15">
        <v>6589885</v>
      </c>
      <c r="AQ145" s="15"/>
      <c r="AR145" s="15"/>
      <c r="AS145" s="15">
        <v>65899</v>
      </c>
      <c r="AT145" s="15">
        <v>0</v>
      </c>
      <c r="AU145" s="15"/>
      <c r="AV145" s="15">
        <v>6523986</v>
      </c>
    </row>
    <row r="146" spans="1:48" ht="12" customHeight="1" x14ac:dyDescent="0.3">
      <c r="A146" s="13">
        <v>129</v>
      </c>
      <c r="B146" s="11" t="s">
        <v>301</v>
      </c>
      <c r="C146" s="11"/>
      <c r="D146" s="11" t="s">
        <v>66</v>
      </c>
      <c r="E146" s="14"/>
      <c r="F146" s="14">
        <v>1.85</v>
      </c>
      <c r="G146" s="15">
        <v>20</v>
      </c>
      <c r="H146" s="15">
        <v>7363000</v>
      </c>
      <c r="I146" s="189">
        <v>1</v>
      </c>
      <c r="J146" s="15">
        <v>4255000</v>
      </c>
      <c r="K146" s="15">
        <v>0</v>
      </c>
      <c r="L146" s="15">
        <v>7363000</v>
      </c>
      <c r="M146" s="15">
        <v>0</v>
      </c>
      <c r="N146" s="15">
        <v>0</v>
      </c>
      <c r="O146" s="15">
        <v>0</v>
      </c>
      <c r="P146" s="15">
        <v>7363000</v>
      </c>
      <c r="Q146" s="15">
        <v>773115</v>
      </c>
      <c r="R146" s="15"/>
      <c r="S146" s="15"/>
      <c r="T146" s="15"/>
      <c r="U146" s="15">
        <v>9000000</v>
      </c>
      <c r="V146" s="15"/>
      <c r="W146" s="15"/>
      <c r="X146" s="15"/>
      <c r="Y146" s="15">
        <v>0</v>
      </c>
      <c r="Z146" s="15"/>
      <c r="AA146" s="15"/>
      <c r="AB146" s="15"/>
      <c r="AC146" s="15"/>
      <c r="AD146" s="15"/>
      <c r="AE146" s="15"/>
      <c r="AF146" s="15"/>
      <c r="AG146" s="15"/>
      <c r="AH146" s="15"/>
      <c r="AI146" s="15"/>
      <c r="AJ146" s="15"/>
      <c r="AK146" s="15"/>
      <c r="AL146" s="15"/>
      <c r="AM146" s="15"/>
      <c r="AN146" s="15">
        <v>0</v>
      </c>
      <c r="AO146" s="15">
        <v>0</v>
      </c>
      <c r="AP146" s="15">
        <v>6589885</v>
      </c>
      <c r="AQ146" s="15"/>
      <c r="AR146" s="15"/>
      <c r="AS146" s="15">
        <v>65899</v>
      </c>
      <c r="AT146" s="15">
        <v>0</v>
      </c>
      <c r="AU146" s="15"/>
      <c r="AV146" s="15">
        <v>6523986</v>
      </c>
    </row>
    <row r="147" spans="1:48" ht="12" customHeight="1" x14ac:dyDescent="0.3">
      <c r="A147" s="13">
        <v>130</v>
      </c>
      <c r="B147" s="11" t="s">
        <v>295</v>
      </c>
      <c r="C147" s="11"/>
      <c r="D147" s="11" t="s">
        <v>66</v>
      </c>
      <c r="E147" s="14"/>
      <c r="F147" s="14">
        <v>1.85</v>
      </c>
      <c r="G147" s="15">
        <v>20</v>
      </c>
      <c r="H147" s="15">
        <v>7363000</v>
      </c>
      <c r="I147" s="189">
        <v>1</v>
      </c>
      <c r="J147" s="15">
        <v>4255000</v>
      </c>
      <c r="K147" s="15">
        <v>0</v>
      </c>
      <c r="L147" s="15">
        <v>7363000</v>
      </c>
      <c r="M147" s="15">
        <v>0</v>
      </c>
      <c r="N147" s="15">
        <v>0</v>
      </c>
      <c r="O147" s="15">
        <v>0</v>
      </c>
      <c r="P147" s="15">
        <v>7363000</v>
      </c>
      <c r="Q147" s="15">
        <v>773115</v>
      </c>
      <c r="R147" s="15"/>
      <c r="S147" s="15"/>
      <c r="T147" s="15"/>
      <c r="U147" s="15">
        <v>9000000</v>
      </c>
      <c r="V147" s="15"/>
      <c r="W147" s="15"/>
      <c r="X147" s="15"/>
      <c r="Y147" s="15">
        <v>0</v>
      </c>
      <c r="Z147" s="15"/>
      <c r="AA147" s="15"/>
      <c r="AB147" s="15"/>
      <c r="AC147" s="15"/>
      <c r="AD147" s="15"/>
      <c r="AE147" s="15"/>
      <c r="AF147" s="15"/>
      <c r="AG147" s="15"/>
      <c r="AH147" s="15"/>
      <c r="AI147" s="15"/>
      <c r="AJ147" s="15"/>
      <c r="AK147" s="15"/>
      <c r="AL147" s="15"/>
      <c r="AM147" s="15"/>
      <c r="AN147" s="15">
        <v>0</v>
      </c>
      <c r="AO147" s="15">
        <v>0</v>
      </c>
      <c r="AP147" s="15">
        <v>6589885</v>
      </c>
      <c r="AQ147" s="15"/>
      <c r="AR147" s="15"/>
      <c r="AS147" s="15">
        <v>65899</v>
      </c>
      <c r="AT147" s="15">
        <v>0</v>
      </c>
      <c r="AU147" s="15"/>
      <c r="AV147" s="15">
        <v>6523986</v>
      </c>
    </row>
    <row r="148" spans="1:48" ht="12" customHeight="1" x14ac:dyDescent="0.3">
      <c r="A148" s="13">
        <v>131</v>
      </c>
      <c r="B148" s="11" t="s">
        <v>297</v>
      </c>
      <c r="C148" s="11"/>
      <c r="D148" s="11" t="s">
        <v>66</v>
      </c>
      <c r="E148" s="14"/>
      <c r="F148" s="14">
        <v>1.85</v>
      </c>
      <c r="G148" s="15">
        <v>20</v>
      </c>
      <c r="H148" s="15">
        <v>8278000</v>
      </c>
      <c r="I148" s="189">
        <v>1</v>
      </c>
      <c r="J148" s="15">
        <v>4255000</v>
      </c>
      <c r="K148" s="15">
        <v>0</v>
      </c>
      <c r="L148" s="15">
        <v>8278000</v>
      </c>
      <c r="M148" s="15">
        <v>0</v>
      </c>
      <c r="N148" s="15">
        <v>0</v>
      </c>
      <c r="O148" s="15">
        <v>0</v>
      </c>
      <c r="P148" s="15">
        <v>8278000</v>
      </c>
      <c r="Q148" s="15">
        <v>869190</v>
      </c>
      <c r="R148" s="15"/>
      <c r="S148" s="15"/>
      <c r="T148" s="15"/>
      <c r="U148" s="15">
        <v>19800000</v>
      </c>
      <c r="V148" s="15"/>
      <c r="W148" s="15"/>
      <c r="X148" s="15"/>
      <c r="Y148" s="15">
        <v>0</v>
      </c>
      <c r="Z148" s="15"/>
      <c r="AA148" s="15"/>
      <c r="AB148" s="15"/>
      <c r="AC148" s="15"/>
      <c r="AD148" s="15"/>
      <c r="AE148" s="15"/>
      <c r="AF148" s="15"/>
      <c r="AG148" s="15"/>
      <c r="AH148" s="15"/>
      <c r="AI148" s="15"/>
      <c r="AJ148" s="15"/>
      <c r="AK148" s="15"/>
      <c r="AL148" s="15"/>
      <c r="AM148" s="15"/>
      <c r="AN148" s="15">
        <v>0</v>
      </c>
      <c r="AO148" s="15">
        <v>0</v>
      </c>
      <c r="AP148" s="15">
        <v>7408810</v>
      </c>
      <c r="AQ148" s="15"/>
      <c r="AR148" s="15"/>
      <c r="AS148" s="15">
        <v>74088</v>
      </c>
      <c r="AT148" s="15">
        <v>0</v>
      </c>
      <c r="AU148" s="15"/>
      <c r="AV148" s="15">
        <v>7334722</v>
      </c>
    </row>
    <row r="149" spans="1:48" ht="12" customHeight="1" x14ac:dyDescent="0.3">
      <c r="A149" s="13">
        <v>132</v>
      </c>
      <c r="B149" s="11" t="s">
        <v>309</v>
      </c>
      <c r="C149" s="11"/>
      <c r="D149" s="11" t="s">
        <v>66</v>
      </c>
      <c r="E149" s="14"/>
      <c r="F149" s="14">
        <v>1.85</v>
      </c>
      <c r="G149" s="15">
        <v>20</v>
      </c>
      <c r="H149" s="15">
        <v>7801000</v>
      </c>
      <c r="I149" s="189">
        <v>1.1299999999999999</v>
      </c>
      <c r="J149" s="15">
        <v>4255000</v>
      </c>
      <c r="K149" s="15">
        <v>0</v>
      </c>
      <c r="L149" s="15">
        <v>8815130</v>
      </c>
      <c r="M149" s="15">
        <v>730000</v>
      </c>
      <c r="N149" s="15">
        <v>0</v>
      </c>
      <c r="O149" s="15">
        <v>0</v>
      </c>
      <c r="P149" s="15">
        <v>9545130</v>
      </c>
      <c r="Q149" s="15">
        <v>819105</v>
      </c>
      <c r="R149" s="15"/>
      <c r="S149" s="15"/>
      <c r="T149" s="15"/>
      <c r="U149" s="15">
        <v>12600000</v>
      </c>
      <c r="V149" s="15"/>
      <c r="W149" s="15"/>
      <c r="X149" s="15"/>
      <c r="Y149" s="15">
        <v>0</v>
      </c>
      <c r="Z149" s="15"/>
      <c r="AA149" s="15"/>
      <c r="AB149" s="15"/>
      <c r="AC149" s="15"/>
      <c r="AD149" s="15"/>
      <c r="AE149" s="15"/>
      <c r="AF149" s="15"/>
      <c r="AG149" s="15"/>
      <c r="AH149" s="15"/>
      <c r="AI149" s="15"/>
      <c r="AJ149" s="15"/>
      <c r="AK149" s="15"/>
      <c r="AL149" s="15"/>
      <c r="AM149" s="15"/>
      <c r="AN149" s="15">
        <v>0</v>
      </c>
      <c r="AO149" s="15">
        <v>0</v>
      </c>
      <c r="AP149" s="15">
        <v>8726025</v>
      </c>
      <c r="AQ149" s="15"/>
      <c r="AR149" s="15"/>
      <c r="AS149" s="15">
        <v>87260</v>
      </c>
      <c r="AT149" s="15">
        <v>0</v>
      </c>
      <c r="AU149" s="15"/>
      <c r="AV149" s="15">
        <v>8638765</v>
      </c>
    </row>
    <row r="150" spans="1:48" ht="12" customHeight="1" x14ac:dyDescent="0.3">
      <c r="A150" s="13">
        <v>133</v>
      </c>
      <c r="B150" s="11" t="s">
        <v>311</v>
      </c>
      <c r="C150" s="11"/>
      <c r="D150" s="11" t="s">
        <v>66</v>
      </c>
      <c r="E150" s="14"/>
      <c r="F150" s="14">
        <v>1.85</v>
      </c>
      <c r="G150" s="15">
        <v>20</v>
      </c>
      <c r="H150" s="15">
        <v>7841000</v>
      </c>
      <c r="I150" s="189">
        <v>1</v>
      </c>
      <c r="J150" s="15">
        <v>4255000</v>
      </c>
      <c r="K150" s="15">
        <v>0</v>
      </c>
      <c r="L150" s="15">
        <v>7841000</v>
      </c>
      <c r="M150" s="15">
        <v>0</v>
      </c>
      <c r="N150" s="15">
        <v>0</v>
      </c>
      <c r="O150" s="15">
        <v>0</v>
      </c>
      <c r="P150" s="15">
        <v>7841000</v>
      </c>
      <c r="Q150" s="15">
        <v>823305</v>
      </c>
      <c r="R150" s="15"/>
      <c r="S150" s="15"/>
      <c r="T150" s="15"/>
      <c r="U150" s="15">
        <v>9000000</v>
      </c>
      <c r="V150" s="15"/>
      <c r="W150" s="15"/>
      <c r="X150" s="15"/>
      <c r="Y150" s="15">
        <v>0</v>
      </c>
      <c r="Z150" s="15"/>
      <c r="AA150" s="15"/>
      <c r="AB150" s="15"/>
      <c r="AC150" s="15"/>
      <c r="AD150" s="15"/>
      <c r="AE150" s="15"/>
      <c r="AF150" s="15"/>
      <c r="AG150" s="15"/>
      <c r="AH150" s="15"/>
      <c r="AI150" s="15"/>
      <c r="AJ150" s="15"/>
      <c r="AK150" s="15"/>
      <c r="AL150" s="15"/>
      <c r="AM150" s="15"/>
      <c r="AN150" s="15">
        <v>0</v>
      </c>
      <c r="AO150" s="15">
        <v>0</v>
      </c>
      <c r="AP150" s="15">
        <v>7017695</v>
      </c>
      <c r="AQ150" s="15"/>
      <c r="AR150" s="15"/>
      <c r="AS150" s="15">
        <v>70177</v>
      </c>
      <c r="AT150" s="15">
        <v>0</v>
      </c>
      <c r="AU150" s="15"/>
      <c r="AV150" s="15">
        <v>6947518</v>
      </c>
    </row>
    <row r="151" spans="1:48" ht="12" customHeight="1" x14ac:dyDescent="0.3">
      <c r="A151" s="13">
        <v>134</v>
      </c>
      <c r="B151" s="11" t="s">
        <v>313</v>
      </c>
      <c r="C151" s="11"/>
      <c r="D151" s="11" t="s">
        <v>66</v>
      </c>
      <c r="E151" s="14"/>
      <c r="F151" s="14">
        <v>1.85</v>
      </c>
      <c r="G151" s="15">
        <v>20</v>
      </c>
      <c r="H151" s="15">
        <v>7801000</v>
      </c>
      <c r="I151" s="189">
        <v>1.1299999999999999</v>
      </c>
      <c r="J151" s="15">
        <v>4255000</v>
      </c>
      <c r="K151" s="15">
        <v>0</v>
      </c>
      <c r="L151" s="15">
        <v>8815130</v>
      </c>
      <c r="M151" s="15">
        <v>730000</v>
      </c>
      <c r="N151" s="15">
        <v>0</v>
      </c>
      <c r="O151" s="15">
        <v>0</v>
      </c>
      <c r="P151" s="15">
        <v>9545130</v>
      </c>
      <c r="Q151" s="15">
        <v>819105</v>
      </c>
      <c r="R151" s="15"/>
      <c r="S151" s="15"/>
      <c r="T151" s="15"/>
      <c r="U151" s="15">
        <v>12600000</v>
      </c>
      <c r="V151" s="15"/>
      <c r="W151" s="15"/>
      <c r="X151" s="15"/>
      <c r="Y151" s="15">
        <v>0</v>
      </c>
      <c r="Z151" s="15"/>
      <c r="AA151" s="15"/>
      <c r="AB151" s="15"/>
      <c r="AC151" s="15"/>
      <c r="AD151" s="15"/>
      <c r="AE151" s="15"/>
      <c r="AF151" s="15"/>
      <c r="AG151" s="15"/>
      <c r="AH151" s="15"/>
      <c r="AI151" s="15"/>
      <c r="AJ151" s="15"/>
      <c r="AK151" s="15"/>
      <c r="AL151" s="15"/>
      <c r="AM151" s="15"/>
      <c r="AN151" s="15">
        <v>0</v>
      </c>
      <c r="AO151" s="15">
        <v>0</v>
      </c>
      <c r="AP151" s="15">
        <v>8726025</v>
      </c>
      <c r="AQ151" s="15"/>
      <c r="AR151" s="15"/>
      <c r="AS151" s="15">
        <v>87260</v>
      </c>
      <c r="AT151" s="15">
        <v>0</v>
      </c>
      <c r="AU151" s="15"/>
      <c r="AV151" s="15">
        <v>8638765</v>
      </c>
    </row>
    <row r="152" spans="1:48" ht="12" customHeight="1" x14ac:dyDescent="0.3">
      <c r="A152" s="13">
        <v>135</v>
      </c>
      <c r="B152" s="11" t="s">
        <v>315</v>
      </c>
      <c r="C152" s="11"/>
      <c r="D152" s="11" t="s">
        <v>66</v>
      </c>
      <c r="E152" s="14"/>
      <c r="F152" s="14">
        <v>1.85</v>
      </c>
      <c r="G152" s="15">
        <v>20</v>
      </c>
      <c r="H152" s="15">
        <v>7323000</v>
      </c>
      <c r="I152" s="189">
        <v>1</v>
      </c>
      <c r="J152" s="15">
        <v>4255000</v>
      </c>
      <c r="K152" s="15">
        <v>0</v>
      </c>
      <c r="L152" s="15">
        <v>7323000</v>
      </c>
      <c r="M152" s="15">
        <v>730000</v>
      </c>
      <c r="N152" s="15">
        <v>0</v>
      </c>
      <c r="O152" s="15">
        <v>0</v>
      </c>
      <c r="P152" s="15">
        <v>8053000</v>
      </c>
      <c r="Q152" s="15">
        <v>768915</v>
      </c>
      <c r="R152" s="15"/>
      <c r="S152" s="15"/>
      <c r="T152" s="15"/>
      <c r="U152" s="15">
        <v>9000000</v>
      </c>
      <c r="V152" s="15"/>
      <c r="W152" s="15"/>
      <c r="X152" s="15"/>
      <c r="Y152" s="15">
        <v>0</v>
      </c>
      <c r="Z152" s="15"/>
      <c r="AA152" s="15"/>
      <c r="AB152" s="15"/>
      <c r="AC152" s="15"/>
      <c r="AD152" s="15"/>
      <c r="AE152" s="15"/>
      <c r="AF152" s="15"/>
      <c r="AG152" s="15"/>
      <c r="AH152" s="15"/>
      <c r="AI152" s="15"/>
      <c r="AJ152" s="15"/>
      <c r="AK152" s="15"/>
      <c r="AL152" s="15"/>
      <c r="AM152" s="15"/>
      <c r="AN152" s="15">
        <v>0</v>
      </c>
      <c r="AO152" s="15">
        <v>0</v>
      </c>
      <c r="AP152" s="15">
        <v>7284085</v>
      </c>
      <c r="AQ152" s="15"/>
      <c r="AR152" s="15"/>
      <c r="AS152" s="15">
        <v>72841</v>
      </c>
      <c r="AT152" s="15">
        <v>0</v>
      </c>
      <c r="AU152" s="15"/>
      <c r="AV152" s="15">
        <v>7211244</v>
      </c>
    </row>
    <row r="153" spans="1:48" ht="12" customHeight="1" x14ac:dyDescent="0.3">
      <c r="A153" s="13">
        <v>136</v>
      </c>
      <c r="B153" s="11" t="s">
        <v>317</v>
      </c>
      <c r="C153" s="11"/>
      <c r="D153" s="11" t="s">
        <v>66</v>
      </c>
      <c r="E153" s="14"/>
      <c r="F153" s="14">
        <v>1.85</v>
      </c>
      <c r="G153" s="15">
        <v>20</v>
      </c>
      <c r="H153" s="15">
        <v>7323000</v>
      </c>
      <c r="I153" s="189">
        <v>1</v>
      </c>
      <c r="J153" s="15">
        <v>4255000</v>
      </c>
      <c r="K153" s="15">
        <v>0</v>
      </c>
      <c r="L153" s="15">
        <v>7323000</v>
      </c>
      <c r="M153" s="15">
        <v>730000</v>
      </c>
      <c r="N153" s="15">
        <v>0</v>
      </c>
      <c r="O153" s="15">
        <v>0</v>
      </c>
      <c r="P153" s="15">
        <v>8053000</v>
      </c>
      <c r="Q153" s="15">
        <v>768915</v>
      </c>
      <c r="R153" s="15"/>
      <c r="S153" s="15"/>
      <c r="T153" s="15"/>
      <c r="U153" s="15">
        <v>9000000</v>
      </c>
      <c r="V153" s="15"/>
      <c r="W153" s="15"/>
      <c r="X153" s="15"/>
      <c r="Y153" s="15">
        <v>0</v>
      </c>
      <c r="Z153" s="15"/>
      <c r="AA153" s="15"/>
      <c r="AB153" s="15"/>
      <c r="AC153" s="15"/>
      <c r="AD153" s="15"/>
      <c r="AE153" s="15"/>
      <c r="AF153" s="15"/>
      <c r="AG153" s="15"/>
      <c r="AH153" s="15"/>
      <c r="AI153" s="15"/>
      <c r="AJ153" s="15"/>
      <c r="AK153" s="15"/>
      <c r="AL153" s="15"/>
      <c r="AM153" s="15"/>
      <c r="AN153" s="15">
        <v>0</v>
      </c>
      <c r="AO153" s="15">
        <v>0</v>
      </c>
      <c r="AP153" s="15">
        <v>7284085</v>
      </c>
      <c r="AQ153" s="15"/>
      <c r="AR153" s="15"/>
      <c r="AS153" s="15">
        <v>72841</v>
      </c>
      <c r="AT153" s="15">
        <v>0</v>
      </c>
      <c r="AU153" s="15"/>
      <c r="AV153" s="15">
        <v>7211244</v>
      </c>
    </row>
    <row r="154" spans="1:48" ht="12" customHeight="1" x14ac:dyDescent="0.3">
      <c r="A154" s="13">
        <v>137</v>
      </c>
      <c r="B154" s="11" t="s">
        <v>807</v>
      </c>
      <c r="C154" s="11"/>
      <c r="D154" s="11" t="s">
        <v>66</v>
      </c>
      <c r="E154" s="14"/>
      <c r="F154" s="14">
        <v>0</v>
      </c>
      <c r="G154" s="15">
        <v>20</v>
      </c>
      <c r="H154" s="15">
        <v>7323000</v>
      </c>
      <c r="I154" s="189">
        <v>1.1299999999999999</v>
      </c>
      <c r="J154" s="15"/>
      <c r="K154" s="15">
        <v>0</v>
      </c>
      <c r="L154" s="15">
        <v>8274990</v>
      </c>
      <c r="M154" s="15">
        <v>730000</v>
      </c>
      <c r="N154" s="15">
        <v>0</v>
      </c>
      <c r="O154" s="15">
        <v>0</v>
      </c>
      <c r="P154" s="15">
        <v>9004990</v>
      </c>
      <c r="Q154" s="15">
        <v>768915</v>
      </c>
      <c r="R154" s="15"/>
      <c r="S154" s="15"/>
      <c r="T154" s="15"/>
      <c r="U154" s="15">
        <v>9000000</v>
      </c>
      <c r="V154" s="15"/>
      <c r="W154" s="15"/>
      <c r="X154" s="15"/>
      <c r="Y154" s="15">
        <v>0</v>
      </c>
      <c r="Z154" s="15"/>
      <c r="AA154" s="15"/>
      <c r="AB154" s="15"/>
      <c r="AC154" s="15"/>
      <c r="AD154" s="15"/>
      <c r="AE154" s="15"/>
      <c r="AF154" s="15"/>
      <c r="AG154" s="15"/>
      <c r="AH154" s="15"/>
      <c r="AI154" s="15"/>
      <c r="AJ154" s="15"/>
      <c r="AK154" s="15"/>
      <c r="AL154" s="15"/>
      <c r="AM154" s="15"/>
      <c r="AN154" s="15">
        <v>0</v>
      </c>
      <c r="AO154" s="15">
        <v>0</v>
      </c>
      <c r="AP154" s="15">
        <v>8236075</v>
      </c>
      <c r="AQ154" s="15"/>
      <c r="AR154" s="15"/>
      <c r="AS154" s="15">
        <v>82361</v>
      </c>
      <c r="AT154" s="15">
        <v>0</v>
      </c>
      <c r="AU154" s="15"/>
      <c r="AV154" s="15">
        <v>8153714</v>
      </c>
    </row>
    <row r="155" spans="1:48" ht="12" customHeight="1" x14ac:dyDescent="0.3">
      <c r="A155" s="13">
        <v>138</v>
      </c>
      <c r="B155" s="11" t="s">
        <v>338</v>
      </c>
      <c r="C155" s="11"/>
      <c r="D155" s="11" t="s">
        <v>238</v>
      </c>
      <c r="E155" s="14"/>
      <c r="F155" s="14">
        <v>1.85</v>
      </c>
      <c r="G155" s="15">
        <v>20</v>
      </c>
      <c r="H155" s="15">
        <v>7323000</v>
      </c>
      <c r="I155" s="189">
        <v>1</v>
      </c>
      <c r="J155" s="15">
        <v>4255000</v>
      </c>
      <c r="K155" s="15">
        <v>0</v>
      </c>
      <c r="L155" s="15">
        <v>7323000</v>
      </c>
      <c r="M155" s="15">
        <v>730000</v>
      </c>
      <c r="N155" s="15">
        <v>0</v>
      </c>
      <c r="O155" s="15">
        <v>0</v>
      </c>
      <c r="P155" s="15">
        <v>8053000</v>
      </c>
      <c r="Q155" s="15">
        <v>768915</v>
      </c>
      <c r="R155" s="15"/>
      <c r="S155" s="15"/>
      <c r="T155" s="15"/>
      <c r="U155" s="15">
        <v>16200000</v>
      </c>
      <c r="V155" s="15"/>
      <c r="W155" s="15"/>
      <c r="X155" s="15"/>
      <c r="Y155" s="15">
        <v>0</v>
      </c>
      <c r="Z155" s="15"/>
      <c r="AA155" s="15"/>
      <c r="AB155" s="15"/>
      <c r="AC155" s="15"/>
      <c r="AD155" s="15"/>
      <c r="AE155" s="15"/>
      <c r="AF155" s="15"/>
      <c r="AG155" s="15"/>
      <c r="AH155" s="15"/>
      <c r="AI155" s="15"/>
      <c r="AJ155" s="15"/>
      <c r="AK155" s="15"/>
      <c r="AL155" s="15"/>
      <c r="AM155" s="15"/>
      <c r="AN155" s="15">
        <v>0</v>
      </c>
      <c r="AO155" s="15">
        <v>0</v>
      </c>
      <c r="AP155" s="15">
        <v>7284085</v>
      </c>
      <c r="AQ155" s="15"/>
      <c r="AR155" s="15"/>
      <c r="AS155" s="15">
        <v>72841</v>
      </c>
      <c r="AT155" s="15">
        <v>0</v>
      </c>
      <c r="AU155" s="15"/>
      <c r="AV155" s="15">
        <v>7211244</v>
      </c>
    </row>
    <row r="156" spans="1:48" ht="12" customHeight="1" x14ac:dyDescent="0.3">
      <c r="A156" s="13">
        <v>139</v>
      </c>
      <c r="B156" s="11" t="s">
        <v>330</v>
      </c>
      <c r="C156" s="11"/>
      <c r="D156" s="11" t="s">
        <v>200</v>
      </c>
      <c r="E156" s="14"/>
      <c r="F156" s="14">
        <v>1.54</v>
      </c>
      <c r="G156" s="15">
        <v>20</v>
      </c>
      <c r="H156" s="15">
        <v>6567000</v>
      </c>
      <c r="I156" s="189">
        <v>1</v>
      </c>
      <c r="J156" s="15">
        <v>3542000</v>
      </c>
      <c r="K156" s="15">
        <v>0</v>
      </c>
      <c r="L156" s="15">
        <v>6567000</v>
      </c>
      <c r="M156" s="15">
        <v>0</v>
      </c>
      <c r="N156" s="15">
        <v>0</v>
      </c>
      <c r="O156" s="15">
        <v>0</v>
      </c>
      <c r="P156" s="15">
        <v>6567000</v>
      </c>
      <c r="Q156" s="15">
        <v>689535</v>
      </c>
      <c r="R156" s="15"/>
      <c r="S156" s="15"/>
      <c r="T156" s="15"/>
      <c r="U156" s="15">
        <v>16200000</v>
      </c>
      <c r="V156" s="15"/>
      <c r="W156" s="15"/>
      <c r="X156" s="15"/>
      <c r="Y156" s="15">
        <v>0</v>
      </c>
      <c r="Z156" s="15"/>
      <c r="AA156" s="15"/>
      <c r="AB156" s="15"/>
      <c r="AC156" s="15"/>
      <c r="AD156" s="15"/>
      <c r="AE156" s="15"/>
      <c r="AF156" s="15"/>
      <c r="AG156" s="15"/>
      <c r="AH156" s="15"/>
      <c r="AI156" s="15"/>
      <c r="AJ156" s="15"/>
      <c r="AK156" s="15"/>
      <c r="AL156" s="15"/>
      <c r="AM156" s="15"/>
      <c r="AN156" s="15">
        <v>0</v>
      </c>
      <c r="AO156" s="15">
        <v>0</v>
      </c>
      <c r="AP156" s="15">
        <v>5877465</v>
      </c>
      <c r="AQ156" s="15"/>
      <c r="AR156" s="15"/>
      <c r="AS156" s="15">
        <v>58775</v>
      </c>
      <c r="AT156" s="15">
        <v>0</v>
      </c>
      <c r="AU156" s="15"/>
      <c r="AV156" s="15">
        <v>5818690</v>
      </c>
    </row>
    <row r="157" spans="1:48" ht="12" customHeight="1" x14ac:dyDescent="0.3">
      <c r="A157" s="13">
        <v>0</v>
      </c>
      <c r="B157" s="11" t="s">
        <v>40</v>
      </c>
      <c r="C157" s="11"/>
      <c r="D157" s="11"/>
      <c r="E157" s="14"/>
      <c r="F157" s="14">
        <v>37.17</v>
      </c>
      <c r="G157" s="15">
        <v>360</v>
      </c>
      <c r="H157" s="15">
        <v>152036000</v>
      </c>
      <c r="I157" s="189">
        <v>18</v>
      </c>
      <c r="J157" s="15">
        <v>85491000</v>
      </c>
      <c r="K157" s="15">
        <v>0</v>
      </c>
      <c r="L157" s="15">
        <v>152036000</v>
      </c>
      <c r="M157" s="15">
        <v>12410000</v>
      </c>
      <c r="N157" s="15">
        <v>0</v>
      </c>
      <c r="O157" s="15">
        <v>0</v>
      </c>
      <c r="P157" s="15">
        <v>164446000</v>
      </c>
      <c r="Q157" s="15">
        <v>15963780</v>
      </c>
      <c r="R157" s="15"/>
      <c r="S157" s="15"/>
      <c r="T157" s="15"/>
      <c r="U157" s="15">
        <v>208800000</v>
      </c>
      <c r="V157" s="15"/>
      <c r="W157" s="15"/>
      <c r="X157" s="15"/>
      <c r="Y157" s="15">
        <v>1933010</v>
      </c>
      <c r="Z157" s="15"/>
      <c r="AA157" s="15"/>
      <c r="AB157" s="15"/>
      <c r="AC157" s="15"/>
      <c r="AD157" s="15"/>
      <c r="AE157" s="15"/>
      <c r="AF157" s="15"/>
      <c r="AG157" s="15"/>
      <c r="AH157" s="15"/>
      <c r="AI157" s="15"/>
      <c r="AJ157" s="15"/>
      <c r="AK157" s="15"/>
      <c r="AL157" s="15"/>
      <c r="AM157" s="15"/>
      <c r="AN157" s="15">
        <v>96651</v>
      </c>
      <c r="AO157" s="15">
        <v>0</v>
      </c>
      <c r="AP157" s="15">
        <v>148385569</v>
      </c>
      <c r="AQ157" s="15"/>
      <c r="AR157" s="15"/>
      <c r="AS157" s="15">
        <v>1481193</v>
      </c>
      <c r="AT157" s="15">
        <v>0</v>
      </c>
      <c r="AU157" s="15"/>
      <c r="AV157" s="15">
        <v>146904376</v>
      </c>
    </row>
    <row r="158" spans="1:48" ht="12" customHeight="1" x14ac:dyDescent="0.3">
      <c r="A158" s="13">
        <v>140</v>
      </c>
      <c r="B158" s="11" t="s">
        <v>341</v>
      </c>
      <c r="C158" s="11"/>
      <c r="D158" s="11" t="s">
        <v>214</v>
      </c>
      <c r="E158" s="14"/>
      <c r="F158" s="14">
        <v>6.25</v>
      </c>
      <c r="G158" s="15">
        <v>20</v>
      </c>
      <c r="H158" s="15">
        <v>16238000</v>
      </c>
      <c r="I158" s="189">
        <v>1</v>
      </c>
      <c r="J158" s="15">
        <v>14375000</v>
      </c>
      <c r="K158" s="15">
        <v>0</v>
      </c>
      <c r="L158" s="15">
        <v>16238000</v>
      </c>
      <c r="M158" s="15">
        <v>730000</v>
      </c>
      <c r="N158" s="15">
        <v>0</v>
      </c>
      <c r="O158" s="15">
        <v>0</v>
      </c>
      <c r="P158" s="15">
        <v>16968000</v>
      </c>
      <c r="Q158" s="15">
        <v>1704990</v>
      </c>
      <c r="R158" s="15"/>
      <c r="S158" s="15"/>
      <c r="T158" s="15"/>
      <c r="U158" s="15">
        <v>12600000</v>
      </c>
      <c r="V158" s="15"/>
      <c r="W158" s="15"/>
      <c r="X158" s="15"/>
      <c r="Y158" s="15">
        <v>1933010</v>
      </c>
      <c r="Z158" s="15"/>
      <c r="AA158" s="15"/>
      <c r="AB158" s="15"/>
      <c r="AC158" s="15"/>
      <c r="AD158" s="15"/>
      <c r="AE158" s="15"/>
      <c r="AF158" s="15"/>
      <c r="AG158" s="15"/>
      <c r="AH158" s="15"/>
      <c r="AI158" s="15"/>
      <c r="AJ158" s="15"/>
      <c r="AK158" s="15"/>
      <c r="AL158" s="15"/>
      <c r="AM158" s="15"/>
      <c r="AN158" s="15">
        <v>96651</v>
      </c>
      <c r="AO158" s="15">
        <v>0</v>
      </c>
      <c r="AP158" s="15">
        <v>15166359</v>
      </c>
      <c r="AQ158" s="15"/>
      <c r="AR158" s="15"/>
      <c r="AS158" s="15">
        <v>149000</v>
      </c>
      <c r="AT158" s="15">
        <v>0</v>
      </c>
      <c r="AU158" s="15"/>
      <c r="AV158" s="15">
        <v>15017359</v>
      </c>
    </row>
    <row r="159" spans="1:48" ht="12" customHeight="1" x14ac:dyDescent="0.3">
      <c r="A159" s="13">
        <v>141</v>
      </c>
      <c r="B159" s="11" t="s">
        <v>345</v>
      </c>
      <c r="C159" s="11"/>
      <c r="D159" s="11" t="s">
        <v>430</v>
      </c>
      <c r="E159" s="14"/>
      <c r="F159" s="14">
        <v>2.29</v>
      </c>
      <c r="G159" s="15">
        <v>20</v>
      </c>
      <c r="H159" s="15">
        <v>12020000</v>
      </c>
      <c r="I159" s="189">
        <v>1</v>
      </c>
      <c r="J159" s="15">
        <v>5267000</v>
      </c>
      <c r="K159" s="15">
        <v>0</v>
      </c>
      <c r="L159" s="15">
        <v>12020000</v>
      </c>
      <c r="M159" s="15">
        <v>730000</v>
      </c>
      <c r="N159" s="15">
        <v>0</v>
      </c>
      <c r="O159" s="15">
        <v>0</v>
      </c>
      <c r="P159" s="15">
        <v>12750000</v>
      </c>
      <c r="Q159" s="15">
        <v>1262100</v>
      </c>
      <c r="R159" s="15"/>
      <c r="S159" s="15"/>
      <c r="T159" s="15"/>
      <c r="U159" s="15">
        <v>16200000</v>
      </c>
      <c r="V159" s="15"/>
      <c r="W159" s="15"/>
      <c r="X159" s="15"/>
      <c r="Y159" s="15">
        <v>0</v>
      </c>
      <c r="Z159" s="15"/>
      <c r="AA159" s="15"/>
      <c r="AB159" s="15"/>
      <c r="AC159" s="15"/>
      <c r="AD159" s="15"/>
      <c r="AE159" s="15"/>
      <c r="AF159" s="15"/>
      <c r="AG159" s="15"/>
      <c r="AH159" s="15"/>
      <c r="AI159" s="15"/>
      <c r="AJ159" s="15"/>
      <c r="AK159" s="15"/>
      <c r="AL159" s="15"/>
      <c r="AM159" s="15"/>
      <c r="AN159" s="15">
        <v>0</v>
      </c>
      <c r="AO159" s="15">
        <v>0</v>
      </c>
      <c r="AP159" s="15">
        <v>11487900</v>
      </c>
      <c r="AQ159" s="15"/>
      <c r="AR159" s="15"/>
      <c r="AS159" s="15">
        <v>114879</v>
      </c>
      <c r="AT159" s="15">
        <v>0</v>
      </c>
      <c r="AU159" s="15"/>
      <c r="AV159" s="15">
        <v>11373021</v>
      </c>
    </row>
    <row r="160" spans="1:48" ht="12" customHeight="1" x14ac:dyDescent="0.3">
      <c r="A160" s="13">
        <v>142</v>
      </c>
      <c r="B160" s="11" t="s">
        <v>343</v>
      </c>
      <c r="C160" s="11"/>
      <c r="D160" s="11" t="s">
        <v>217</v>
      </c>
      <c r="E160" s="14"/>
      <c r="F160" s="14">
        <v>2.29</v>
      </c>
      <c r="G160" s="15">
        <v>20</v>
      </c>
      <c r="H160" s="15">
        <v>9831000</v>
      </c>
      <c r="I160" s="189">
        <v>1</v>
      </c>
      <c r="J160" s="15">
        <v>5267000</v>
      </c>
      <c r="K160" s="15">
        <v>0</v>
      </c>
      <c r="L160" s="15">
        <v>9831000</v>
      </c>
      <c r="M160" s="15">
        <v>730000</v>
      </c>
      <c r="N160" s="15">
        <v>0</v>
      </c>
      <c r="O160" s="15">
        <v>0</v>
      </c>
      <c r="P160" s="15">
        <v>10561000</v>
      </c>
      <c r="Q160" s="15">
        <v>1032255</v>
      </c>
      <c r="R160" s="15"/>
      <c r="S160" s="15"/>
      <c r="T160" s="15"/>
      <c r="U160" s="15">
        <v>12600000</v>
      </c>
      <c r="V160" s="15"/>
      <c r="W160" s="15"/>
      <c r="X160" s="15"/>
      <c r="Y160" s="15">
        <v>0</v>
      </c>
      <c r="Z160" s="15"/>
      <c r="AA160" s="15"/>
      <c r="AB160" s="15"/>
      <c r="AC160" s="15"/>
      <c r="AD160" s="15"/>
      <c r="AE160" s="15"/>
      <c r="AF160" s="15"/>
      <c r="AG160" s="15"/>
      <c r="AH160" s="15"/>
      <c r="AI160" s="15"/>
      <c r="AJ160" s="15"/>
      <c r="AK160" s="15"/>
      <c r="AL160" s="15"/>
      <c r="AM160" s="15"/>
      <c r="AN160" s="15">
        <v>0</v>
      </c>
      <c r="AO160" s="15">
        <v>0</v>
      </c>
      <c r="AP160" s="15">
        <v>9528745</v>
      </c>
      <c r="AQ160" s="15"/>
      <c r="AR160" s="15"/>
      <c r="AS160" s="15">
        <v>95287</v>
      </c>
      <c r="AT160" s="15">
        <v>0</v>
      </c>
      <c r="AU160" s="15"/>
      <c r="AV160" s="15">
        <v>9433458</v>
      </c>
    </row>
    <row r="161" spans="1:48" ht="12" customHeight="1" x14ac:dyDescent="0.3">
      <c r="A161" s="13">
        <v>143</v>
      </c>
      <c r="B161" s="11" t="s">
        <v>347</v>
      </c>
      <c r="C161" s="11"/>
      <c r="D161" s="11" t="s">
        <v>217</v>
      </c>
      <c r="E161" s="14"/>
      <c r="F161" s="14">
        <v>2.29</v>
      </c>
      <c r="G161" s="15">
        <v>20</v>
      </c>
      <c r="H161" s="15">
        <v>9831000</v>
      </c>
      <c r="I161" s="189">
        <v>1</v>
      </c>
      <c r="J161" s="15">
        <v>5267000</v>
      </c>
      <c r="K161" s="15">
        <v>0</v>
      </c>
      <c r="L161" s="15">
        <v>9831000</v>
      </c>
      <c r="M161" s="15">
        <v>730000</v>
      </c>
      <c r="N161" s="15">
        <v>0</v>
      </c>
      <c r="O161" s="15">
        <v>0</v>
      </c>
      <c r="P161" s="15">
        <v>10561000</v>
      </c>
      <c r="Q161" s="15">
        <v>1032255</v>
      </c>
      <c r="R161" s="15"/>
      <c r="S161" s="15"/>
      <c r="T161" s="15"/>
      <c r="U161" s="15">
        <v>19800000</v>
      </c>
      <c r="V161" s="15"/>
      <c r="W161" s="15"/>
      <c r="X161" s="15"/>
      <c r="Y161" s="15">
        <v>0</v>
      </c>
      <c r="Z161" s="15"/>
      <c r="AA161" s="15"/>
      <c r="AB161" s="15"/>
      <c r="AC161" s="15"/>
      <c r="AD161" s="15"/>
      <c r="AE161" s="15"/>
      <c r="AF161" s="15"/>
      <c r="AG161" s="15"/>
      <c r="AH161" s="15"/>
      <c r="AI161" s="15"/>
      <c r="AJ161" s="15"/>
      <c r="AK161" s="15"/>
      <c r="AL161" s="15"/>
      <c r="AM161" s="15"/>
      <c r="AN161" s="15">
        <v>0</v>
      </c>
      <c r="AO161" s="15">
        <v>0</v>
      </c>
      <c r="AP161" s="15">
        <v>9528745</v>
      </c>
      <c r="AQ161" s="15"/>
      <c r="AR161" s="15"/>
      <c r="AS161" s="15">
        <v>95287</v>
      </c>
      <c r="AT161" s="15">
        <v>0</v>
      </c>
      <c r="AU161" s="15"/>
      <c r="AV161" s="15">
        <v>9433458</v>
      </c>
    </row>
    <row r="162" spans="1:48" ht="12" customHeight="1" x14ac:dyDescent="0.3">
      <c r="A162" s="13">
        <v>144</v>
      </c>
      <c r="B162" s="11" t="s">
        <v>349</v>
      </c>
      <c r="C162" s="11"/>
      <c r="D162" s="11" t="s">
        <v>66</v>
      </c>
      <c r="E162" s="14"/>
      <c r="F162" s="14">
        <v>1.85</v>
      </c>
      <c r="G162" s="15">
        <v>20</v>
      </c>
      <c r="H162" s="15">
        <v>7801000</v>
      </c>
      <c r="I162" s="189">
        <v>1</v>
      </c>
      <c r="J162" s="15">
        <v>4255000</v>
      </c>
      <c r="K162" s="15">
        <v>0</v>
      </c>
      <c r="L162" s="15">
        <v>7801000</v>
      </c>
      <c r="M162" s="15">
        <v>730000</v>
      </c>
      <c r="N162" s="15">
        <v>0</v>
      </c>
      <c r="O162" s="15">
        <v>0</v>
      </c>
      <c r="P162" s="15">
        <v>8531000</v>
      </c>
      <c r="Q162" s="15">
        <v>819105</v>
      </c>
      <c r="R162" s="15"/>
      <c r="S162" s="15"/>
      <c r="T162" s="15"/>
      <c r="U162" s="15">
        <v>16200000</v>
      </c>
      <c r="V162" s="15"/>
      <c r="W162" s="15"/>
      <c r="X162" s="15"/>
      <c r="Y162" s="15">
        <v>0</v>
      </c>
      <c r="Z162" s="15"/>
      <c r="AA162" s="15"/>
      <c r="AB162" s="15"/>
      <c r="AC162" s="15"/>
      <c r="AD162" s="15"/>
      <c r="AE162" s="15"/>
      <c r="AF162" s="15"/>
      <c r="AG162" s="15"/>
      <c r="AH162" s="15"/>
      <c r="AI162" s="15"/>
      <c r="AJ162" s="15"/>
      <c r="AK162" s="15"/>
      <c r="AL162" s="15"/>
      <c r="AM162" s="15"/>
      <c r="AN162" s="15">
        <v>0</v>
      </c>
      <c r="AO162" s="15">
        <v>0</v>
      </c>
      <c r="AP162" s="15">
        <v>7711895</v>
      </c>
      <c r="AQ162" s="15"/>
      <c r="AR162" s="15"/>
      <c r="AS162" s="15">
        <v>77119</v>
      </c>
      <c r="AT162" s="15">
        <v>0</v>
      </c>
      <c r="AU162" s="15"/>
      <c r="AV162" s="15">
        <v>7634776</v>
      </c>
    </row>
    <row r="163" spans="1:48" ht="12" customHeight="1" x14ac:dyDescent="0.3">
      <c r="A163" s="13">
        <v>145</v>
      </c>
      <c r="B163" s="11" t="s">
        <v>351</v>
      </c>
      <c r="C163" s="11"/>
      <c r="D163" s="11" t="s">
        <v>66</v>
      </c>
      <c r="E163" s="14"/>
      <c r="F163" s="14">
        <v>1.85</v>
      </c>
      <c r="G163" s="15">
        <v>20</v>
      </c>
      <c r="H163" s="15">
        <v>7323000</v>
      </c>
      <c r="I163" s="189">
        <v>1</v>
      </c>
      <c r="J163" s="15">
        <v>4255000</v>
      </c>
      <c r="K163" s="15">
        <v>0</v>
      </c>
      <c r="L163" s="15">
        <v>7323000</v>
      </c>
      <c r="M163" s="15">
        <v>730000</v>
      </c>
      <c r="N163" s="15">
        <v>0</v>
      </c>
      <c r="O163" s="15">
        <v>0</v>
      </c>
      <c r="P163" s="15">
        <v>8053000</v>
      </c>
      <c r="Q163" s="15">
        <v>768915</v>
      </c>
      <c r="R163" s="15"/>
      <c r="S163" s="15"/>
      <c r="T163" s="15"/>
      <c r="U163" s="15">
        <v>9000000</v>
      </c>
      <c r="V163" s="15"/>
      <c r="W163" s="15"/>
      <c r="X163" s="15"/>
      <c r="Y163" s="15">
        <v>0</v>
      </c>
      <c r="Z163" s="15"/>
      <c r="AA163" s="15"/>
      <c r="AB163" s="15"/>
      <c r="AC163" s="15"/>
      <c r="AD163" s="15"/>
      <c r="AE163" s="15"/>
      <c r="AF163" s="15"/>
      <c r="AG163" s="15"/>
      <c r="AH163" s="15"/>
      <c r="AI163" s="15"/>
      <c r="AJ163" s="15"/>
      <c r="AK163" s="15"/>
      <c r="AL163" s="15"/>
      <c r="AM163" s="15"/>
      <c r="AN163" s="15">
        <v>0</v>
      </c>
      <c r="AO163" s="15">
        <v>0</v>
      </c>
      <c r="AP163" s="15">
        <v>7284085</v>
      </c>
      <c r="AQ163" s="15"/>
      <c r="AR163" s="15"/>
      <c r="AS163" s="15">
        <v>72841</v>
      </c>
      <c r="AT163" s="15">
        <v>0</v>
      </c>
      <c r="AU163" s="15"/>
      <c r="AV163" s="15">
        <v>7211244</v>
      </c>
    </row>
    <row r="164" spans="1:48" ht="12" customHeight="1" x14ac:dyDescent="0.3">
      <c r="A164" s="13">
        <v>146</v>
      </c>
      <c r="B164" s="11" t="s">
        <v>353</v>
      </c>
      <c r="C164" s="11"/>
      <c r="D164" s="11" t="s">
        <v>66</v>
      </c>
      <c r="E164" s="14"/>
      <c r="F164" s="14">
        <v>1.85</v>
      </c>
      <c r="G164" s="15">
        <v>20</v>
      </c>
      <c r="H164" s="15">
        <v>7841000</v>
      </c>
      <c r="I164" s="189">
        <v>1</v>
      </c>
      <c r="J164" s="15">
        <v>4255000</v>
      </c>
      <c r="K164" s="15">
        <v>0</v>
      </c>
      <c r="L164" s="15">
        <v>7841000</v>
      </c>
      <c r="M164" s="15">
        <v>730000</v>
      </c>
      <c r="N164" s="15">
        <v>0</v>
      </c>
      <c r="O164" s="15">
        <v>0</v>
      </c>
      <c r="P164" s="15">
        <v>8571000</v>
      </c>
      <c r="Q164" s="15">
        <v>823305</v>
      </c>
      <c r="R164" s="15"/>
      <c r="S164" s="15"/>
      <c r="T164" s="15"/>
      <c r="U164" s="15">
        <v>12600000</v>
      </c>
      <c r="V164" s="15"/>
      <c r="W164" s="15"/>
      <c r="X164" s="15"/>
      <c r="Y164" s="15">
        <v>0</v>
      </c>
      <c r="Z164" s="15"/>
      <c r="AA164" s="15"/>
      <c r="AB164" s="15"/>
      <c r="AC164" s="15"/>
      <c r="AD164" s="15"/>
      <c r="AE164" s="15"/>
      <c r="AF164" s="15"/>
      <c r="AG164" s="15"/>
      <c r="AH164" s="15"/>
      <c r="AI164" s="15"/>
      <c r="AJ164" s="15"/>
      <c r="AK164" s="15"/>
      <c r="AL164" s="15"/>
      <c r="AM164" s="15"/>
      <c r="AN164" s="15">
        <v>0</v>
      </c>
      <c r="AO164" s="15">
        <v>0</v>
      </c>
      <c r="AP164" s="15">
        <v>7747695</v>
      </c>
      <c r="AQ164" s="15"/>
      <c r="AR164" s="15"/>
      <c r="AS164" s="15">
        <v>77477</v>
      </c>
      <c r="AT164" s="15">
        <v>0</v>
      </c>
      <c r="AU164" s="15"/>
      <c r="AV164" s="15">
        <v>7670218</v>
      </c>
    </row>
    <row r="165" spans="1:48" ht="12" customHeight="1" x14ac:dyDescent="0.3">
      <c r="A165" s="13">
        <v>147</v>
      </c>
      <c r="B165" s="11" t="s">
        <v>355</v>
      </c>
      <c r="C165" s="11"/>
      <c r="D165" s="11" t="s">
        <v>66</v>
      </c>
      <c r="E165" s="14"/>
      <c r="F165" s="14">
        <v>1.85</v>
      </c>
      <c r="G165" s="15">
        <v>20</v>
      </c>
      <c r="H165" s="15">
        <v>7363000</v>
      </c>
      <c r="I165" s="189">
        <v>1</v>
      </c>
      <c r="J165" s="15">
        <v>4255000</v>
      </c>
      <c r="K165" s="15">
        <v>0</v>
      </c>
      <c r="L165" s="15">
        <v>7363000</v>
      </c>
      <c r="M165" s="15">
        <v>730000</v>
      </c>
      <c r="N165" s="15">
        <v>0</v>
      </c>
      <c r="O165" s="15">
        <v>0</v>
      </c>
      <c r="P165" s="15">
        <v>8093000</v>
      </c>
      <c r="Q165" s="15">
        <v>773115</v>
      </c>
      <c r="R165" s="15"/>
      <c r="S165" s="15"/>
      <c r="T165" s="15"/>
      <c r="U165" s="15">
        <v>9000000</v>
      </c>
      <c r="V165" s="15"/>
      <c r="W165" s="15"/>
      <c r="X165" s="15"/>
      <c r="Y165" s="15">
        <v>0</v>
      </c>
      <c r="Z165" s="15"/>
      <c r="AA165" s="15"/>
      <c r="AB165" s="15"/>
      <c r="AC165" s="15"/>
      <c r="AD165" s="15"/>
      <c r="AE165" s="15"/>
      <c r="AF165" s="15"/>
      <c r="AG165" s="15"/>
      <c r="AH165" s="15"/>
      <c r="AI165" s="15"/>
      <c r="AJ165" s="15"/>
      <c r="AK165" s="15"/>
      <c r="AL165" s="15"/>
      <c r="AM165" s="15"/>
      <c r="AN165" s="15">
        <v>0</v>
      </c>
      <c r="AO165" s="15">
        <v>0</v>
      </c>
      <c r="AP165" s="15">
        <v>7319885</v>
      </c>
      <c r="AQ165" s="15"/>
      <c r="AR165" s="15"/>
      <c r="AS165" s="15">
        <v>73199</v>
      </c>
      <c r="AT165" s="15">
        <v>0</v>
      </c>
      <c r="AU165" s="15"/>
      <c r="AV165" s="15">
        <v>7246686</v>
      </c>
    </row>
    <row r="166" spans="1:48" ht="12" customHeight="1" x14ac:dyDescent="0.3">
      <c r="A166" s="13">
        <v>148</v>
      </c>
      <c r="B166" s="11" t="s">
        <v>365</v>
      </c>
      <c r="C166" s="11"/>
      <c r="D166" s="11" t="s">
        <v>66</v>
      </c>
      <c r="E166" s="14"/>
      <c r="F166" s="14">
        <v>1.85</v>
      </c>
      <c r="G166" s="15">
        <v>20</v>
      </c>
      <c r="H166" s="15">
        <v>7363000</v>
      </c>
      <c r="I166" s="189">
        <v>1</v>
      </c>
      <c r="J166" s="15">
        <v>4255000</v>
      </c>
      <c r="K166" s="15">
        <v>0</v>
      </c>
      <c r="L166" s="15">
        <v>7363000</v>
      </c>
      <c r="M166" s="15">
        <v>730000</v>
      </c>
      <c r="N166" s="15">
        <v>0</v>
      </c>
      <c r="O166" s="15">
        <v>0</v>
      </c>
      <c r="P166" s="15">
        <v>8093000</v>
      </c>
      <c r="Q166" s="15">
        <v>773115</v>
      </c>
      <c r="R166" s="15"/>
      <c r="S166" s="15"/>
      <c r="T166" s="15"/>
      <c r="U166" s="15">
        <v>12600000</v>
      </c>
      <c r="V166" s="15"/>
      <c r="W166" s="15"/>
      <c r="X166" s="15"/>
      <c r="Y166" s="15">
        <v>0</v>
      </c>
      <c r="Z166" s="15"/>
      <c r="AA166" s="15"/>
      <c r="AB166" s="15"/>
      <c r="AC166" s="15"/>
      <c r="AD166" s="15"/>
      <c r="AE166" s="15"/>
      <c r="AF166" s="15"/>
      <c r="AG166" s="15"/>
      <c r="AH166" s="15"/>
      <c r="AI166" s="15"/>
      <c r="AJ166" s="15"/>
      <c r="AK166" s="15"/>
      <c r="AL166" s="15"/>
      <c r="AM166" s="15"/>
      <c r="AN166" s="15">
        <v>0</v>
      </c>
      <c r="AO166" s="15">
        <v>0</v>
      </c>
      <c r="AP166" s="15">
        <v>7319885</v>
      </c>
      <c r="AQ166" s="15"/>
      <c r="AR166" s="15"/>
      <c r="AS166" s="15">
        <v>73199</v>
      </c>
      <c r="AT166" s="15">
        <v>0</v>
      </c>
      <c r="AU166" s="15"/>
      <c r="AV166" s="15">
        <v>7246686</v>
      </c>
    </row>
    <row r="167" spans="1:48" ht="12" customHeight="1" x14ac:dyDescent="0.3">
      <c r="A167" s="13">
        <v>149</v>
      </c>
      <c r="B167" s="11" t="s">
        <v>367</v>
      </c>
      <c r="C167" s="11"/>
      <c r="D167" s="11" t="s">
        <v>66</v>
      </c>
      <c r="E167" s="14"/>
      <c r="F167" s="14">
        <v>1.85</v>
      </c>
      <c r="G167" s="15">
        <v>20</v>
      </c>
      <c r="H167" s="15">
        <v>7323000</v>
      </c>
      <c r="I167" s="189">
        <v>1</v>
      </c>
      <c r="J167" s="15">
        <v>4255000</v>
      </c>
      <c r="K167" s="15">
        <v>0</v>
      </c>
      <c r="L167" s="15">
        <v>7323000</v>
      </c>
      <c r="M167" s="15">
        <v>730000</v>
      </c>
      <c r="N167" s="15">
        <v>0</v>
      </c>
      <c r="O167" s="15">
        <v>0</v>
      </c>
      <c r="P167" s="15">
        <v>8053000</v>
      </c>
      <c r="Q167" s="15">
        <v>768915</v>
      </c>
      <c r="R167" s="15"/>
      <c r="S167" s="15"/>
      <c r="T167" s="15"/>
      <c r="U167" s="15">
        <v>9000000</v>
      </c>
      <c r="V167" s="15"/>
      <c r="W167" s="15"/>
      <c r="X167" s="15"/>
      <c r="Y167" s="15">
        <v>0</v>
      </c>
      <c r="Z167" s="15"/>
      <c r="AA167" s="15"/>
      <c r="AB167" s="15"/>
      <c r="AC167" s="15"/>
      <c r="AD167" s="15"/>
      <c r="AE167" s="15"/>
      <c r="AF167" s="15"/>
      <c r="AG167" s="15"/>
      <c r="AH167" s="15"/>
      <c r="AI167" s="15"/>
      <c r="AJ167" s="15"/>
      <c r="AK167" s="15"/>
      <c r="AL167" s="15"/>
      <c r="AM167" s="15"/>
      <c r="AN167" s="15">
        <v>0</v>
      </c>
      <c r="AO167" s="15">
        <v>0</v>
      </c>
      <c r="AP167" s="15">
        <v>7284085</v>
      </c>
      <c r="AQ167" s="15"/>
      <c r="AR167" s="15"/>
      <c r="AS167" s="15">
        <v>72841</v>
      </c>
      <c r="AT167" s="15">
        <v>0</v>
      </c>
      <c r="AU167" s="15"/>
      <c r="AV167" s="15">
        <v>7211244</v>
      </c>
    </row>
    <row r="168" spans="1:48" ht="12" customHeight="1" x14ac:dyDescent="0.3">
      <c r="A168" s="13">
        <v>150</v>
      </c>
      <c r="B168" s="11" t="s">
        <v>375</v>
      </c>
      <c r="C168" s="11"/>
      <c r="D168" s="11" t="s">
        <v>66</v>
      </c>
      <c r="E168" s="14"/>
      <c r="F168" s="14">
        <v>1.85</v>
      </c>
      <c r="G168" s="15">
        <v>20</v>
      </c>
      <c r="H168" s="15">
        <v>7323000</v>
      </c>
      <c r="I168" s="189">
        <v>1</v>
      </c>
      <c r="J168" s="15">
        <v>4255000</v>
      </c>
      <c r="K168" s="15">
        <v>0</v>
      </c>
      <c r="L168" s="15">
        <v>7323000</v>
      </c>
      <c r="M168" s="15">
        <v>730000</v>
      </c>
      <c r="N168" s="15">
        <v>0</v>
      </c>
      <c r="O168" s="15">
        <v>0</v>
      </c>
      <c r="P168" s="15">
        <v>8053000</v>
      </c>
      <c r="Q168" s="15">
        <v>768915</v>
      </c>
      <c r="R168" s="15"/>
      <c r="S168" s="15"/>
      <c r="T168" s="15"/>
      <c r="U168" s="15">
        <v>9000000</v>
      </c>
      <c r="V168" s="15"/>
      <c r="W168" s="15"/>
      <c r="X168" s="15"/>
      <c r="Y168" s="15">
        <v>0</v>
      </c>
      <c r="Z168" s="15"/>
      <c r="AA168" s="15"/>
      <c r="AB168" s="15"/>
      <c r="AC168" s="15"/>
      <c r="AD168" s="15"/>
      <c r="AE168" s="15"/>
      <c r="AF168" s="15"/>
      <c r="AG168" s="15"/>
      <c r="AH168" s="15"/>
      <c r="AI168" s="15"/>
      <c r="AJ168" s="15"/>
      <c r="AK168" s="15"/>
      <c r="AL168" s="15"/>
      <c r="AM168" s="15"/>
      <c r="AN168" s="15">
        <v>0</v>
      </c>
      <c r="AO168" s="15">
        <v>0</v>
      </c>
      <c r="AP168" s="15">
        <v>7284085</v>
      </c>
      <c r="AQ168" s="15"/>
      <c r="AR168" s="15"/>
      <c r="AS168" s="15">
        <v>72841</v>
      </c>
      <c r="AT168" s="15">
        <v>0</v>
      </c>
      <c r="AU168" s="15"/>
      <c r="AV168" s="15">
        <v>7211244</v>
      </c>
    </row>
    <row r="169" spans="1:48" ht="12" customHeight="1" x14ac:dyDescent="0.3">
      <c r="A169" s="13">
        <v>151</v>
      </c>
      <c r="B169" s="11" t="s">
        <v>371</v>
      </c>
      <c r="C169" s="11"/>
      <c r="D169" s="11" t="s">
        <v>66</v>
      </c>
      <c r="E169" s="14"/>
      <c r="F169" s="14">
        <v>1.85</v>
      </c>
      <c r="G169" s="15">
        <v>20</v>
      </c>
      <c r="H169" s="15">
        <v>7323000</v>
      </c>
      <c r="I169" s="189">
        <v>1</v>
      </c>
      <c r="J169" s="15">
        <v>4255000</v>
      </c>
      <c r="K169" s="15">
        <v>0</v>
      </c>
      <c r="L169" s="15">
        <v>7323000</v>
      </c>
      <c r="M169" s="15">
        <v>730000</v>
      </c>
      <c r="N169" s="15">
        <v>0</v>
      </c>
      <c r="O169" s="15">
        <v>0</v>
      </c>
      <c r="P169" s="15">
        <v>8053000</v>
      </c>
      <c r="Q169" s="15">
        <v>768915</v>
      </c>
      <c r="R169" s="15"/>
      <c r="S169" s="15"/>
      <c r="T169" s="15"/>
      <c r="U169" s="15">
        <v>9000000</v>
      </c>
      <c r="V169" s="15"/>
      <c r="W169" s="15"/>
      <c r="X169" s="15"/>
      <c r="Y169" s="15">
        <v>0</v>
      </c>
      <c r="Z169" s="15"/>
      <c r="AA169" s="15"/>
      <c r="AB169" s="15"/>
      <c r="AC169" s="15"/>
      <c r="AD169" s="15"/>
      <c r="AE169" s="15"/>
      <c r="AF169" s="15"/>
      <c r="AG169" s="15"/>
      <c r="AH169" s="15"/>
      <c r="AI169" s="15"/>
      <c r="AJ169" s="15"/>
      <c r="AK169" s="15"/>
      <c r="AL169" s="15"/>
      <c r="AM169" s="15"/>
      <c r="AN169" s="15">
        <v>0</v>
      </c>
      <c r="AO169" s="15">
        <v>0</v>
      </c>
      <c r="AP169" s="15">
        <v>7284085</v>
      </c>
      <c r="AQ169" s="15"/>
      <c r="AR169" s="15"/>
      <c r="AS169" s="15">
        <v>72841</v>
      </c>
      <c r="AT169" s="15">
        <v>0</v>
      </c>
      <c r="AU169" s="15"/>
      <c r="AV169" s="15">
        <v>7211244</v>
      </c>
    </row>
    <row r="170" spans="1:48" ht="12" customHeight="1" x14ac:dyDescent="0.3">
      <c r="A170" s="13">
        <v>152</v>
      </c>
      <c r="B170" s="11" t="s">
        <v>373</v>
      </c>
      <c r="C170" s="11"/>
      <c r="D170" s="11" t="s">
        <v>66</v>
      </c>
      <c r="E170" s="14"/>
      <c r="F170" s="14">
        <v>1.85</v>
      </c>
      <c r="G170" s="15">
        <v>20</v>
      </c>
      <c r="H170" s="15">
        <v>7323000</v>
      </c>
      <c r="I170" s="189">
        <v>1</v>
      </c>
      <c r="J170" s="15">
        <v>4255000</v>
      </c>
      <c r="K170" s="15">
        <v>0</v>
      </c>
      <c r="L170" s="15">
        <v>7323000</v>
      </c>
      <c r="M170" s="15">
        <v>730000</v>
      </c>
      <c r="N170" s="15">
        <v>0</v>
      </c>
      <c r="O170" s="15">
        <v>0</v>
      </c>
      <c r="P170" s="15">
        <v>8053000</v>
      </c>
      <c r="Q170" s="15">
        <v>768915</v>
      </c>
      <c r="R170" s="15"/>
      <c r="S170" s="15"/>
      <c r="T170" s="15"/>
      <c r="U170" s="15">
        <v>9000000</v>
      </c>
      <c r="V170" s="15"/>
      <c r="W170" s="15"/>
      <c r="X170" s="15"/>
      <c r="Y170" s="15">
        <v>0</v>
      </c>
      <c r="Z170" s="15"/>
      <c r="AA170" s="15"/>
      <c r="AB170" s="15"/>
      <c r="AC170" s="15"/>
      <c r="AD170" s="15"/>
      <c r="AE170" s="15"/>
      <c r="AF170" s="15"/>
      <c r="AG170" s="15"/>
      <c r="AH170" s="15"/>
      <c r="AI170" s="15"/>
      <c r="AJ170" s="15"/>
      <c r="AK170" s="15"/>
      <c r="AL170" s="15"/>
      <c r="AM170" s="15"/>
      <c r="AN170" s="15">
        <v>0</v>
      </c>
      <c r="AO170" s="15">
        <v>0</v>
      </c>
      <c r="AP170" s="15">
        <v>7284085</v>
      </c>
      <c r="AQ170" s="15"/>
      <c r="AR170" s="15"/>
      <c r="AS170" s="15">
        <v>72841</v>
      </c>
      <c r="AT170" s="15">
        <v>0</v>
      </c>
      <c r="AU170" s="15"/>
      <c r="AV170" s="15">
        <v>7211244</v>
      </c>
    </row>
    <row r="171" spans="1:48" ht="12" customHeight="1" x14ac:dyDescent="0.3">
      <c r="A171" s="13">
        <v>153</v>
      </c>
      <c r="B171" s="11" t="s">
        <v>369</v>
      </c>
      <c r="C171" s="11"/>
      <c r="D171" s="11" t="s">
        <v>66</v>
      </c>
      <c r="E171" s="14"/>
      <c r="F171" s="14">
        <v>1.85</v>
      </c>
      <c r="G171" s="15">
        <v>20</v>
      </c>
      <c r="H171" s="15">
        <v>7323000</v>
      </c>
      <c r="I171" s="189">
        <v>1</v>
      </c>
      <c r="J171" s="15">
        <v>4255000</v>
      </c>
      <c r="K171" s="15">
        <v>0</v>
      </c>
      <c r="L171" s="15">
        <v>7323000</v>
      </c>
      <c r="M171" s="15">
        <v>730000</v>
      </c>
      <c r="N171" s="15">
        <v>0</v>
      </c>
      <c r="O171" s="15">
        <v>0</v>
      </c>
      <c r="P171" s="15">
        <v>8053000</v>
      </c>
      <c r="Q171" s="15">
        <v>768915</v>
      </c>
      <c r="R171" s="15"/>
      <c r="S171" s="15"/>
      <c r="T171" s="15"/>
      <c r="U171" s="15">
        <v>16200000</v>
      </c>
      <c r="V171" s="15"/>
      <c r="W171" s="15"/>
      <c r="X171" s="15"/>
      <c r="Y171" s="15">
        <v>0</v>
      </c>
      <c r="Z171" s="15"/>
      <c r="AA171" s="15"/>
      <c r="AB171" s="15"/>
      <c r="AC171" s="15"/>
      <c r="AD171" s="15"/>
      <c r="AE171" s="15"/>
      <c r="AF171" s="15"/>
      <c r="AG171" s="15"/>
      <c r="AH171" s="15"/>
      <c r="AI171" s="15"/>
      <c r="AJ171" s="15"/>
      <c r="AK171" s="15"/>
      <c r="AL171" s="15"/>
      <c r="AM171" s="15"/>
      <c r="AN171" s="15">
        <v>0</v>
      </c>
      <c r="AO171" s="15">
        <v>0</v>
      </c>
      <c r="AP171" s="15">
        <v>7284085</v>
      </c>
      <c r="AQ171" s="15"/>
      <c r="AR171" s="15"/>
      <c r="AS171" s="15">
        <v>72841</v>
      </c>
      <c r="AT171" s="15">
        <v>0</v>
      </c>
      <c r="AU171" s="15"/>
      <c r="AV171" s="15">
        <v>7211244</v>
      </c>
    </row>
    <row r="172" spans="1:48" ht="12" customHeight="1" x14ac:dyDescent="0.3">
      <c r="A172" s="13">
        <v>154</v>
      </c>
      <c r="B172" s="11" t="s">
        <v>361</v>
      </c>
      <c r="C172" s="11"/>
      <c r="D172" s="11" t="s">
        <v>66</v>
      </c>
      <c r="E172" s="14"/>
      <c r="F172" s="14">
        <v>1.85</v>
      </c>
      <c r="G172" s="15">
        <v>20</v>
      </c>
      <c r="H172" s="15">
        <v>7363000</v>
      </c>
      <c r="I172" s="189">
        <v>1</v>
      </c>
      <c r="J172" s="15">
        <v>4255000</v>
      </c>
      <c r="K172" s="15">
        <v>0</v>
      </c>
      <c r="L172" s="15">
        <v>7363000</v>
      </c>
      <c r="M172" s="15">
        <v>730000</v>
      </c>
      <c r="N172" s="15">
        <v>0</v>
      </c>
      <c r="O172" s="15">
        <v>0</v>
      </c>
      <c r="P172" s="15">
        <v>8093000</v>
      </c>
      <c r="Q172" s="15">
        <v>773115</v>
      </c>
      <c r="R172" s="15"/>
      <c r="S172" s="15"/>
      <c r="T172" s="15"/>
      <c r="U172" s="15">
        <v>9000000</v>
      </c>
      <c r="V172" s="15"/>
      <c r="W172" s="15"/>
      <c r="X172" s="15"/>
      <c r="Y172" s="15">
        <v>0</v>
      </c>
      <c r="Z172" s="15"/>
      <c r="AA172" s="15"/>
      <c r="AB172" s="15"/>
      <c r="AC172" s="15"/>
      <c r="AD172" s="15"/>
      <c r="AE172" s="15"/>
      <c r="AF172" s="15"/>
      <c r="AG172" s="15"/>
      <c r="AH172" s="15"/>
      <c r="AI172" s="15"/>
      <c r="AJ172" s="15"/>
      <c r="AK172" s="15"/>
      <c r="AL172" s="15"/>
      <c r="AM172" s="15"/>
      <c r="AN172" s="15">
        <v>0</v>
      </c>
      <c r="AO172" s="15">
        <v>0</v>
      </c>
      <c r="AP172" s="15">
        <v>7319885</v>
      </c>
      <c r="AQ172" s="15"/>
      <c r="AR172" s="15"/>
      <c r="AS172" s="15">
        <v>73199</v>
      </c>
      <c r="AT172" s="15">
        <v>0</v>
      </c>
      <c r="AU172" s="15"/>
      <c r="AV172" s="15">
        <v>7246686</v>
      </c>
    </row>
    <row r="173" spans="1:48" ht="12" customHeight="1" x14ac:dyDescent="0.3">
      <c r="A173" s="13">
        <v>155</v>
      </c>
      <c r="B173" s="11" t="s">
        <v>359</v>
      </c>
      <c r="C173" s="11"/>
      <c r="D173" s="11" t="s">
        <v>66</v>
      </c>
      <c r="E173" s="14"/>
      <c r="F173" s="14">
        <v>1.85</v>
      </c>
      <c r="G173" s="15">
        <v>20</v>
      </c>
      <c r="H173" s="15">
        <v>7801000</v>
      </c>
      <c r="I173" s="189">
        <v>1</v>
      </c>
      <c r="J173" s="15">
        <v>4255000</v>
      </c>
      <c r="K173" s="15">
        <v>0</v>
      </c>
      <c r="L173" s="15">
        <v>7801000</v>
      </c>
      <c r="M173" s="15">
        <v>730000</v>
      </c>
      <c r="N173" s="15">
        <v>0</v>
      </c>
      <c r="O173" s="15">
        <v>0</v>
      </c>
      <c r="P173" s="15">
        <v>7801000</v>
      </c>
      <c r="Q173" s="15">
        <v>819105</v>
      </c>
      <c r="R173" s="15"/>
      <c r="S173" s="15"/>
      <c r="T173" s="15"/>
      <c r="U173" s="15">
        <v>9000000</v>
      </c>
      <c r="V173" s="15"/>
      <c r="W173" s="15"/>
      <c r="X173" s="15"/>
      <c r="Y173" s="15">
        <v>0</v>
      </c>
      <c r="Z173" s="15"/>
      <c r="AA173" s="15"/>
      <c r="AB173" s="15"/>
      <c r="AC173" s="15"/>
      <c r="AD173" s="15"/>
      <c r="AE173" s="15"/>
      <c r="AF173" s="15"/>
      <c r="AG173" s="15"/>
      <c r="AH173" s="15"/>
      <c r="AI173" s="15"/>
      <c r="AJ173" s="15"/>
      <c r="AK173" s="15"/>
      <c r="AL173" s="15"/>
      <c r="AM173" s="15"/>
      <c r="AN173" s="15">
        <v>0</v>
      </c>
      <c r="AO173" s="15">
        <v>0</v>
      </c>
      <c r="AP173" s="15">
        <v>6981895</v>
      </c>
      <c r="AQ173" s="15"/>
      <c r="AR173" s="15"/>
      <c r="AS173" s="15">
        <v>69819</v>
      </c>
      <c r="AT173" s="15">
        <v>0</v>
      </c>
      <c r="AU173" s="15"/>
      <c r="AV173" s="15">
        <v>6912076</v>
      </c>
    </row>
    <row r="174" spans="1:48" ht="12" customHeight="1" x14ac:dyDescent="0.3">
      <c r="A174" s="13">
        <v>156</v>
      </c>
      <c r="B174" s="11" t="s">
        <v>809</v>
      </c>
      <c r="C174" s="11"/>
      <c r="D174" s="11" t="s">
        <v>66</v>
      </c>
      <c r="E174" s="14"/>
      <c r="F174" s="14">
        <v>0</v>
      </c>
      <c r="G174" s="15">
        <v>20</v>
      </c>
      <c r="H174" s="15">
        <v>7323000</v>
      </c>
      <c r="I174" s="189">
        <v>1</v>
      </c>
      <c r="J174" s="15"/>
      <c r="K174" s="15">
        <v>0</v>
      </c>
      <c r="L174" s="15">
        <v>7323000</v>
      </c>
      <c r="M174" s="15">
        <v>730000</v>
      </c>
      <c r="N174" s="15">
        <v>0</v>
      </c>
      <c r="O174" s="15">
        <v>0</v>
      </c>
      <c r="P174" s="15">
        <v>8053000</v>
      </c>
      <c r="Q174" s="15">
        <v>768915</v>
      </c>
      <c r="R174" s="15"/>
      <c r="S174" s="15"/>
      <c r="T174" s="15"/>
      <c r="U174" s="15">
        <v>9000000</v>
      </c>
      <c r="V174" s="15"/>
      <c r="W174" s="15"/>
      <c r="X174" s="15"/>
      <c r="Y174" s="15">
        <v>0</v>
      </c>
      <c r="Z174" s="15"/>
      <c r="AA174" s="15"/>
      <c r="AB174" s="15"/>
      <c r="AC174" s="15"/>
      <c r="AD174" s="15"/>
      <c r="AE174" s="15"/>
      <c r="AF174" s="15"/>
      <c r="AG174" s="15"/>
      <c r="AH174" s="15"/>
      <c r="AI174" s="15"/>
      <c r="AJ174" s="15"/>
      <c r="AK174" s="15"/>
      <c r="AL174" s="15"/>
      <c r="AM174" s="15"/>
      <c r="AN174" s="15">
        <v>0</v>
      </c>
      <c r="AO174" s="15">
        <v>0</v>
      </c>
      <c r="AP174" s="15">
        <v>7284085</v>
      </c>
      <c r="AQ174" s="15"/>
      <c r="AR174" s="15"/>
      <c r="AS174" s="15">
        <v>72841</v>
      </c>
      <c r="AT174" s="15">
        <v>0</v>
      </c>
      <c r="AU174" s="15"/>
      <c r="AV174" s="15">
        <v>7211244</v>
      </c>
    </row>
    <row r="175" spans="1:48" ht="12" customHeight="1" x14ac:dyDescent="0.3">
      <c r="A175" s="13">
        <v>157</v>
      </c>
      <c r="B175" s="11" t="s">
        <v>363</v>
      </c>
      <c r="C175" s="11"/>
      <c r="D175" s="11" t="s">
        <v>238</v>
      </c>
      <c r="E175" s="14"/>
      <c r="F175" s="14">
        <v>1.85</v>
      </c>
      <c r="G175" s="15">
        <v>20</v>
      </c>
      <c r="H175" s="15">
        <v>7323000</v>
      </c>
      <c r="I175" s="189">
        <v>1</v>
      </c>
      <c r="J175" s="15">
        <v>4255000</v>
      </c>
      <c r="K175" s="15">
        <v>0</v>
      </c>
      <c r="L175" s="15">
        <v>7323000</v>
      </c>
      <c r="M175" s="15">
        <v>730000</v>
      </c>
      <c r="N175" s="15">
        <v>0</v>
      </c>
      <c r="O175" s="15">
        <v>0</v>
      </c>
      <c r="P175" s="15">
        <v>8053000</v>
      </c>
      <c r="Q175" s="15">
        <v>768915</v>
      </c>
      <c r="R175" s="15"/>
      <c r="S175" s="15"/>
      <c r="T175" s="15"/>
      <c r="U175" s="15">
        <v>9000000</v>
      </c>
      <c r="V175" s="15"/>
      <c r="W175" s="15"/>
      <c r="X175" s="15"/>
      <c r="Y175" s="15">
        <v>0</v>
      </c>
      <c r="Z175" s="15"/>
      <c r="AA175" s="15"/>
      <c r="AB175" s="15"/>
      <c r="AC175" s="15"/>
      <c r="AD175" s="15"/>
      <c r="AE175" s="15"/>
      <c r="AF175" s="15"/>
      <c r="AG175" s="15"/>
      <c r="AH175" s="15"/>
      <c r="AI175" s="15"/>
      <c r="AJ175" s="15"/>
      <c r="AK175" s="15"/>
      <c r="AL175" s="15"/>
      <c r="AM175" s="15"/>
      <c r="AN175" s="15">
        <v>0</v>
      </c>
      <c r="AO175" s="15">
        <v>0</v>
      </c>
      <c r="AP175" s="15">
        <v>7284085</v>
      </c>
      <c r="AQ175" s="15"/>
      <c r="AR175" s="15"/>
      <c r="AS175" s="15">
        <v>72841</v>
      </c>
      <c r="AT175" s="15">
        <v>0</v>
      </c>
      <c r="AU175" s="15"/>
      <c r="AV175" s="15">
        <v>7211244</v>
      </c>
    </row>
    <row r="176" spans="1:48" ht="12" customHeight="1" x14ac:dyDescent="0.3">
      <c r="A176" s="13">
        <v>0</v>
      </c>
      <c r="B176" s="11" t="s">
        <v>40</v>
      </c>
      <c r="C176" s="11"/>
      <c r="D176" s="11"/>
      <c r="E176" s="14"/>
      <c r="F176" s="14">
        <v>32.72</v>
      </c>
      <c r="G176" s="15">
        <v>340</v>
      </c>
      <c r="H176" s="15">
        <v>145181800</v>
      </c>
      <c r="I176" s="189">
        <v>20.34</v>
      </c>
      <c r="J176" s="15">
        <v>71001000</v>
      </c>
      <c r="K176" s="15">
        <v>0</v>
      </c>
      <c r="L176" s="15">
        <v>164055434</v>
      </c>
      <c r="M176" s="15">
        <v>0</v>
      </c>
      <c r="N176" s="15">
        <v>0</v>
      </c>
      <c r="O176" s="15">
        <v>0</v>
      </c>
      <c r="P176" s="15">
        <v>164055434</v>
      </c>
      <c r="Q176" s="15">
        <v>15244089</v>
      </c>
      <c r="R176" s="15"/>
      <c r="S176" s="15"/>
      <c r="T176" s="15"/>
      <c r="U176" s="15">
        <v>198000000</v>
      </c>
      <c r="V176" s="15"/>
      <c r="W176" s="15"/>
      <c r="X176" s="15"/>
      <c r="Y176" s="15">
        <v>4286200</v>
      </c>
      <c r="Z176" s="15"/>
      <c r="AA176" s="15"/>
      <c r="AB176" s="15"/>
      <c r="AC176" s="15"/>
      <c r="AD176" s="15"/>
      <c r="AE176" s="15"/>
      <c r="AF176" s="15"/>
      <c r="AG176" s="15"/>
      <c r="AH176" s="15"/>
      <c r="AI176" s="15"/>
      <c r="AJ176" s="15"/>
      <c r="AK176" s="15"/>
      <c r="AL176" s="15"/>
      <c r="AM176" s="15"/>
      <c r="AN176" s="15">
        <v>214311</v>
      </c>
      <c r="AO176" s="15">
        <v>0</v>
      </c>
      <c r="AP176" s="15">
        <v>148597034</v>
      </c>
      <c r="AQ176" s="15"/>
      <c r="AR176" s="15"/>
      <c r="AS176" s="15">
        <v>1468755</v>
      </c>
      <c r="AT176" s="15">
        <v>0</v>
      </c>
      <c r="AU176" s="15"/>
      <c r="AV176" s="15">
        <v>147128279</v>
      </c>
    </row>
    <row r="177" spans="1:48" ht="12" customHeight="1" x14ac:dyDescent="0.3">
      <c r="A177" s="13">
        <v>158</v>
      </c>
      <c r="B177" s="11" t="s">
        <v>378</v>
      </c>
      <c r="C177" s="11"/>
      <c r="D177" s="11" t="s">
        <v>214</v>
      </c>
      <c r="E177" s="14"/>
      <c r="F177" s="14">
        <v>6.25</v>
      </c>
      <c r="G177" s="15">
        <v>20</v>
      </c>
      <c r="H177" s="15">
        <v>16238000</v>
      </c>
      <c r="I177" s="189">
        <v>1.1299999999999999</v>
      </c>
      <c r="J177" s="15">
        <v>14375000</v>
      </c>
      <c r="K177" s="15">
        <v>0</v>
      </c>
      <c r="L177" s="15">
        <v>18348940</v>
      </c>
      <c r="M177" s="15">
        <v>0</v>
      </c>
      <c r="N177" s="15">
        <v>0</v>
      </c>
      <c r="O177" s="15">
        <v>0</v>
      </c>
      <c r="P177" s="15">
        <v>18348940</v>
      </c>
      <c r="Q177" s="15">
        <v>1704990</v>
      </c>
      <c r="R177" s="15"/>
      <c r="S177" s="15"/>
      <c r="T177" s="15"/>
      <c r="U177" s="15">
        <v>16200000</v>
      </c>
      <c r="V177" s="15"/>
      <c r="W177" s="15"/>
      <c r="X177" s="15"/>
      <c r="Y177" s="15">
        <v>443950</v>
      </c>
      <c r="Z177" s="15"/>
      <c r="AA177" s="15"/>
      <c r="AB177" s="15"/>
      <c r="AC177" s="15"/>
      <c r="AD177" s="15"/>
      <c r="AE177" s="15"/>
      <c r="AF177" s="15"/>
      <c r="AG177" s="15"/>
      <c r="AH177" s="15"/>
      <c r="AI177" s="15"/>
      <c r="AJ177" s="15"/>
      <c r="AK177" s="15"/>
      <c r="AL177" s="15"/>
      <c r="AM177" s="15"/>
      <c r="AN177" s="15">
        <v>22198</v>
      </c>
      <c r="AO177" s="15">
        <v>0</v>
      </c>
      <c r="AP177" s="15">
        <v>16621752</v>
      </c>
      <c r="AQ177" s="15"/>
      <c r="AR177" s="15"/>
      <c r="AS177" s="15">
        <v>149000</v>
      </c>
      <c r="AT177" s="15">
        <v>0</v>
      </c>
      <c r="AU177" s="15"/>
      <c r="AV177" s="15">
        <v>16472752</v>
      </c>
    </row>
    <row r="178" spans="1:48" ht="12" customHeight="1" x14ac:dyDescent="0.3">
      <c r="A178" s="13">
        <v>159</v>
      </c>
      <c r="B178" s="11" t="s">
        <v>428</v>
      </c>
      <c r="C178" s="11"/>
      <c r="D178" s="11" t="s">
        <v>430</v>
      </c>
      <c r="E178" s="14"/>
      <c r="F178" s="14">
        <v>0</v>
      </c>
      <c r="G178" s="15">
        <v>20</v>
      </c>
      <c r="H178" s="15">
        <v>12020000</v>
      </c>
      <c r="I178" s="189">
        <v>1.1299999999999999</v>
      </c>
      <c r="J178" s="15"/>
      <c r="K178" s="15">
        <v>0</v>
      </c>
      <c r="L178" s="15">
        <v>13582600</v>
      </c>
      <c r="M178" s="15">
        <v>0</v>
      </c>
      <c r="N178" s="15">
        <v>0</v>
      </c>
      <c r="O178" s="15">
        <v>0</v>
      </c>
      <c r="P178" s="15">
        <v>13582600</v>
      </c>
      <c r="Q178" s="15">
        <v>1262100</v>
      </c>
      <c r="R178" s="15"/>
      <c r="S178" s="15"/>
      <c r="T178" s="15"/>
      <c r="U178" s="15">
        <v>9000000</v>
      </c>
      <c r="V178" s="15"/>
      <c r="W178" s="15"/>
      <c r="X178" s="15"/>
      <c r="Y178" s="15">
        <v>3320500</v>
      </c>
      <c r="Z178" s="15"/>
      <c r="AA178" s="15"/>
      <c r="AB178" s="15"/>
      <c r="AC178" s="15"/>
      <c r="AD178" s="15"/>
      <c r="AE178" s="15"/>
      <c r="AF178" s="15"/>
      <c r="AG178" s="15"/>
      <c r="AH178" s="15"/>
      <c r="AI178" s="15"/>
      <c r="AJ178" s="15"/>
      <c r="AK178" s="15"/>
      <c r="AL178" s="15"/>
      <c r="AM178" s="15"/>
      <c r="AN178" s="15">
        <v>166025</v>
      </c>
      <c r="AO178" s="15">
        <v>0</v>
      </c>
      <c r="AP178" s="15">
        <v>12154475</v>
      </c>
      <c r="AQ178" s="15"/>
      <c r="AR178" s="15"/>
      <c r="AS178" s="15">
        <v>121545</v>
      </c>
      <c r="AT178" s="15">
        <v>0</v>
      </c>
      <c r="AU178" s="15"/>
      <c r="AV178" s="15">
        <v>12032930</v>
      </c>
    </row>
    <row r="179" spans="1:48" ht="12" customHeight="1" x14ac:dyDescent="0.3">
      <c r="A179" s="13">
        <v>160</v>
      </c>
      <c r="B179" s="11" t="s">
        <v>382</v>
      </c>
      <c r="C179" s="11"/>
      <c r="D179" s="11" t="s">
        <v>217</v>
      </c>
      <c r="E179" s="14"/>
      <c r="F179" s="14">
        <v>2.29</v>
      </c>
      <c r="G179" s="15">
        <v>20</v>
      </c>
      <c r="H179" s="15">
        <v>9035000</v>
      </c>
      <c r="I179" s="189">
        <v>1.1299999999999999</v>
      </c>
      <c r="J179" s="15">
        <v>5267000</v>
      </c>
      <c r="K179" s="15">
        <v>0</v>
      </c>
      <c r="L179" s="15">
        <v>10209550</v>
      </c>
      <c r="M179" s="15">
        <v>0</v>
      </c>
      <c r="N179" s="15">
        <v>0</v>
      </c>
      <c r="O179" s="15">
        <v>0</v>
      </c>
      <c r="P179" s="15">
        <v>10209550</v>
      </c>
      <c r="Q179" s="15">
        <v>948675</v>
      </c>
      <c r="R179" s="15"/>
      <c r="S179" s="15"/>
      <c r="T179" s="15"/>
      <c r="U179" s="15">
        <v>9000000</v>
      </c>
      <c r="V179" s="15"/>
      <c r="W179" s="15"/>
      <c r="X179" s="15"/>
      <c r="Y179" s="15">
        <v>260875</v>
      </c>
      <c r="Z179" s="15"/>
      <c r="AA179" s="15"/>
      <c r="AB179" s="15"/>
      <c r="AC179" s="15"/>
      <c r="AD179" s="15"/>
      <c r="AE179" s="15"/>
      <c r="AF179" s="15"/>
      <c r="AG179" s="15"/>
      <c r="AH179" s="15"/>
      <c r="AI179" s="15"/>
      <c r="AJ179" s="15"/>
      <c r="AK179" s="15"/>
      <c r="AL179" s="15"/>
      <c r="AM179" s="15"/>
      <c r="AN179" s="15">
        <v>13044</v>
      </c>
      <c r="AO179" s="15">
        <v>0</v>
      </c>
      <c r="AP179" s="15">
        <v>9247831</v>
      </c>
      <c r="AQ179" s="15"/>
      <c r="AR179" s="15"/>
      <c r="AS179" s="15">
        <v>92478</v>
      </c>
      <c r="AT179" s="15">
        <v>0</v>
      </c>
      <c r="AU179" s="15"/>
      <c r="AV179" s="15">
        <v>9155353</v>
      </c>
    </row>
    <row r="180" spans="1:48" ht="12" customHeight="1" x14ac:dyDescent="0.3">
      <c r="A180" s="13">
        <v>161</v>
      </c>
      <c r="B180" s="11" t="s">
        <v>394</v>
      </c>
      <c r="C180" s="11"/>
      <c r="D180" s="11" t="s">
        <v>217</v>
      </c>
      <c r="E180" s="14"/>
      <c r="F180" s="14">
        <v>1.85</v>
      </c>
      <c r="G180" s="15">
        <v>20</v>
      </c>
      <c r="H180" s="15">
        <v>9035000</v>
      </c>
      <c r="I180" s="189">
        <v>1.1299999999999999</v>
      </c>
      <c r="J180" s="15">
        <v>4255000</v>
      </c>
      <c r="K180" s="15">
        <v>0</v>
      </c>
      <c r="L180" s="15">
        <v>10209550</v>
      </c>
      <c r="M180" s="15">
        <v>0</v>
      </c>
      <c r="N180" s="15">
        <v>0</v>
      </c>
      <c r="O180" s="15">
        <v>0</v>
      </c>
      <c r="P180" s="15">
        <v>10209550</v>
      </c>
      <c r="Q180" s="15">
        <v>948675</v>
      </c>
      <c r="R180" s="15"/>
      <c r="S180" s="15"/>
      <c r="T180" s="15"/>
      <c r="U180" s="15">
        <v>9000000</v>
      </c>
      <c r="V180" s="15"/>
      <c r="W180" s="15"/>
      <c r="X180" s="15"/>
      <c r="Y180" s="15">
        <v>260875</v>
      </c>
      <c r="Z180" s="15"/>
      <c r="AA180" s="15"/>
      <c r="AB180" s="15"/>
      <c r="AC180" s="15"/>
      <c r="AD180" s="15"/>
      <c r="AE180" s="15"/>
      <c r="AF180" s="15"/>
      <c r="AG180" s="15"/>
      <c r="AH180" s="15"/>
      <c r="AI180" s="15"/>
      <c r="AJ180" s="15"/>
      <c r="AK180" s="15"/>
      <c r="AL180" s="15"/>
      <c r="AM180" s="15"/>
      <c r="AN180" s="15">
        <v>13044</v>
      </c>
      <c r="AO180" s="15">
        <v>0</v>
      </c>
      <c r="AP180" s="15">
        <v>9247831</v>
      </c>
      <c r="AQ180" s="15"/>
      <c r="AR180" s="15"/>
      <c r="AS180" s="15">
        <v>92478</v>
      </c>
      <c r="AT180" s="15">
        <v>0</v>
      </c>
      <c r="AU180" s="15"/>
      <c r="AV180" s="15">
        <v>9155353</v>
      </c>
    </row>
    <row r="181" spans="1:48" ht="12" customHeight="1" x14ac:dyDescent="0.3">
      <c r="A181" s="13">
        <v>162</v>
      </c>
      <c r="B181" s="11" t="s">
        <v>380</v>
      </c>
      <c r="C181" s="11"/>
      <c r="D181" s="11" t="s">
        <v>217</v>
      </c>
      <c r="E181" s="14"/>
      <c r="F181" s="14">
        <v>2.29</v>
      </c>
      <c r="G181" s="15">
        <v>20</v>
      </c>
      <c r="H181" s="15">
        <v>9831000</v>
      </c>
      <c r="I181" s="189">
        <v>1.1299999999999999</v>
      </c>
      <c r="J181" s="15">
        <v>5267000</v>
      </c>
      <c r="K181" s="15">
        <v>0</v>
      </c>
      <c r="L181" s="15">
        <v>11109030</v>
      </c>
      <c r="M181" s="15">
        <v>0</v>
      </c>
      <c r="N181" s="15">
        <v>0</v>
      </c>
      <c r="O181" s="15">
        <v>0</v>
      </c>
      <c r="P181" s="15">
        <v>11109030</v>
      </c>
      <c r="Q181" s="15">
        <v>1032255</v>
      </c>
      <c r="R181" s="15"/>
      <c r="S181" s="15"/>
      <c r="T181" s="15"/>
      <c r="U181" s="15">
        <v>16200000</v>
      </c>
      <c r="V181" s="15"/>
      <c r="W181" s="15"/>
      <c r="X181" s="15"/>
      <c r="Y181" s="15">
        <v>0</v>
      </c>
      <c r="Z181" s="15"/>
      <c r="AA181" s="15"/>
      <c r="AB181" s="15"/>
      <c r="AC181" s="15"/>
      <c r="AD181" s="15"/>
      <c r="AE181" s="15"/>
      <c r="AF181" s="15"/>
      <c r="AG181" s="15"/>
      <c r="AH181" s="15"/>
      <c r="AI181" s="15"/>
      <c r="AJ181" s="15"/>
      <c r="AK181" s="15"/>
      <c r="AL181" s="15"/>
      <c r="AM181" s="15"/>
      <c r="AN181" s="15">
        <v>0</v>
      </c>
      <c r="AO181" s="15">
        <v>0</v>
      </c>
      <c r="AP181" s="15">
        <v>10076775</v>
      </c>
      <c r="AQ181" s="15"/>
      <c r="AR181" s="15"/>
      <c r="AS181" s="15">
        <v>100768</v>
      </c>
      <c r="AT181" s="15">
        <v>0</v>
      </c>
      <c r="AU181" s="15"/>
      <c r="AV181" s="15">
        <v>9976007</v>
      </c>
    </row>
    <row r="182" spans="1:48" ht="12" customHeight="1" x14ac:dyDescent="0.3">
      <c r="A182" s="13">
        <v>163</v>
      </c>
      <c r="B182" s="11" t="s">
        <v>413</v>
      </c>
      <c r="C182" s="11"/>
      <c r="D182" s="11" t="s">
        <v>66</v>
      </c>
      <c r="E182" s="14"/>
      <c r="F182" s="14">
        <v>1.85</v>
      </c>
      <c r="G182" s="15">
        <v>20</v>
      </c>
      <c r="H182" s="15">
        <v>7323000</v>
      </c>
      <c r="I182" s="189">
        <v>1.1299999999999999</v>
      </c>
      <c r="J182" s="15">
        <v>4255000</v>
      </c>
      <c r="K182" s="15">
        <v>0</v>
      </c>
      <c r="L182" s="15">
        <v>8274990</v>
      </c>
      <c r="M182" s="15">
        <v>0</v>
      </c>
      <c r="N182" s="15">
        <v>0</v>
      </c>
      <c r="O182" s="15">
        <v>0</v>
      </c>
      <c r="P182" s="15">
        <v>8274990</v>
      </c>
      <c r="Q182" s="15">
        <v>768915</v>
      </c>
      <c r="R182" s="15"/>
      <c r="S182" s="15"/>
      <c r="T182" s="15"/>
      <c r="U182" s="15">
        <v>9000000</v>
      </c>
      <c r="V182" s="15"/>
      <c r="W182" s="15"/>
      <c r="X182" s="15"/>
      <c r="Y182" s="15">
        <v>0</v>
      </c>
      <c r="Z182" s="15"/>
      <c r="AA182" s="15"/>
      <c r="AB182" s="15"/>
      <c r="AC182" s="15"/>
      <c r="AD182" s="15"/>
      <c r="AE182" s="15"/>
      <c r="AF182" s="15"/>
      <c r="AG182" s="15"/>
      <c r="AH182" s="15"/>
      <c r="AI182" s="15"/>
      <c r="AJ182" s="15"/>
      <c r="AK182" s="15"/>
      <c r="AL182" s="15"/>
      <c r="AM182" s="15"/>
      <c r="AN182" s="15">
        <v>0</v>
      </c>
      <c r="AO182" s="15">
        <v>0</v>
      </c>
      <c r="AP182" s="15">
        <v>7506075</v>
      </c>
      <c r="AQ182" s="15"/>
      <c r="AR182" s="15"/>
      <c r="AS182" s="15">
        <v>75061</v>
      </c>
      <c r="AT182" s="15">
        <v>0</v>
      </c>
      <c r="AU182" s="15"/>
      <c r="AV182" s="15">
        <v>7431014</v>
      </c>
    </row>
    <row r="183" spans="1:48" ht="12" customHeight="1" x14ac:dyDescent="0.3">
      <c r="A183" s="13">
        <v>164</v>
      </c>
      <c r="B183" s="11" t="s">
        <v>388</v>
      </c>
      <c r="C183" s="11"/>
      <c r="D183" s="11" t="s">
        <v>66</v>
      </c>
      <c r="E183" s="14"/>
      <c r="F183" s="14">
        <v>1.85</v>
      </c>
      <c r="G183" s="15">
        <v>20</v>
      </c>
      <c r="H183" s="15">
        <v>7363000</v>
      </c>
      <c r="I183" s="189">
        <v>1.1299999999999999</v>
      </c>
      <c r="J183" s="15">
        <v>4255000</v>
      </c>
      <c r="K183" s="15">
        <v>0</v>
      </c>
      <c r="L183" s="15">
        <v>8320190</v>
      </c>
      <c r="M183" s="15">
        <v>0</v>
      </c>
      <c r="N183" s="15">
        <v>0</v>
      </c>
      <c r="O183" s="15">
        <v>0</v>
      </c>
      <c r="P183" s="15">
        <v>8320190</v>
      </c>
      <c r="Q183" s="15">
        <v>773115</v>
      </c>
      <c r="R183" s="15"/>
      <c r="S183" s="15"/>
      <c r="T183" s="15"/>
      <c r="U183" s="15">
        <v>9000000</v>
      </c>
      <c r="V183" s="15"/>
      <c r="W183" s="15"/>
      <c r="X183" s="15"/>
      <c r="Y183" s="15">
        <v>0</v>
      </c>
      <c r="Z183" s="15"/>
      <c r="AA183" s="15"/>
      <c r="AB183" s="15"/>
      <c r="AC183" s="15"/>
      <c r="AD183" s="15"/>
      <c r="AE183" s="15"/>
      <c r="AF183" s="15"/>
      <c r="AG183" s="15"/>
      <c r="AH183" s="15"/>
      <c r="AI183" s="15"/>
      <c r="AJ183" s="15"/>
      <c r="AK183" s="15"/>
      <c r="AL183" s="15"/>
      <c r="AM183" s="15"/>
      <c r="AN183" s="15">
        <v>0</v>
      </c>
      <c r="AO183" s="15">
        <v>0</v>
      </c>
      <c r="AP183" s="15">
        <v>7547075</v>
      </c>
      <c r="AQ183" s="15"/>
      <c r="AR183" s="15"/>
      <c r="AS183" s="15">
        <v>75471</v>
      </c>
      <c r="AT183" s="15">
        <v>0</v>
      </c>
      <c r="AU183" s="15"/>
      <c r="AV183" s="15">
        <v>7471604</v>
      </c>
    </row>
    <row r="184" spans="1:48" ht="12" customHeight="1" x14ac:dyDescent="0.3">
      <c r="A184" s="13">
        <v>165</v>
      </c>
      <c r="B184" s="11" t="s">
        <v>384</v>
      </c>
      <c r="C184" s="11"/>
      <c r="D184" s="11" t="s">
        <v>66</v>
      </c>
      <c r="E184" s="14"/>
      <c r="F184" s="14">
        <v>1.85</v>
      </c>
      <c r="G184" s="15">
        <v>20</v>
      </c>
      <c r="H184" s="15">
        <v>7323000</v>
      </c>
      <c r="I184" s="189">
        <v>1.1299999999999999</v>
      </c>
      <c r="J184" s="15">
        <v>4255000</v>
      </c>
      <c r="K184" s="15">
        <v>0</v>
      </c>
      <c r="L184" s="15">
        <v>8274990</v>
      </c>
      <c r="M184" s="15">
        <v>0</v>
      </c>
      <c r="N184" s="15">
        <v>0</v>
      </c>
      <c r="O184" s="15">
        <v>0</v>
      </c>
      <c r="P184" s="15">
        <v>8274990</v>
      </c>
      <c r="Q184" s="15">
        <v>768915</v>
      </c>
      <c r="R184" s="15"/>
      <c r="S184" s="15"/>
      <c r="T184" s="15"/>
      <c r="U184" s="15">
        <v>9000000</v>
      </c>
      <c r="V184" s="15"/>
      <c r="W184" s="15"/>
      <c r="X184" s="15"/>
      <c r="Y184" s="15">
        <v>0</v>
      </c>
      <c r="Z184" s="15"/>
      <c r="AA184" s="15"/>
      <c r="AB184" s="15"/>
      <c r="AC184" s="15"/>
      <c r="AD184" s="15"/>
      <c r="AE184" s="15"/>
      <c r="AF184" s="15"/>
      <c r="AG184" s="15"/>
      <c r="AH184" s="15"/>
      <c r="AI184" s="15"/>
      <c r="AJ184" s="15"/>
      <c r="AK184" s="15"/>
      <c r="AL184" s="15"/>
      <c r="AM184" s="15"/>
      <c r="AN184" s="15">
        <v>0</v>
      </c>
      <c r="AO184" s="15">
        <v>0</v>
      </c>
      <c r="AP184" s="15">
        <v>7506075</v>
      </c>
      <c r="AQ184" s="15"/>
      <c r="AR184" s="15"/>
      <c r="AS184" s="15">
        <v>75061</v>
      </c>
      <c r="AT184" s="15">
        <v>0</v>
      </c>
      <c r="AU184" s="15"/>
      <c r="AV184" s="15">
        <v>7431014</v>
      </c>
    </row>
    <row r="185" spans="1:48" ht="12" customHeight="1" x14ac:dyDescent="0.3">
      <c r="A185" s="13">
        <v>166</v>
      </c>
      <c r="B185" s="11" t="s">
        <v>386</v>
      </c>
      <c r="C185" s="11"/>
      <c r="D185" s="11" t="s">
        <v>66</v>
      </c>
      <c r="E185" s="14"/>
      <c r="F185" s="14">
        <v>1.85</v>
      </c>
      <c r="G185" s="15">
        <v>20</v>
      </c>
      <c r="H185" s="15">
        <v>7323000</v>
      </c>
      <c r="I185" s="189">
        <v>1.1299999999999999</v>
      </c>
      <c r="J185" s="15">
        <v>4255000</v>
      </c>
      <c r="K185" s="15">
        <v>0</v>
      </c>
      <c r="L185" s="15">
        <v>8274990</v>
      </c>
      <c r="M185" s="15">
        <v>0</v>
      </c>
      <c r="N185" s="15">
        <v>0</v>
      </c>
      <c r="O185" s="15">
        <v>0</v>
      </c>
      <c r="P185" s="15">
        <v>8274990</v>
      </c>
      <c r="Q185" s="15">
        <v>768915</v>
      </c>
      <c r="R185" s="15"/>
      <c r="S185" s="15"/>
      <c r="T185" s="15"/>
      <c r="U185" s="15">
        <v>9000000</v>
      </c>
      <c r="V185" s="15"/>
      <c r="W185" s="15"/>
      <c r="X185" s="15"/>
      <c r="Y185" s="15">
        <v>0</v>
      </c>
      <c r="Z185" s="15"/>
      <c r="AA185" s="15"/>
      <c r="AB185" s="15"/>
      <c r="AC185" s="15"/>
      <c r="AD185" s="15"/>
      <c r="AE185" s="15"/>
      <c r="AF185" s="15"/>
      <c r="AG185" s="15"/>
      <c r="AH185" s="15"/>
      <c r="AI185" s="15"/>
      <c r="AJ185" s="15"/>
      <c r="AK185" s="15"/>
      <c r="AL185" s="15"/>
      <c r="AM185" s="15"/>
      <c r="AN185" s="15">
        <v>0</v>
      </c>
      <c r="AO185" s="15">
        <v>0</v>
      </c>
      <c r="AP185" s="15">
        <v>7506075</v>
      </c>
      <c r="AQ185" s="15"/>
      <c r="AR185" s="15"/>
      <c r="AS185" s="15">
        <v>75061</v>
      </c>
      <c r="AT185" s="15">
        <v>0</v>
      </c>
      <c r="AU185" s="15"/>
      <c r="AV185" s="15">
        <v>7431014</v>
      </c>
    </row>
    <row r="186" spans="1:48" ht="12" customHeight="1" x14ac:dyDescent="0.3">
      <c r="A186" s="13">
        <v>167</v>
      </c>
      <c r="B186" s="11" t="s">
        <v>397</v>
      </c>
      <c r="C186" s="11"/>
      <c r="D186" s="11" t="s">
        <v>66</v>
      </c>
      <c r="E186" s="14"/>
      <c r="F186" s="14">
        <v>1.85</v>
      </c>
      <c r="G186" s="15">
        <v>0</v>
      </c>
      <c r="H186" s="15">
        <v>0</v>
      </c>
      <c r="I186" s="189">
        <v>1.1299999999999999</v>
      </c>
      <c r="J186" s="15"/>
      <c r="K186" s="15">
        <v>0</v>
      </c>
      <c r="L186" s="15">
        <v>0</v>
      </c>
      <c r="M186" s="15">
        <v>0</v>
      </c>
      <c r="N186" s="15">
        <v>0</v>
      </c>
      <c r="O186" s="15">
        <v>0</v>
      </c>
      <c r="P186" s="15">
        <v>0</v>
      </c>
      <c r="Q186" s="15">
        <v>0</v>
      </c>
      <c r="R186" s="15"/>
      <c r="S186" s="15"/>
      <c r="T186" s="15"/>
      <c r="U186" s="15">
        <v>16200000</v>
      </c>
      <c r="V186" s="15"/>
      <c r="W186" s="15"/>
      <c r="X186" s="15"/>
      <c r="Y186" s="15">
        <v>0</v>
      </c>
      <c r="Z186" s="15"/>
      <c r="AA186" s="15"/>
      <c r="AB186" s="15"/>
      <c r="AC186" s="15"/>
      <c r="AD186" s="15"/>
      <c r="AE186" s="15"/>
      <c r="AF186" s="15"/>
      <c r="AG186" s="15"/>
      <c r="AH186" s="15"/>
      <c r="AI186" s="15"/>
      <c r="AJ186" s="15"/>
      <c r="AK186" s="15"/>
      <c r="AL186" s="15"/>
      <c r="AM186" s="15"/>
      <c r="AN186" s="15">
        <v>0</v>
      </c>
      <c r="AO186" s="15">
        <v>0</v>
      </c>
      <c r="AP186" s="15">
        <v>0</v>
      </c>
      <c r="AQ186" s="15"/>
      <c r="AR186" s="15"/>
      <c r="AS186" s="15">
        <v>0</v>
      </c>
      <c r="AT186" s="15">
        <v>0</v>
      </c>
      <c r="AU186" s="15"/>
      <c r="AV186" s="15">
        <v>0</v>
      </c>
    </row>
    <row r="187" spans="1:48" ht="12" customHeight="1" x14ac:dyDescent="0.3">
      <c r="A187" s="13">
        <v>168</v>
      </c>
      <c r="B187" s="11" t="s">
        <v>401</v>
      </c>
      <c r="C187" s="11"/>
      <c r="D187" s="11" t="s">
        <v>66</v>
      </c>
      <c r="E187" s="14"/>
      <c r="F187" s="14">
        <v>1.85</v>
      </c>
      <c r="G187" s="15">
        <v>20</v>
      </c>
      <c r="H187" s="15">
        <v>8318000</v>
      </c>
      <c r="I187" s="189">
        <v>1.1299999999999999</v>
      </c>
      <c r="J187" s="15">
        <v>4255000</v>
      </c>
      <c r="K187" s="15">
        <v>0</v>
      </c>
      <c r="L187" s="15">
        <v>9399340</v>
      </c>
      <c r="M187" s="15">
        <v>0</v>
      </c>
      <c r="N187" s="15">
        <v>0</v>
      </c>
      <c r="O187" s="15">
        <v>0</v>
      </c>
      <c r="P187" s="15">
        <v>9399340</v>
      </c>
      <c r="Q187" s="15">
        <v>873390</v>
      </c>
      <c r="R187" s="15"/>
      <c r="S187" s="15"/>
      <c r="T187" s="15"/>
      <c r="U187" s="15">
        <v>16200000</v>
      </c>
      <c r="V187" s="15"/>
      <c r="W187" s="15"/>
      <c r="X187" s="15"/>
      <c r="Y187" s="15">
        <v>0</v>
      </c>
      <c r="Z187" s="15"/>
      <c r="AA187" s="15"/>
      <c r="AB187" s="15"/>
      <c r="AC187" s="15"/>
      <c r="AD187" s="15"/>
      <c r="AE187" s="15"/>
      <c r="AF187" s="15"/>
      <c r="AG187" s="15"/>
      <c r="AH187" s="15"/>
      <c r="AI187" s="15"/>
      <c r="AJ187" s="15"/>
      <c r="AK187" s="15"/>
      <c r="AL187" s="15"/>
      <c r="AM187" s="15"/>
      <c r="AN187" s="15">
        <v>0</v>
      </c>
      <c r="AO187" s="15">
        <v>0</v>
      </c>
      <c r="AP187" s="15">
        <v>8525950</v>
      </c>
      <c r="AQ187" s="15"/>
      <c r="AR187" s="15"/>
      <c r="AS187" s="15">
        <v>85260</v>
      </c>
      <c r="AT187" s="15">
        <v>0</v>
      </c>
      <c r="AU187" s="15"/>
      <c r="AV187" s="15">
        <v>8440690</v>
      </c>
    </row>
    <row r="188" spans="1:48" ht="12" customHeight="1" x14ac:dyDescent="0.3">
      <c r="A188" s="13">
        <v>169</v>
      </c>
      <c r="B188" s="11" t="s">
        <v>403</v>
      </c>
      <c r="C188" s="11"/>
      <c r="D188" s="11" t="s">
        <v>66</v>
      </c>
      <c r="E188" s="14"/>
      <c r="F188" s="14">
        <v>1.85</v>
      </c>
      <c r="G188" s="15">
        <v>20</v>
      </c>
      <c r="H188" s="15">
        <v>7323000</v>
      </c>
      <c r="I188" s="189">
        <v>1.1299999999999999</v>
      </c>
      <c r="J188" s="15">
        <v>4255000</v>
      </c>
      <c r="K188" s="15">
        <v>0</v>
      </c>
      <c r="L188" s="15">
        <v>8274990</v>
      </c>
      <c r="M188" s="15">
        <v>0</v>
      </c>
      <c r="N188" s="15">
        <v>0</v>
      </c>
      <c r="O188" s="15">
        <v>0</v>
      </c>
      <c r="P188" s="15">
        <v>8274990</v>
      </c>
      <c r="Q188" s="15">
        <v>768915</v>
      </c>
      <c r="R188" s="15"/>
      <c r="S188" s="15"/>
      <c r="T188" s="15"/>
      <c r="U188" s="15">
        <v>12600000</v>
      </c>
      <c r="V188" s="15"/>
      <c r="W188" s="15"/>
      <c r="X188" s="15"/>
      <c r="Y188" s="15">
        <v>0</v>
      </c>
      <c r="Z188" s="15"/>
      <c r="AA188" s="15"/>
      <c r="AB188" s="15"/>
      <c r="AC188" s="15"/>
      <c r="AD188" s="15"/>
      <c r="AE188" s="15"/>
      <c r="AF188" s="15"/>
      <c r="AG188" s="15"/>
      <c r="AH188" s="15"/>
      <c r="AI188" s="15"/>
      <c r="AJ188" s="15"/>
      <c r="AK188" s="15"/>
      <c r="AL188" s="15"/>
      <c r="AM188" s="15"/>
      <c r="AN188" s="15">
        <v>0</v>
      </c>
      <c r="AO188" s="15">
        <v>0</v>
      </c>
      <c r="AP188" s="15">
        <v>7506075</v>
      </c>
      <c r="AQ188" s="15"/>
      <c r="AR188" s="15"/>
      <c r="AS188" s="15">
        <v>75061</v>
      </c>
      <c r="AT188" s="15">
        <v>0</v>
      </c>
      <c r="AU188" s="15"/>
      <c r="AV188" s="15">
        <v>7431014</v>
      </c>
    </row>
    <row r="189" spans="1:48" ht="12" customHeight="1" x14ac:dyDescent="0.3">
      <c r="A189" s="13">
        <v>170</v>
      </c>
      <c r="B189" s="11" t="s">
        <v>392</v>
      </c>
      <c r="C189" s="11"/>
      <c r="D189" s="11" t="s">
        <v>66</v>
      </c>
      <c r="E189" s="14"/>
      <c r="F189" s="14">
        <v>1.85</v>
      </c>
      <c r="G189" s="15">
        <v>20</v>
      </c>
      <c r="H189" s="15">
        <v>7363000</v>
      </c>
      <c r="I189" s="189">
        <v>1.1299999999999999</v>
      </c>
      <c r="J189" s="15">
        <v>4255000</v>
      </c>
      <c r="K189" s="15">
        <v>0</v>
      </c>
      <c r="L189" s="15">
        <v>8320190</v>
      </c>
      <c r="M189" s="15">
        <v>0</v>
      </c>
      <c r="N189" s="15">
        <v>0</v>
      </c>
      <c r="O189" s="15">
        <v>0</v>
      </c>
      <c r="P189" s="15">
        <v>8320190</v>
      </c>
      <c r="Q189" s="15">
        <v>773115</v>
      </c>
      <c r="R189" s="15"/>
      <c r="S189" s="15"/>
      <c r="T189" s="15"/>
      <c r="U189" s="15">
        <v>12600000</v>
      </c>
      <c r="V189" s="15"/>
      <c r="W189" s="15"/>
      <c r="X189" s="15"/>
      <c r="Y189" s="15">
        <v>0</v>
      </c>
      <c r="Z189" s="15"/>
      <c r="AA189" s="15"/>
      <c r="AB189" s="15"/>
      <c r="AC189" s="15"/>
      <c r="AD189" s="15"/>
      <c r="AE189" s="15"/>
      <c r="AF189" s="15"/>
      <c r="AG189" s="15"/>
      <c r="AH189" s="15"/>
      <c r="AI189" s="15"/>
      <c r="AJ189" s="15"/>
      <c r="AK189" s="15"/>
      <c r="AL189" s="15"/>
      <c r="AM189" s="15"/>
      <c r="AN189" s="15">
        <v>0</v>
      </c>
      <c r="AO189" s="15">
        <v>0</v>
      </c>
      <c r="AP189" s="15">
        <v>7547075</v>
      </c>
      <c r="AQ189" s="15"/>
      <c r="AR189" s="15"/>
      <c r="AS189" s="15">
        <v>75471</v>
      </c>
      <c r="AT189" s="15">
        <v>0</v>
      </c>
      <c r="AU189" s="15"/>
      <c r="AV189" s="15">
        <v>7471604</v>
      </c>
    </row>
    <row r="190" spans="1:48" ht="12" customHeight="1" x14ac:dyDescent="0.3">
      <c r="A190" s="13">
        <v>171</v>
      </c>
      <c r="B190" s="11" t="s">
        <v>390</v>
      </c>
      <c r="C190" s="11"/>
      <c r="D190" s="11" t="s">
        <v>66</v>
      </c>
      <c r="E190" s="14"/>
      <c r="F190" s="14">
        <v>1.85</v>
      </c>
      <c r="G190" s="15">
        <v>20</v>
      </c>
      <c r="H190" s="15">
        <v>7801000</v>
      </c>
      <c r="I190" s="189">
        <v>1.1299999999999999</v>
      </c>
      <c r="J190" s="15">
        <v>4255000</v>
      </c>
      <c r="K190" s="15">
        <v>0</v>
      </c>
      <c r="L190" s="15">
        <v>8815130</v>
      </c>
      <c r="M190" s="15">
        <v>0</v>
      </c>
      <c r="N190" s="15">
        <v>0</v>
      </c>
      <c r="O190" s="15">
        <v>0</v>
      </c>
      <c r="P190" s="15">
        <v>8815130</v>
      </c>
      <c r="Q190" s="15">
        <v>819105</v>
      </c>
      <c r="R190" s="15"/>
      <c r="S190" s="15"/>
      <c r="T190" s="15"/>
      <c r="U190" s="15">
        <v>9000000</v>
      </c>
      <c r="V190" s="15"/>
      <c r="W190" s="15"/>
      <c r="X190" s="15"/>
      <c r="Y190" s="15">
        <v>0</v>
      </c>
      <c r="Z190" s="15"/>
      <c r="AA190" s="15"/>
      <c r="AB190" s="15"/>
      <c r="AC190" s="15"/>
      <c r="AD190" s="15"/>
      <c r="AE190" s="15"/>
      <c r="AF190" s="15"/>
      <c r="AG190" s="15"/>
      <c r="AH190" s="15"/>
      <c r="AI190" s="15"/>
      <c r="AJ190" s="15"/>
      <c r="AK190" s="15"/>
      <c r="AL190" s="15"/>
      <c r="AM190" s="15"/>
      <c r="AN190" s="15">
        <v>0</v>
      </c>
      <c r="AO190" s="15">
        <v>0</v>
      </c>
      <c r="AP190" s="15">
        <v>7996025</v>
      </c>
      <c r="AQ190" s="15"/>
      <c r="AR190" s="15"/>
      <c r="AS190" s="15">
        <v>79960</v>
      </c>
      <c r="AT190" s="15">
        <v>0</v>
      </c>
      <c r="AU190" s="15"/>
      <c r="AV190" s="15">
        <v>7916065</v>
      </c>
    </row>
    <row r="191" spans="1:48" ht="12" customHeight="1" x14ac:dyDescent="0.3">
      <c r="A191" s="13">
        <v>172</v>
      </c>
      <c r="B191" s="11" t="s">
        <v>405</v>
      </c>
      <c r="C191" s="11"/>
      <c r="D191" s="11" t="s">
        <v>66</v>
      </c>
      <c r="E191" s="14"/>
      <c r="F191" s="14">
        <v>0</v>
      </c>
      <c r="G191" s="15">
        <v>20</v>
      </c>
      <c r="H191" s="15">
        <v>7323000</v>
      </c>
      <c r="I191" s="189">
        <v>1.1299999999999999</v>
      </c>
      <c r="J191" s="15"/>
      <c r="K191" s="15">
        <v>0</v>
      </c>
      <c r="L191" s="15">
        <v>8274990</v>
      </c>
      <c r="M191" s="15">
        <v>0</v>
      </c>
      <c r="N191" s="15">
        <v>0</v>
      </c>
      <c r="O191" s="15">
        <v>0</v>
      </c>
      <c r="P191" s="15">
        <v>8274990</v>
      </c>
      <c r="Q191" s="15">
        <v>768915</v>
      </c>
      <c r="R191" s="15"/>
      <c r="S191" s="15"/>
      <c r="T191" s="15"/>
      <c r="U191" s="15">
        <v>9000000</v>
      </c>
      <c r="V191" s="15"/>
      <c r="W191" s="15"/>
      <c r="X191" s="15"/>
      <c r="Y191" s="15">
        <v>0</v>
      </c>
      <c r="Z191" s="15"/>
      <c r="AA191" s="15"/>
      <c r="AB191" s="15"/>
      <c r="AC191" s="15"/>
      <c r="AD191" s="15"/>
      <c r="AE191" s="15"/>
      <c r="AF191" s="15"/>
      <c r="AG191" s="15"/>
      <c r="AH191" s="15"/>
      <c r="AI191" s="15"/>
      <c r="AJ191" s="15"/>
      <c r="AK191" s="15"/>
      <c r="AL191" s="15"/>
      <c r="AM191" s="15"/>
      <c r="AN191" s="15">
        <v>0</v>
      </c>
      <c r="AO191" s="15">
        <v>0</v>
      </c>
      <c r="AP191" s="15">
        <v>7506075</v>
      </c>
      <c r="AQ191" s="15"/>
      <c r="AR191" s="15"/>
      <c r="AS191" s="15">
        <v>75061</v>
      </c>
      <c r="AT191" s="15">
        <v>0</v>
      </c>
      <c r="AU191" s="15"/>
      <c r="AV191" s="15">
        <v>7431014</v>
      </c>
    </row>
    <row r="192" spans="1:48" ht="12" customHeight="1" x14ac:dyDescent="0.3">
      <c r="A192" s="13">
        <v>173</v>
      </c>
      <c r="B192" s="11" t="s">
        <v>407</v>
      </c>
      <c r="C192" s="11"/>
      <c r="D192" s="11" t="s">
        <v>66</v>
      </c>
      <c r="E192" s="14"/>
      <c r="F192" s="14">
        <v>1.85</v>
      </c>
      <c r="G192" s="15">
        <v>20</v>
      </c>
      <c r="H192" s="15">
        <v>7323000</v>
      </c>
      <c r="I192" s="189">
        <v>1.1299999999999999</v>
      </c>
      <c r="J192" s="15">
        <v>4255000</v>
      </c>
      <c r="K192" s="15">
        <v>0</v>
      </c>
      <c r="L192" s="15">
        <v>8274990</v>
      </c>
      <c r="M192" s="15">
        <v>0</v>
      </c>
      <c r="N192" s="15">
        <v>0</v>
      </c>
      <c r="O192" s="15">
        <v>0</v>
      </c>
      <c r="P192" s="15">
        <v>8274990</v>
      </c>
      <c r="Q192" s="15">
        <v>768915</v>
      </c>
      <c r="R192" s="15"/>
      <c r="S192" s="15"/>
      <c r="T192" s="15"/>
      <c r="U192" s="15">
        <v>9000000</v>
      </c>
      <c r="V192" s="15"/>
      <c r="W192" s="15"/>
      <c r="X192" s="15"/>
      <c r="Y192" s="15">
        <v>0</v>
      </c>
      <c r="Z192" s="15"/>
      <c r="AA192" s="15"/>
      <c r="AB192" s="15"/>
      <c r="AC192" s="15"/>
      <c r="AD192" s="15"/>
      <c r="AE192" s="15"/>
      <c r="AF192" s="15"/>
      <c r="AG192" s="15"/>
      <c r="AH192" s="15"/>
      <c r="AI192" s="15"/>
      <c r="AJ192" s="15"/>
      <c r="AK192" s="15"/>
      <c r="AL192" s="15"/>
      <c r="AM192" s="15"/>
      <c r="AN192" s="15">
        <v>0</v>
      </c>
      <c r="AO192" s="15">
        <v>0</v>
      </c>
      <c r="AP192" s="15">
        <v>7506075</v>
      </c>
      <c r="AQ192" s="15"/>
      <c r="AR192" s="15"/>
      <c r="AS192" s="15">
        <v>75061</v>
      </c>
      <c r="AT192" s="15">
        <v>0</v>
      </c>
      <c r="AU192" s="15"/>
      <c r="AV192" s="15">
        <v>7431014</v>
      </c>
    </row>
    <row r="193" spans="1:48" ht="12" customHeight="1" x14ac:dyDescent="0.3">
      <c r="A193" s="13">
        <v>174</v>
      </c>
      <c r="B193" s="11" t="s">
        <v>409</v>
      </c>
      <c r="C193" s="11"/>
      <c r="D193" s="11" t="s">
        <v>238</v>
      </c>
      <c r="E193" s="14"/>
      <c r="F193" s="14">
        <v>0</v>
      </c>
      <c r="G193" s="15">
        <v>20</v>
      </c>
      <c r="H193" s="15">
        <v>7323000</v>
      </c>
      <c r="I193" s="189">
        <v>1.1299999999999999</v>
      </c>
      <c r="J193" s="15"/>
      <c r="K193" s="15">
        <v>0</v>
      </c>
      <c r="L193" s="15">
        <v>8274990</v>
      </c>
      <c r="M193" s="15">
        <v>0</v>
      </c>
      <c r="N193" s="15">
        <v>0</v>
      </c>
      <c r="O193" s="15">
        <v>0</v>
      </c>
      <c r="P193" s="15">
        <v>8274990</v>
      </c>
      <c r="Q193" s="15">
        <v>768915</v>
      </c>
      <c r="R193" s="15"/>
      <c r="S193" s="15"/>
      <c r="T193" s="15"/>
      <c r="U193" s="15">
        <v>9000000</v>
      </c>
      <c r="V193" s="15"/>
      <c r="W193" s="15"/>
      <c r="X193" s="15"/>
      <c r="Y193" s="15">
        <v>0</v>
      </c>
      <c r="Z193" s="15"/>
      <c r="AA193" s="15"/>
      <c r="AB193" s="15"/>
      <c r="AC193" s="15"/>
      <c r="AD193" s="15"/>
      <c r="AE193" s="15"/>
      <c r="AF193" s="15"/>
      <c r="AG193" s="15"/>
      <c r="AH193" s="15"/>
      <c r="AI193" s="15"/>
      <c r="AJ193" s="15"/>
      <c r="AK193" s="15"/>
      <c r="AL193" s="15"/>
      <c r="AM193" s="15"/>
      <c r="AN193" s="15">
        <v>0</v>
      </c>
      <c r="AO193" s="15">
        <v>0</v>
      </c>
      <c r="AP193" s="15">
        <v>7506075</v>
      </c>
      <c r="AQ193" s="15"/>
      <c r="AR193" s="15"/>
      <c r="AS193" s="15">
        <v>75061</v>
      </c>
      <c r="AT193" s="15">
        <v>0</v>
      </c>
      <c r="AU193" s="15"/>
      <c r="AV193" s="15">
        <v>7431014</v>
      </c>
    </row>
    <row r="194" spans="1:48" ht="12" customHeight="1" x14ac:dyDescent="0.3">
      <c r="A194" s="13">
        <v>175</v>
      </c>
      <c r="B194" s="11" t="s">
        <v>411</v>
      </c>
      <c r="C194" s="11"/>
      <c r="D194" s="11" t="s">
        <v>200</v>
      </c>
      <c r="E194" s="14"/>
      <c r="F194" s="14">
        <v>1.54</v>
      </c>
      <c r="G194" s="15">
        <v>20</v>
      </c>
      <c r="H194" s="15">
        <v>6916800</v>
      </c>
      <c r="I194" s="189">
        <v>1.1299999999999999</v>
      </c>
      <c r="J194" s="15">
        <v>3542000</v>
      </c>
      <c r="K194" s="15">
        <v>0</v>
      </c>
      <c r="L194" s="15">
        <v>7815984</v>
      </c>
      <c r="M194" s="15">
        <v>0</v>
      </c>
      <c r="N194" s="15">
        <v>0</v>
      </c>
      <c r="O194" s="15">
        <v>0</v>
      </c>
      <c r="P194" s="15">
        <v>7815984</v>
      </c>
      <c r="Q194" s="15">
        <v>726264</v>
      </c>
      <c r="R194" s="15"/>
      <c r="S194" s="15"/>
      <c r="T194" s="15"/>
      <c r="U194" s="15">
        <v>9000000</v>
      </c>
      <c r="V194" s="15"/>
      <c r="W194" s="15"/>
      <c r="X194" s="15"/>
      <c r="Y194" s="15">
        <v>0</v>
      </c>
      <c r="Z194" s="15"/>
      <c r="AA194" s="15"/>
      <c r="AB194" s="15"/>
      <c r="AC194" s="15"/>
      <c r="AD194" s="15"/>
      <c r="AE194" s="15"/>
      <c r="AF194" s="15"/>
      <c r="AG194" s="15"/>
      <c r="AH194" s="15"/>
      <c r="AI194" s="15"/>
      <c r="AJ194" s="15"/>
      <c r="AK194" s="15"/>
      <c r="AL194" s="15"/>
      <c r="AM194" s="15"/>
      <c r="AN194" s="15">
        <v>0</v>
      </c>
      <c r="AO194" s="15">
        <v>0</v>
      </c>
      <c r="AP194" s="15">
        <v>7089720</v>
      </c>
      <c r="AQ194" s="15"/>
      <c r="AR194" s="15"/>
      <c r="AS194" s="15">
        <v>70897</v>
      </c>
      <c r="AT194" s="15">
        <v>0</v>
      </c>
      <c r="AU194" s="15"/>
      <c r="AV194" s="15">
        <v>7018823</v>
      </c>
    </row>
    <row r="195" spans="1:48" ht="12" customHeight="1" x14ac:dyDescent="0.3">
      <c r="A195" s="13">
        <v>0</v>
      </c>
      <c r="B195" s="11" t="s">
        <v>40</v>
      </c>
      <c r="C195" s="11"/>
      <c r="D195" s="11"/>
      <c r="E195" s="14"/>
      <c r="F195" s="14">
        <v>435.88</v>
      </c>
      <c r="G195" s="15">
        <v>3380</v>
      </c>
      <c r="H195" s="15">
        <v>1477470700</v>
      </c>
      <c r="I195" s="189">
        <v>187.09</v>
      </c>
      <c r="J195" s="15">
        <v>756021500</v>
      </c>
      <c r="K195" s="15">
        <v>116400000</v>
      </c>
      <c r="L195" s="15">
        <v>1658772960</v>
      </c>
      <c r="M195" s="15">
        <v>24820000</v>
      </c>
      <c r="N195" s="15">
        <v>0</v>
      </c>
      <c r="O195" s="15">
        <v>1788000</v>
      </c>
      <c r="P195" s="15">
        <v>1685380960</v>
      </c>
      <c r="Q195" s="15">
        <v>155204828</v>
      </c>
      <c r="R195" s="15"/>
      <c r="S195" s="15"/>
      <c r="T195" s="15"/>
      <c r="U195" s="15">
        <v>2062800000</v>
      </c>
      <c r="V195" s="15"/>
      <c r="W195" s="15"/>
      <c r="X195" s="15"/>
      <c r="Y195" s="15">
        <v>110234839</v>
      </c>
      <c r="Z195" s="15"/>
      <c r="AA195" s="15"/>
      <c r="AB195" s="15"/>
      <c r="AC195" s="15"/>
      <c r="AD195" s="15"/>
      <c r="AE195" s="15"/>
      <c r="AF195" s="15"/>
      <c r="AG195" s="15"/>
      <c r="AH195" s="15"/>
      <c r="AI195" s="15"/>
      <c r="AJ195" s="15"/>
      <c r="AK195" s="15"/>
      <c r="AL195" s="15"/>
      <c r="AM195" s="15"/>
      <c r="AN195" s="15">
        <v>9210483</v>
      </c>
      <c r="AO195" s="15">
        <v>0</v>
      </c>
      <c r="AP195" s="15">
        <v>1520965649</v>
      </c>
      <c r="AQ195" s="15"/>
      <c r="AR195" s="15"/>
      <c r="AS195" s="15">
        <v>14590465</v>
      </c>
      <c r="AT195" s="15">
        <v>0</v>
      </c>
      <c r="AU195" s="15"/>
      <c r="AV195" s="15">
        <v>1506375184</v>
      </c>
    </row>
    <row r="196" spans="1:48" ht="10.5" customHeight="1" x14ac:dyDescent="0.3">
      <c r="J196" s="4"/>
      <c r="N196" s="4"/>
    </row>
    <row r="197" spans="1:48" s="9" customFormat="1" ht="20.25" customHeight="1" x14ac:dyDescent="0.3">
      <c r="I197" s="191"/>
      <c r="AP197" s="283" t="s">
        <v>30</v>
      </c>
      <c r="AQ197" s="283"/>
      <c r="AR197" s="283"/>
      <c r="AS197" s="283"/>
      <c r="AT197" s="283"/>
      <c r="AU197" s="283"/>
      <c r="AV197" s="283"/>
    </row>
    <row r="198" spans="1:48" s="10" customFormat="1" ht="17.25" customHeight="1" x14ac:dyDescent="0.3">
      <c r="C198" s="282" t="s">
        <v>31</v>
      </c>
      <c r="D198" s="282"/>
      <c r="E198" s="282"/>
      <c r="F198" s="282"/>
      <c r="G198" s="282"/>
      <c r="H198" s="282"/>
      <c r="I198" s="192"/>
      <c r="J198" s="282" t="s">
        <v>32</v>
      </c>
      <c r="K198" s="282"/>
      <c r="L198" s="282"/>
      <c r="M198" s="282"/>
      <c r="N198" s="282"/>
      <c r="O198" s="282"/>
      <c r="P198" s="282" t="s">
        <v>33</v>
      </c>
      <c r="Q198" s="282"/>
      <c r="R198" s="282"/>
      <c r="S198" s="282"/>
      <c r="T198" s="282"/>
      <c r="U198" s="282"/>
      <c r="V198" s="282"/>
      <c r="W198" s="282"/>
      <c r="X198" s="282"/>
      <c r="Y198" s="282"/>
      <c r="Z198" s="282"/>
      <c r="AA198" s="282"/>
      <c r="AB198" s="282"/>
      <c r="AC198" s="282"/>
      <c r="AD198" s="282"/>
      <c r="AE198" s="282"/>
      <c r="AF198" s="282"/>
      <c r="AG198" s="282"/>
      <c r="AH198" s="282"/>
      <c r="AI198" s="282"/>
      <c r="AJ198" s="282"/>
      <c r="AK198" s="282"/>
      <c r="AL198" s="282"/>
      <c r="AM198" s="282"/>
      <c r="AN198" s="282"/>
      <c r="AO198" s="282" t="s">
        <v>34</v>
      </c>
      <c r="AP198" s="282"/>
      <c r="AQ198" s="282"/>
      <c r="AR198" s="282"/>
      <c r="AS198" s="282"/>
      <c r="AT198" s="282"/>
      <c r="AU198" s="282"/>
      <c r="AV198" s="282"/>
    </row>
  </sheetData>
  <mergeCells count="9">
    <mergeCell ref="A1:J1"/>
    <mergeCell ref="A2:J2"/>
    <mergeCell ref="K2:Y2"/>
    <mergeCell ref="B3:AV3"/>
    <mergeCell ref="C198:H198"/>
    <mergeCell ref="J198:O198"/>
    <mergeCell ref="P198:AN198"/>
    <mergeCell ref="AO198:AV198"/>
    <mergeCell ref="AP197:AV19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89"/>
  <sheetViews>
    <sheetView zoomScale="80" zoomScaleNormal="80" workbookViewId="0">
      <selection activeCell="G1" sqref="G1"/>
    </sheetView>
  </sheetViews>
  <sheetFormatPr defaultColWidth="9.109375" defaultRowHeight="16.8" x14ac:dyDescent="0.3"/>
  <cols>
    <col min="1" max="1" width="6.6640625" style="29" customWidth="1"/>
    <col min="2" max="2" width="16.33203125" style="23" customWidth="1"/>
    <col min="3" max="3" width="32.88671875" style="23" customWidth="1"/>
    <col min="4" max="4" width="14.33203125" style="23" customWidth="1"/>
    <col min="5" max="5" width="18.44140625" style="23" customWidth="1"/>
    <col min="6" max="6" width="19.33203125" style="23" customWidth="1"/>
    <col min="7" max="7" width="22.5546875" style="23" customWidth="1"/>
    <col min="8" max="8" width="19.33203125" style="23" customWidth="1"/>
    <col min="9" max="9" width="18.44140625" style="30" customWidth="1"/>
    <col min="10" max="10" width="16" style="23" bestFit="1" customWidth="1"/>
    <col min="11" max="11" width="16" style="23" customWidth="1"/>
    <col min="12" max="12" width="18.44140625" style="30" customWidth="1"/>
    <col min="13" max="13" width="16" style="23" bestFit="1" customWidth="1"/>
    <col min="14" max="14" width="13.5546875" style="23" customWidth="1"/>
    <col min="15" max="16384" width="9.109375" style="23"/>
  </cols>
  <sheetData>
    <row r="1" spans="1:13" s="19" customFormat="1" ht="50.4" x14ac:dyDescent="0.3">
      <c r="A1" s="17" t="s">
        <v>431</v>
      </c>
      <c r="B1" s="18" t="s">
        <v>432</v>
      </c>
      <c r="C1" s="18" t="s">
        <v>422</v>
      </c>
      <c r="D1" s="18" t="s">
        <v>433</v>
      </c>
      <c r="E1" s="18" t="s">
        <v>837</v>
      </c>
      <c r="F1" s="27" t="s">
        <v>830</v>
      </c>
      <c r="G1" s="27" t="s">
        <v>831</v>
      </c>
      <c r="H1" s="27" t="s">
        <v>811</v>
      </c>
      <c r="I1" s="18" t="s">
        <v>794</v>
      </c>
      <c r="J1" s="18" t="s">
        <v>838</v>
      </c>
      <c r="K1" s="18" t="s">
        <v>839</v>
      </c>
      <c r="L1" s="18" t="s">
        <v>817</v>
      </c>
      <c r="M1" s="19" t="s">
        <v>818</v>
      </c>
    </row>
    <row r="2" spans="1:13" x14ac:dyDescent="0.3">
      <c r="A2" s="180"/>
      <c r="B2" s="182" t="s">
        <v>42</v>
      </c>
      <c r="C2" s="182" t="s">
        <v>43</v>
      </c>
      <c r="D2" s="181"/>
      <c r="E2" s="183">
        <v>1000000</v>
      </c>
      <c r="F2" s="121"/>
      <c r="G2" s="121"/>
      <c r="H2" s="121"/>
      <c r="I2" s="181"/>
      <c r="J2" s="120">
        <f>E2+F2</f>
        <v>1000000</v>
      </c>
      <c r="K2" s="181">
        <v>447000</v>
      </c>
      <c r="L2" s="184"/>
      <c r="M2" s="185">
        <f>E2</f>
        <v>1000000</v>
      </c>
    </row>
    <row r="3" spans="1:13" x14ac:dyDescent="0.3">
      <c r="A3" s="180"/>
      <c r="B3" s="182" t="s">
        <v>45</v>
      </c>
      <c r="C3" s="182" t="s">
        <v>46</v>
      </c>
      <c r="D3" s="181"/>
      <c r="E3" s="183">
        <v>1000000</v>
      </c>
      <c r="F3" s="121"/>
      <c r="G3" s="121"/>
      <c r="H3" s="121"/>
      <c r="I3" s="181"/>
      <c r="J3" s="120">
        <f t="shared" ref="J3:J66" si="0">E3+F3</f>
        <v>1000000</v>
      </c>
      <c r="K3" s="181">
        <v>447000</v>
      </c>
      <c r="L3" s="184"/>
      <c r="M3" s="185">
        <f t="shared" ref="M3:M66" si="1">E3</f>
        <v>1000000</v>
      </c>
    </row>
    <row r="4" spans="1:13" x14ac:dyDescent="0.3">
      <c r="A4" s="180"/>
      <c r="B4" s="182" t="s">
        <v>48</v>
      </c>
      <c r="C4" s="182" t="s">
        <v>49</v>
      </c>
      <c r="D4" s="181"/>
      <c r="E4" s="183">
        <v>1000000</v>
      </c>
      <c r="F4" s="121"/>
      <c r="G4" s="121"/>
      <c r="H4" s="121"/>
      <c r="I4" s="181"/>
      <c r="J4" s="120">
        <f t="shared" si="0"/>
        <v>1000000</v>
      </c>
      <c r="K4" s="181">
        <v>447000</v>
      </c>
      <c r="L4" s="184"/>
      <c r="M4" s="185">
        <f t="shared" si="1"/>
        <v>1000000</v>
      </c>
    </row>
    <row r="5" spans="1:13" x14ac:dyDescent="0.3">
      <c r="A5" s="180"/>
      <c r="B5" s="182" t="s">
        <v>819</v>
      </c>
      <c r="C5" s="182" t="s">
        <v>820</v>
      </c>
      <c r="D5" s="181"/>
      <c r="E5" s="183"/>
      <c r="F5" s="121"/>
      <c r="G5" s="121"/>
      <c r="H5" s="121"/>
      <c r="I5" s="181"/>
      <c r="J5" s="120">
        <f t="shared" si="0"/>
        <v>0</v>
      </c>
      <c r="K5" s="181">
        <f t="shared" ref="K5:K66" si="2">G5</f>
        <v>0</v>
      </c>
      <c r="L5" s="184"/>
      <c r="M5" s="185">
        <f t="shared" si="1"/>
        <v>0</v>
      </c>
    </row>
    <row r="6" spans="1:13" x14ac:dyDescent="0.3">
      <c r="A6" s="180"/>
      <c r="B6" s="182" t="s">
        <v>821</v>
      </c>
      <c r="C6" s="182" t="s">
        <v>822</v>
      </c>
      <c r="D6" s="181"/>
      <c r="E6" s="183"/>
      <c r="F6" s="121"/>
      <c r="G6" s="121"/>
      <c r="H6" s="121"/>
      <c r="I6" s="181"/>
      <c r="J6" s="120">
        <f t="shared" si="0"/>
        <v>0</v>
      </c>
      <c r="K6" s="181">
        <f t="shared" si="2"/>
        <v>0</v>
      </c>
      <c r="L6" s="184"/>
      <c r="M6" s="185">
        <f t="shared" si="1"/>
        <v>0</v>
      </c>
    </row>
    <row r="7" spans="1:13" x14ac:dyDescent="0.3">
      <c r="A7" s="180"/>
      <c r="B7" s="182" t="s">
        <v>51</v>
      </c>
      <c r="C7" s="182" t="s">
        <v>52</v>
      </c>
      <c r="D7" s="181"/>
      <c r="E7" s="183">
        <v>3000000</v>
      </c>
      <c r="F7" s="121"/>
      <c r="G7" s="121"/>
      <c r="H7" s="121"/>
      <c r="I7" s="181"/>
      <c r="J7" s="120">
        <f t="shared" si="0"/>
        <v>3000000</v>
      </c>
      <c r="K7" s="181">
        <f t="shared" si="2"/>
        <v>0</v>
      </c>
      <c r="L7" s="184"/>
      <c r="M7" s="185">
        <f t="shared" si="1"/>
        <v>3000000</v>
      </c>
    </row>
    <row r="8" spans="1:13" x14ac:dyDescent="0.3">
      <c r="A8" s="180">
        <v>1</v>
      </c>
      <c r="B8" s="171" t="s">
        <v>177</v>
      </c>
      <c r="C8" s="171" t="s">
        <v>178</v>
      </c>
      <c r="D8" s="171" t="s">
        <v>427</v>
      </c>
      <c r="E8" s="183">
        <v>3000000</v>
      </c>
      <c r="F8" s="119">
        <f>IFERROR(VLOOKUP(B8,'Them gio'!$B$5:$H$38,3,0),0)</f>
        <v>1702994</v>
      </c>
      <c r="G8" s="119">
        <f>IFERROR(VLOOKUP(B8,'Them gio'!$B$5:$H$38,7,0),0)</f>
        <v>1302290</v>
      </c>
      <c r="H8" s="119"/>
      <c r="I8" s="181"/>
      <c r="J8" s="120">
        <f t="shared" si="0"/>
        <v>4702994</v>
      </c>
      <c r="K8" s="181">
        <f t="shared" si="2"/>
        <v>1302290</v>
      </c>
      <c r="L8" s="181"/>
      <c r="M8" s="185">
        <f t="shared" si="1"/>
        <v>3000000</v>
      </c>
    </row>
    <row r="9" spans="1:13" ht="18" customHeight="1" x14ac:dyDescent="0.3">
      <c r="A9" s="22">
        <v>2</v>
      </c>
      <c r="B9" s="171" t="s">
        <v>59</v>
      </c>
      <c r="C9" s="171" t="s">
        <v>60</v>
      </c>
      <c r="D9" s="171" t="s">
        <v>61</v>
      </c>
      <c r="E9" s="21">
        <v>1000000</v>
      </c>
      <c r="F9" s="119">
        <f>IFERROR(VLOOKUP(B9,'Them gio'!$B$5:$H$38,3,0),0)</f>
        <v>682955</v>
      </c>
      <c r="G9" s="119">
        <f>IFERROR(VLOOKUP(B9,'Them gio'!$B$5:$H$38,7,0),0)</f>
        <v>341477</v>
      </c>
      <c r="H9" s="119"/>
      <c r="I9" s="21"/>
      <c r="J9" s="120">
        <f t="shared" si="0"/>
        <v>1682955</v>
      </c>
      <c r="K9" s="181">
        <f t="shared" si="2"/>
        <v>341477</v>
      </c>
      <c r="L9" s="21"/>
      <c r="M9" s="185">
        <f t="shared" si="1"/>
        <v>1000000</v>
      </c>
    </row>
    <row r="10" spans="1:13" ht="18" customHeight="1" x14ac:dyDescent="0.3">
      <c r="A10" s="22">
        <v>3</v>
      </c>
      <c r="B10" s="171" t="s">
        <v>62</v>
      </c>
      <c r="C10" s="171" t="s">
        <v>63</v>
      </c>
      <c r="D10" s="171" t="s">
        <v>61</v>
      </c>
      <c r="E10" s="21">
        <v>1000000</v>
      </c>
      <c r="F10" s="119">
        <f>IFERROR(VLOOKUP(B10,'Them gio'!$B$5:$H$38,3,0),0)</f>
        <v>1557580</v>
      </c>
      <c r="G10" s="119">
        <f>IFERROR(VLOOKUP(B10,'Them gio'!$B$5:$H$38,7,0),0)</f>
        <v>1112557</v>
      </c>
      <c r="H10" s="119"/>
      <c r="I10" s="21"/>
      <c r="J10" s="120">
        <f t="shared" si="0"/>
        <v>2557580</v>
      </c>
      <c r="K10" s="181">
        <f t="shared" si="2"/>
        <v>1112557</v>
      </c>
      <c r="L10" s="21"/>
      <c r="M10" s="185">
        <f t="shared" si="1"/>
        <v>1000000</v>
      </c>
    </row>
    <row r="11" spans="1:13" ht="18" customHeight="1" x14ac:dyDescent="0.3">
      <c r="A11" s="22">
        <v>4</v>
      </c>
      <c r="B11" s="171" t="s">
        <v>64</v>
      </c>
      <c r="C11" s="171" t="s">
        <v>65</v>
      </c>
      <c r="D11" s="171" t="s">
        <v>66</v>
      </c>
      <c r="E11" s="21"/>
      <c r="F11" s="119">
        <f>IFERROR(VLOOKUP(B11,'Them gio'!$B$5:$H$38,3,0),0)</f>
        <v>0</v>
      </c>
      <c r="G11" s="119">
        <f>IFERROR(VLOOKUP(B11,'Them gio'!$B$5:$H$38,7,0),0)</f>
        <v>0</v>
      </c>
      <c r="H11" s="119"/>
      <c r="I11" s="181"/>
      <c r="J11" s="120">
        <f t="shared" si="0"/>
        <v>0</v>
      </c>
      <c r="K11" s="181">
        <f t="shared" si="2"/>
        <v>0</v>
      </c>
      <c r="L11" s="21"/>
      <c r="M11" s="185">
        <f t="shared" si="1"/>
        <v>0</v>
      </c>
    </row>
    <row r="12" spans="1:13" ht="18" customHeight="1" x14ac:dyDescent="0.3">
      <c r="A12" s="22">
        <v>5</v>
      </c>
      <c r="B12" s="171" t="s">
        <v>67</v>
      </c>
      <c r="C12" s="171" t="s">
        <v>68</v>
      </c>
      <c r="D12" s="171" t="s">
        <v>66</v>
      </c>
      <c r="E12" s="21"/>
      <c r="F12" s="119">
        <f>IFERROR(VLOOKUP(B12,'Them gio'!$B$5:$H$38,3,0),0)</f>
        <v>0</v>
      </c>
      <c r="G12" s="119">
        <f>IFERROR(VLOOKUP(B12,'Them gio'!$B$5:$H$38,7,0),0)</f>
        <v>0</v>
      </c>
      <c r="H12" s="119"/>
      <c r="I12" s="21"/>
      <c r="J12" s="120">
        <f t="shared" si="0"/>
        <v>0</v>
      </c>
      <c r="K12" s="181">
        <f t="shared" si="2"/>
        <v>0</v>
      </c>
      <c r="L12" s="21"/>
      <c r="M12" s="185">
        <f t="shared" si="1"/>
        <v>0</v>
      </c>
    </row>
    <row r="13" spans="1:13" s="24" customFormat="1" ht="18" customHeight="1" x14ac:dyDescent="0.3">
      <c r="A13" s="22">
        <v>6</v>
      </c>
      <c r="B13" s="171" t="s">
        <v>69</v>
      </c>
      <c r="C13" s="171" t="s">
        <v>70</v>
      </c>
      <c r="D13" s="171" t="s">
        <v>66</v>
      </c>
      <c r="E13" s="21"/>
      <c r="F13" s="119">
        <f>IFERROR(VLOOKUP(B13,'Them gio'!$B$5:$H$38,3,0),0)</f>
        <v>0</v>
      </c>
      <c r="G13" s="119">
        <f>IFERROR(VLOOKUP(B13,'Them gio'!$B$5:$H$38,7,0),0)</f>
        <v>0</v>
      </c>
      <c r="H13" s="119"/>
      <c r="I13" s="21"/>
      <c r="J13" s="120">
        <f t="shared" si="0"/>
        <v>0</v>
      </c>
      <c r="K13" s="181">
        <f t="shared" si="2"/>
        <v>0</v>
      </c>
      <c r="L13" s="21"/>
      <c r="M13" s="185">
        <f t="shared" si="1"/>
        <v>0</v>
      </c>
    </row>
    <row r="14" spans="1:13" ht="18" customHeight="1" x14ac:dyDescent="0.3">
      <c r="A14" s="22">
        <v>7</v>
      </c>
      <c r="B14" s="171" t="s">
        <v>71</v>
      </c>
      <c r="C14" s="171" t="s">
        <v>72</v>
      </c>
      <c r="D14" s="171" t="s">
        <v>66</v>
      </c>
      <c r="E14" s="21">
        <v>5000000</v>
      </c>
      <c r="F14" s="119">
        <f>IFERROR(VLOOKUP(B14,'Them gio'!$B$5:$H$38,3,0),0)</f>
        <v>0</v>
      </c>
      <c r="G14" s="119">
        <f>IFERROR(VLOOKUP(B14,'Them gio'!$B$5:$H$38,7,0),0)</f>
        <v>0</v>
      </c>
      <c r="H14" s="119"/>
      <c r="I14" s="21"/>
      <c r="J14" s="120">
        <f t="shared" si="0"/>
        <v>5000000</v>
      </c>
      <c r="K14" s="181">
        <f t="shared" si="2"/>
        <v>0</v>
      </c>
      <c r="L14" s="21"/>
      <c r="M14" s="185">
        <f t="shared" si="1"/>
        <v>5000000</v>
      </c>
    </row>
    <row r="15" spans="1:13" ht="18" customHeight="1" x14ac:dyDescent="0.3">
      <c r="A15" s="22">
        <v>8</v>
      </c>
      <c r="B15" s="171" t="s">
        <v>73</v>
      </c>
      <c r="C15" s="171" t="s">
        <v>74</v>
      </c>
      <c r="D15" s="171" t="s">
        <v>66</v>
      </c>
      <c r="E15" s="21"/>
      <c r="F15" s="119">
        <f>IFERROR(VLOOKUP(B15,'Them gio'!$B$5:$H$38,3,0),0)</f>
        <v>0</v>
      </c>
      <c r="G15" s="119">
        <f>IFERROR(VLOOKUP(B15,'Them gio'!$B$5:$H$38,7,0),0)</f>
        <v>0</v>
      </c>
      <c r="H15" s="119"/>
      <c r="I15" s="21"/>
      <c r="J15" s="120">
        <f t="shared" si="0"/>
        <v>0</v>
      </c>
      <c r="K15" s="181">
        <f t="shared" si="2"/>
        <v>0</v>
      </c>
      <c r="L15" s="21"/>
      <c r="M15" s="185">
        <f t="shared" si="1"/>
        <v>0</v>
      </c>
    </row>
    <row r="16" spans="1:13" ht="18" customHeight="1" x14ac:dyDescent="0.3">
      <c r="A16" s="22">
        <v>9</v>
      </c>
      <c r="B16" s="171" t="s">
        <v>326</v>
      </c>
      <c r="C16" s="171" t="s">
        <v>327</v>
      </c>
      <c r="D16" s="171" t="s">
        <v>66</v>
      </c>
      <c r="E16" s="21"/>
      <c r="F16" s="119">
        <f>IFERROR(VLOOKUP(B16,'Them gio'!$B$5:$H$38,3,0),0)</f>
        <v>0</v>
      </c>
      <c r="G16" s="119">
        <f>IFERROR(VLOOKUP(B16,'Them gio'!$B$5:$H$38,7,0),0)</f>
        <v>0</v>
      </c>
      <c r="H16" s="119"/>
      <c r="I16" s="21"/>
      <c r="J16" s="120">
        <f t="shared" si="0"/>
        <v>0</v>
      </c>
      <c r="K16" s="181">
        <f t="shared" si="2"/>
        <v>0</v>
      </c>
      <c r="L16" s="21"/>
      <c r="M16" s="185">
        <f t="shared" si="1"/>
        <v>0</v>
      </c>
    </row>
    <row r="17" spans="1:13" ht="18" customHeight="1" x14ac:dyDescent="0.3">
      <c r="A17" s="22">
        <v>10</v>
      </c>
      <c r="B17" s="171" t="s">
        <v>75</v>
      </c>
      <c r="C17" s="171" t="s">
        <v>76</v>
      </c>
      <c r="D17" s="171" t="s">
        <v>66</v>
      </c>
      <c r="E17" s="21"/>
      <c r="F17" s="119">
        <f>IFERROR(VLOOKUP(B17,'Them gio'!$B$5:$H$38,3,0),0)</f>
        <v>0</v>
      </c>
      <c r="G17" s="119">
        <f>IFERROR(VLOOKUP(B17,'Them gio'!$B$5:$H$38,7,0),0)</f>
        <v>0</v>
      </c>
      <c r="H17" s="119"/>
      <c r="I17" s="21"/>
      <c r="J17" s="120">
        <f t="shared" si="0"/>
        <v>0</v>
      </c>
      <c r="K17" s="181">
        <f t="shared" si="2"/>
        <v>0</v>
      </c>
      <c r="L17" s="21"/>
      <c r="M17" s="185">
        <f t="shared" si="1"/>
        <v>0</v>
      </c>
    </row>
    <row r="18" spans="1:13" x14ac:dyDescent="0.3">
      <c r="A18" s="22">
        <v>11</v>
      </c>
      <c r="B18" s="171" t="s">
        <v>803</v>
      </c>
      <c r="C18" s="171" t="s">
        <v>804</v>
      </c>
      <c r="D18" s="171" t="s">
        <v>66</v>
      </c>
      <c r="E18" s="21"/>
      <c r="F18" s="119">
        <f>IFERROR(VLOOKUP(B18,'Them gio'!$B$5:$H$38,3,0),0)</f>
        <v>0</v>
      </c>
      <c r="G18" s="119">
        <f>IFERROR(VLOOKUP(B18,'Them gio'!$B$5:$H$38,7,0),0)</f>
        <v>0</v>
      </c>
      <c r="H18" s="119"/>
      <c r="I18" s="21"/>
      <c r="J18" s="120">
        <f t="shared" si="0"/>
        <v>0</v>
      </c>
      <c r="K18" s="181">
        <f t="shared" si="2"/>
        <v>0</v>
      </c>
      <c r="L18" s="21"/>
      <c r="M18" s="185">
        <f t="shared" si="1"/>
        <v>0</v>
      </c>
    </row>
    <row r="19" spans="1:13" ht="18" customHeight="1" x14ac:dyDescent="0.3">
      <c r="A19" s="22">
        <v>0</v>
      </c>
      <c r="B19" s="171" t="s">
        <v>40</v>
      </c>
      <c r="C19" s="171" t="s">
        <v>79</v>
      </c>
      <c r="D19" s="171"/>
      <c r="E19" s="21"/>
      <c r="F19" s="119">
        <f>IFERROR(VLOOKUP(B19,'Them gio'!$B$5:$H$38,3,0),0)</f>
        <v>0</v>
      </c>
      <c r="G19" s="119">
        <f>IFERROR(VLOOKUP(B19,'Them gio'!$B$5:$H$38,7,0),0)</f>
        <v>0</v>
      </c>
      <c r="H19" s="119"/>
      <c r="I19" s="21"/>
      <c r="J19" s="120">
        <f t="shared" si="0"/>
        <v>0</v>
      </c>
      <c r="K19" s="181">
        <f t="shared" si="2"/>
        <v>0</v>
      </c>
      <c r="L19" s="21"/>
      <c r="M19" s="185">
        <f t="shared" si="1"/>
        <v>0</v>
      </c>
    </row>
    <row r="20" spans="1:13" ht="18" customHeight="1" x14ac:dyDescent="0.3">
      <c r="A20" s="22">
        <v>1</v>
      </c>
      <c r="B20" s="171" t="s">
        <v>80</v>
      </c>
      <c r="C20" s="171" t="s">
        <v>81</v>
      </c>
      <c r="D20" s="171" t="s">
        <v>58</v>
      </c>
      <c r="E20" s="21">
        <v>1000000</v>
      </c>
      <c r="F20" s="119">
        <f>IFERROR(VLOOKUP(B20,'Them gio'!$B$5:$H$38,3,0),0)</f>
        <v>1024432</v>
      </c>
      <c r="G20" s="119">
        <f>IFERROR(VLOOKUP(B20,'Them gio'!$B$5:$H$38,7,0),0)</f>
        <v>819545</v>
      </c>
      <c r="H20" s="119"/>
      <c r="I20" s="21"/>
      <c r="J20" s="120">
        <f t="shared" si="0"/>
        <v>2024432</v>
      </c>
      <c r="K20" s="181">
        <f t="shared" si="2"/>
        <v>819545</v>
      </c>
      <c r="L20" s="21"/>
      <c r="M20" s="185">
        <f t="shared" si="1"/>
        <v>1000000</v>
      </c>
    </row>
    <row r="21" spans="1:13" x14ac:dyDescent="0.3">
      <c r="A21" s="22">
        <v>2</v>
      </c>
      <c r="B21" s="171" t="s">
        <v>82</v>
      </c>
      <c r="C21" s="171" t="s">
        <v>83</v>
      </c>
      <c r="D21" s="171" t="s">
        <v>61</v>
      </c>
      <c r="E21" s="21">
        <v>1000000</v>
      </c>
      <c r="F21" s="119">
        <f>IFERROR(VLOOKUP(B21,'Them gio'!$B$5:$H$38,3,0),0)</f>
        <v>1229318</v>
      </c>
      <c r="G21" s="119">
        <f>IFERROR(VLOOKUP(B21,'Them gio'!$B$5:$H$38,7,0),0)</f>
        <v>819546</v>
      </c>
      <c r="H21" s="119"/>
      <c r="I21" s="181"/>
      <c r="J21" s="120">
        <f t="shared" si="0"/>
        <v>2229318</v>
      </c>
      <c r="K21" s="181">
        <f t="shared" si="2"/>
        <v>819546</v>
      </c>
      <c r="L21" s="21"/>
      <c r="M21" s="185">
        <f t="shared" si="1"/>
        <v>1000000</v>
      </c>
    </row>
    <row r="22" spans="1:13" ht="18" customHeight="1" x14ac:dyDescent="0.3">
      <c r="A22" s="22">
        <v>3</v>
      </c>
      <c r="B22" s="171" t="s">
        <v>84</v>
      </c>
      <c r="C22" s="171" t="s">
        <v>85</v>
      </c>
      <c r="D22" s="171" t="s">
        <v>66</v>
      </c>
      <c r="E22" s="21"/>
      <c r="F22" s="119">
        <f>IFERROR(VLOOKUP(B22,'Them gio'!$B$5:$H$38,3,0),0)</f>
        <v>705966</v>
      </c>
      <c r="G22" s="119">
        <f>IFERROR(VLOOKUP(B22,'Them gio'!$B$5:$H$38,7,0),0)</f>
        <v>504262</v>
      </c>
      <c r="H22" s="119"/>
      <c r="I22" s="21"/>
      <c r="J22" s="120">
        <f t="shared" si="0"/>
        <v>705966</v>
      </c>
      <c r="K22" s="181">
        <f t="shared" si="2"/>
        <v>504262</v>
      </c>
      <c r="L22" s="21"/>
      <c r="M22" s="185">
        <f t="shared" si="1"/>
        <v>0</v>
      </c>
    </row>
    <row r="23" spans="1:13" ht="18" customHeight="1" x14ac:dyDescent="0.3">
      <c r="A23" s="22">
        <v>4</v>
      </c>
      <c r="B23" s="171" t="s">
        <v>86</v>
      </c>
      <c r="C23" s="171" t="s">
        <v>87</v>
      </c>
      <c r="D23" s="171" t="s">
        <v>66</v>
      </c>
      <c r="E23" s="21">
        <v>2000000</v>
      </c>
      <c r="F23" s="119">
        <f>IFERROR(VLOOKUP(B23,'Them gio'!$B$5:$H$38,3,0),0)</f>
        <v>801920</v>
      </c>
      <c r="G23" s="119">
        <f>IFERROR(VLOOKUP(B23,'Them gio'!$B$5:$H$38,7,0),0)</f>
        <v>534614</v>
      </c>
      <c r="H23" s="119"/>
      <c r="I23" s="21"/>
      <c r="J23" s="120">
        <f t="shared" si="0"/>
        <v>2801920</v>
      </c>
      <c r="K23" s="181">
        <f t="shared" si="2"/>
        <v>534614</v>
      </c>
      <c r="L23" s="21"/>
      <c r="M23" s="185">
        <f t="shared" si="1"/>
        <v>2000000</v>
      </c>
    </row>
    <row r="24" spans="1:13" s="24" customFormat="1" ht="18" customHeight="1" x14ac:dyDescent="0.3">
      <c r="A24" s="22">
        <v>5</v>
      </c>
      <c r="B24" s="171" t="s">
        <v>90</v>
      </c>
      <c r="C24" s="171" t="s">
        <v>91</v>
      </c>
      <c r="D24" s="171" t="s">
        <v>66</v>
      </c>
      <c r="E24" s="21">
        <f>5000000+2000000</f>
        <v>7000000</v>
      </c>
      <c r="F24" s="119">
        <f>IFERROR(VLOOKUP(B24,'Them gio'!$B$5:$H$38,3,0),0)</f>
        <v>712818</v>
      </c>
      <c r="G24" s="119">
        <f>IFERROR(VLOOKUP(B24,'Them gio'!$B$5:$H$38,7,0),0)</f>
        <v>490063</v>
      </c>
      <c r="H24" s="119"/>
      <c r="I24" s="21"/>
      <c r="J24" s="120">
        <f t="shared" si="0"/>
        <v>7712818</v>
      </c>
      <c r="K24" s="181">
        <f t="shared" si="2"/>
        <v>490063</v>
      </c>
      <c r="L24" s="21"/>
      <c r="M24" s="185">
        <f t="shared" si="1"/>
        <v>7000000</v>
      </c>
    </row>
    <row r="25" spans="1:13" ht="18" customHeight="1" x14ac:dyDescent="0.3">
      <c r="A25" s="22">
        <v>6</v>
      </c>
      <c r="B25" s="171" t="s">
        <v>92</v>
      </c>
      <c r="C25" s="171" t="s">
        <v>93</v>
      </c>
      <c r="D25" s="171" t="s">
        <v>66</v>
      </c>
      <c r="E25" s="21">
        <v>2000000</v>
      </c>
      <c r="F25" s="119">
        <f>IFERROR(VLOOKUP(B25,'Them gio'!$B$5:$H$38,3,0),0)</f>
        <v>846472</v>
      </c>
      <c r="G25" s="119">
        <f>IFERROR(VLOOKUP(B25,'Them gio'!$B$5:$H$38,7,0),0)</f>
        <v>623716</v>
      </c>
      <c r="H25" s="119"/>
      <c r="I25" s="21"/>
      <c r="J25" s="120">
        <f t="shared" si="0"/>
        <v>2846472</v>
      </c>
      <c r="K25" s="181">
        <f t="shared" si="2"/>
        <v>623716</v>
      </c>
      <c r="L25" s="21"/>
      <c r="M25" s="185">
        <f t="shared" si="1"/>
        <v>2000000</v>
      </c>
    </row>
    <row r="26" spans="1:13" x14ac:dyDescent="0.3">
      <c r="A26" s="22">
        <v>7</v>
      </c>
      <c r="B26" s="171" t="s">
        <v>88</v>
      </c>
      <c r="C26" s="171" t="s">
        <v>89</v>
      </c>
      <c r="D26" s="171" t="s">
        <v>66</v>
      </c>
      <c r="E26" s="21"/>
      <c r="F26" s="119">
        <f>IFERROR(VLOOKUP(B26,'Them gio'!$B$5:$H$38,3,0),0)</f>
        <v>0</v>
      </c>
      <c r="G26" s="119">
        <f>IFERROR(VLOOKUP(B26,'Them gio'!$B$5:$H$38,7,0),0)</f>
        <v>0</v>
      </c>
      <c r="H26" s="119"/>
      <c r="I26" s="21"/>
      <c r="J26" s="120">
        <f t="shared" si="0"/>
        <v>0</v>
      </c>
      <c r="K26" s="181">
        <f t="shared" si="2"/>
        <v>0</v>
      </c>
      <c r="L26" s="21"/>
      <c r="M26" s="185">
        <f t="shared" si="1"/>
        <v>0</v>
      </c>
    </row>
    <row r="27" spans="1:13" ht="18" customHeight="1" x14ac:dyDescent="0.3">
      <c r="A27" s="22">
        <v>0</v>
      </c>
      <c r="B27" s="171" t="s">
        <v>40</v>
      </c>
      <c r="C27" s="171" t="s">
        <v>94</v>
      </c>
      <c r="D27" s="171"/>
      <c r="E27" s="21"/>
      <c r="F27" s="119">
        <f>IFERROR(VLOOKUP(B27,'Them gio'!$B$5:$H$38,3,0),0)</f>
        <v>0</v>
      </c>
      <c r="G27" s="119">
        <f>IFERROR(VLOOKUP(B27,'Them gio'!$B$5:$H$38,7,0),0)</f>
        <v>0</v>
      </c>
      <c r="H27" s="119"/>
      <c r="I27" s="21"/>
      <c r="J27" s="120">
        <f t="shared" si="0"/>
        <v>0</v>
      </c>
      <c r="K27" s="181">
        <f t="shared" si="2"/>
        <v>0</v>
      </c>
      <c r="L27" s="21"/>
      <c r="M27" s="185">
        <f t="shared" si="1"/>
        <v>0</v>
      </c>
    </row>
    <row r="28" spans="1:13" ht="18" customHeight="1" x14ac:dyDescent="0.3">
      <c r="A28" s="22">
        <v>1</v>
      </c>
      <c r="B28" s="171" t="s">
        <v>95</v>
      </c>
      <c r="C28" s="171" t="s">
        <v>96</v>
      </c>
      <c r="D28" s="171" t="s">
        <v>61</v>
      </c>
      <c r="E28" s="183">
        <v>3000000</v>
      </c>
      <c r="F28" s="119">
        <f>IFERROR(VLOOKUP(B28,'Them gio'!$B$5:$H$38,3,0),0)</f>
        <v>1557580</v>
      </c>
      <c r="G28" s="119">
        <f>IFERROR(VLOOKUP(B28,'Them gio'!$B$5:$H$38,7,0),0)</f>
        <v>1112557</v>
      </c>
      <c r="H28" s="119"/>
      <c r="I28" s="21"/>
      <c r="J28" s="120">
        <f t="shared" si="0"/>
        <v>4557580</v>
      </c>
      <c r="K28" s="181">
        <f t="shared" si="2"/>
        <v>1112557</v>
      </c>
      <c r="L28" s="21"/>
      <c r="M28" s="185">
        <f t="shared" si="1"/>
        <v>3000000</v>
      </c>
    </row>
    <row r="29" spans="1:13" ht="18" customHeight="1" x14ac:dyDescent="0.3">
      <c r="A29" s="22">
        <v>2</v>
      </c>
      <c r="B29" s="171" t="s">
        <v>97</v>
      </c>
      <c r="C29" s="171" t="s">
        <v>98</v>
      </c>
      <c r="D29" s="171" t="s">
        <v>66</v>
      </c>
      <c r="E29" s="21"/>
      <c r="F29" s="119">
        <f>IFERROR(VLOOKUP(B29,'Them gio'!$B$5:$H$38,3,0),0)</f>
        <v>0</v>
      </c>
      <c r="G29" s="119">
        <f>IFERROR(VLOOKUP(B29,'Them gio'!$B$5:$H$38,7,0),0)</f>
        <v>0</v>
      </c>
      <c r="H29" s="119"/>
      <c r="I29" s="21"/>
      <c r="J29" s="120">
        <f t="shared" si="0"/>
        <v>0</v>
      </c>
      <c r="K29" s="181">
        <f t="shared" si="2"/>
        <v>0</v>
      </c>
      <c r="L29" s="21"/>
      <c r="M29" s="185">
        <f t="shared" si="1"/>
        <v>0</v>
      </c>
    </row>
    <row r="30" spans="1:13" ht="18" customHeight="1" x14ac:dyDescent="0.3">
      <c r="A30" s="22">
        <v>3</v>
      </c>
      <c r="B30" s="171" t="s">
        <v>99</v>
      </c>
      <c r="C30" s="171" t="s">
        <v>100</v>
      </c>
      <c r="D30" s="171" t="s">
        <v>66</v>
      </c>
      <c r="E30" s="21"/>
      <c r="F30" s="119">
        <f>IFERROR(VLOOKUP(B30,'Them gio'!$B$5:$H$38,3,0),0)</f>
        <v>0</v>
      </c>
      <c r="G30" s="119">
        <f>IFERROR(VLOOKUP(B30,'Them gio'!$B$5:$H$38,7,0),0)</f>
        <v>0</v>
      </c>
      <c r="H30" s="119"/>
      <c r="I30" s="21"/>
      <c r="J30" s="120">
        <f t="shared" si="0"/>
        <v>0</v>
      </c>
      <c r="K30" s="181">
        <f t="shared" si="2"/>
        <v>0</v>
      </c>
      <c r="L30" s="21"/>
      <c r="M30" s="185">
        <f t="shared" si="1"/>
        <v>0</v>
      </c>
    </row>
    <row r="31" spans="1:13" ht="18" customHeight="1" x14ac:dyDescent="0.3">
      <c r="A31" s="22">
        <v>4</v>
      </c>
      <c r="B31" s="171" t="s">
        <v>101</v>
      </c>
      <c r="C31" s="171" t="s">
        <v>102</v>
      </c>
      <c r="D31" s="171" t="s">
        <v>66</v>
      </c>
      <c r="E31" s="21">
        <v>5000000</v>
      </c>
      <c r="F31" s="119">
        <f>IFERROR(VLOOKUP(B31,'Them gio'!$B$5:$H$38,3,0),0)</f>
        <v>0</v>
      </c>
      <c r="G31" s="119">
        <f>IFERROR(VLOOKUP(B31,'Them gio'!$B$5:$H$38,7,0),0)</f>
        <v>0</v>
      </c>
      <c r="H31" s="119"/>
      <c r="I31" s="21"/>
      <c r="J31" s="120">
        <f t="shared" si="0"/>
        <v>5000000</v>
      </c>
      <c r="K31" s="181">
        <f t="shared" si="2"/>
        <v>0</v>
      </c>
      <c r="L31" s="21"/>
      <c r="M31" s="185">
        <f t="shared" si="1"/>
        <v>5000000</v>
      </c>
    </row>
    <row r="32" spans="1:13" s="24" customFormat="1" ht="18" customHeight="1" x14ac:dyDescent="0.3">
      <c r="A32" s="22">
        <v>5</v>
      </c>
      <c r="B32" s="171" t="s">
        <v>105</v>
      </c>
      <c r="C32" s="171" t="s">
        <v>106</v>
      </c>
      <c r="D32" s="171" t="s">
        <v>66</v>
      </c>
      <c r="E32" s="21"/>
      <c r="F32" s="119">
        <f>IFERROR(VLOOKUP(B32,'Them gio'!$B$5:$H$38,3,0),0)</f>
        <v>0</v>
      </c>
      <c r="G32" s="119">
        <f>IFERROR(VLOOKUP(B32,'Them gio'!$B$5:$H$38,7,0),0)</f>
        <v>0</v>
      </c>
      <c r="H32" s="119"/>
      <c r="I32" s="21"/>
      <c r="J32" s="120">
        <f t="shared" si="0"/>
        <v>0</v>
      </c>
      <c r="K32" s="181">
        <f t="shared" si="2"/>
        <v>0</v>
      </c>
      <c r="L32" s="21"/>
      <c r="M32" s="185">
        <f t="shared" si="1"/>
        <v>0</v>
      </c>
    </row>
    <row r="33" spans="1:14" ht="18" customHeight="1" x14ac:dyDescent="0.3">
      <c r="A33" s="22">
        <v>6</v>
      </c>
      <c r="B33" s="171" t="s">
        <v>103</v>
      </c>
      <c r="C33" s="171" t="s">
        <v>104</v>
      </c>
      <c r="D33" s="171" t="s">
        <v>66</v>
      </c>
      <c r="E33" s="21"/>
      <c r="F33" s="119">
        <f>IFERROR(VLOOKUP(B33,'Them gio'!$B$5:$H$38,3,0),0)</f>
        <v>0</v>
      </c>
      <c r="G33" s="119">
        <f>IFERROR(VLOOKUP(B33,'Them gio'!$B$5:$H$38,7,0),0)</f>
        <v>0</v>
      </c>
      <c r="H33" s="119"/>
      <c r="I33" s="21"/>
      <c r="J33" s="120">
        <f t="shared" si="0"/>
        <v>0</v>
      </c>
      <c r="K33" s="181">
        <f t="shared" si="2"/>
        <v>0</v>
      </c>
      <c r="L33" s="21"/>
      <c r="M33" s="185">
        <f t="shared" si="1"/>
        <v>0</v>
      </c>
    </row>
    <row r="34" spans="1:14" ht="18" customHeight="1" x14ac:dyDescent="0.3">
      <c r="A34" s="22">
        <v>7</v>
      </c>
      <c r="B34" s="171" t="s">
        <v>107</v>
      </c>
      <c r="C34" s="171" t="s">
        <v>108</v>
      </c>
      <c r="D34" s="171" t="s">
        <v>66</v>
      </c>
      <c r="E34" s="21"/>
      <c r="F34" s="119">
        <f>IFERROR(VLOOKUP(B34,'Them gio'!$B$5:$H$38,3,0),0)</f>
        <v>0</v>
      </c>
      <c r="G34" s="119">
        <f>IFERROR(VLOOKUP(B34,'Them gio'!$B$5:$H$38,7,0),0)</f>
        <v>0</v>
      </c>
      <c r="H34" s="119"/>
      <c r="I34" s="21"/>
      <c r="J34" s="120">
        <f t="shared" si="0"/>
        <v>0</v>
      </c>
      <c r="K34" s="181">
        <f t="shared" si="2"/>
        <v>0</v>
      </c>
      <c r="L34" s="21"/>
      <c r="M34" s="185">
        <f t="shared" si="1"/>
        <v>0</v>
      </c>
    </row>
    <row r="35" spans="1:14" ht="18" customHeight="1" x14ac:dyDescent="0.3">
      <c r="A35" s="22">
        <v>8</v>
      </c>
      <c r="B35" s="171" t="s">
        <v>109</v>
      </c>
      <c r="C35" s="171" t="s">
        <v>110</v>
      </c>
      <c r="D35" s="171" t="s">
        <v>111</v>
      </c>
      <c r="E35" s="21"/>
      <c r="F35" s="119">
        <f>IFERROR(VLOOKUP(B35,'Them gio'!$B$5:$H$38,3,0),0)</f>
        <v>0</v>
      </c>
      <c r="G35" s="119">
        <f>IFERROR(VLOOKUP(B35,'Them gio'!$B$5:$H$38,7,0),0)</f>
        <v>0</v>
      </c>
      <c r="H35" s="119"/>
      <c r="I35" s="21"/>
      <c r="J35" s="120">
        <f t="shared" si="0"/>
        <v>0</v>
      </c>
      <c r="K35" s="181">
        <f t="shared" si="2"/>
        <v>0</v>
      </c>
      <c r="L35" s="21"/>
      <c r="M35" s="185">
        <f t="shared" si="1"/>
        <v>0</v>
      </c>
    </row>
    <row r="36" spans="1:14" ht="18" customHeight="1" x14ac:dyDescent="0.3">
      <c r="A36" s="22">
        <v>0</v>
      </c>
      <c r="B36" s="171" t="s">
        <v>40</v>
      </c>
      <c r="C36" s="171" t="s">
        <v>112</v>
      </c>
      <c r="D36" s="171"/>
      <c r="E36" s="21"/>
      <c r="F36" s="119">
        <f>IFERROR(VLOOKUP(B36,'Them gio'!$B$5:$H$38,3,0),0)</f>
        <v>0</v>
      </c>
      <c r="G36" s="119">
        <f>IFERROR(VLOOKUP(B36,'Them gio'!$B$5:$H$38,7,0),0)</f>
        <v>0</v>
      </c>
      <c r="H36" s="119"/>
      <c r="I36" s="21"/>
      <c r="J36" s="120">
        <f t="shared" si="0"/>
        <v>0</v>
      </c>
      <c r="K36" s="181">
        <f t="shared" si="2"/>
        <v>0</v>
      </c>
      <c r="L36" s="21"/>
      <c r="M36" s="185">
        <f t="shared" si="1"/>
        <v>0</v>
      </c>
    </row>
    <row r="37" spans="1:14" s="24" customFormat="1" ht="18" customHeight="1" x14ac:dyDescent="0.3">
      <c r="A37" s="25">
        <v>1</v>
      </c>
      <c r="B37" s="235" t="s">
        <v>113</v>
      </c>
      <c r="C37" s="235" t="s">
        <v>114</v>
      </c>
      <c r="D37" s="235" t="s">
        <v>115</v>
      </c>
      <c r="E37" s="26">
        <f>ROUND(10000000/7,0)+5000000+1000000</f>
        <v>7428571</v>
      </c>
      <c r="F37" s="124">
        <f>IFERROR(VLOOKUP(B37,'Them gio'!$B$5:$H$38,3,0),0)</f>
        <v>1602818</v>
      </c>
      <c r="G37" s="124">
        <f>IFERROR(VLOOKUP(B37,'Them gio'!$B$5:$H$38,7,0),0)</f>
        <v>1101938</v>
      </c>
      <c r="H37" s="124"/>
      <c r="I37" s="26"/>
      <c r="J37" s="236">
        <f t="shared" si="0"/>
        <v>9031389</v>
      </c>
      <c r="K37" s="238">
        <f>G37+447000</f>
        <v>1548938</v>
      </c>
      <c r="L37" s="26"/>
      <c r="M37" s="237">
        <f t="shared" si="1"/>
        <v>7428571</v>
      </c>
      <c r="N37" s="24" t="s">
        <v>840</v>
      </c>
    </row>
    <row r="38" spans="1:14" ht="18" customHeight="1" x14ac:dyDescent="0.3">
      <c r="A38" s="22">
        <v>2</v>
      </c>
      <c r="B38" s="171" t="s">
        <v>116</v>
      </c>
      <c r="C38" s="171" t="s">
        <v>117</v>
      </c>
      <c r="D38" s="171" t="s">
        <v>61</v>
      </c>
      <c r="E38" s="26">
        <f>ROUND(10000000/7,0)+2000000</f>
        <v>3428571</v>
      </c>
      <c r="F38" s="119">
        <f>IFERROR(VLOOKUP(B38,'Them gio'!$B$5:$H$38,3,0),0)</f>
        <v>1024432</v>
      </c>
      <c r="G38" s="119">
        <f>IFERROR(VLOOKUP(B38,'Them gio'!$B$5:$H$38,7,0),0)</f>
        <v>614659</v>
      </c>
      <c r="H38" s="119"/>
      <c r="I38" s="21"/>
      <c r="J38" s="120">
        <f t="shared" si="0"/>
        <v>4453003</v>
      </c>
      <c r="K38" s="181">
        <f t="shared" si="2"/>
        <v>614659</v>
      </c>
      <c r="L38" s="21"/>
      <c r="M38" s="185">
        <f t="shared" si="1"/>
        <v>3428571</v>
      </c>
    </row>
    <row r="39" spans="1:14" ht="18" customHeight="1" x14ac:dyDescent="0.3">
      <c r="A39" s="22">
        <v>3</v>
      </c>
      <c r="B39" s="171" t="s">
        <v>118</v>
      </c>
      <c r="C39" s="171" t="s">
        <v>119</v>
      </c>
      <c r="D39" s="171" t="s">
        <v>120</v>
      </c>
      <c r="E39" s="26">
        <f t="shared" ref="E39:E44" si="3">ROUND(10000000/7,0)</f>
        <v>1428571</v>
      </c>
      <c r="F39" s="119">
        <f>IFERROR(VLOOKUP(B39,'Them gio'!$B$5:$H$38,3,0),0)</f>
        <v>0</v>
      </c>
      <c r="G39" s="119">
        <f>IFERROR(VLOOKUP(B39,'Them gio'!$B$5:$H$38,7,0),0)</f>
        <v>0</v>
      </c>
      <c r="H39" s="119"/>
      <c r="I39" s="21"/>
      <c r="J39" s="120">
        <f t="shared" si="0"/>
        <v>1428571</v>
      </c>
      <c r="K39" s="181">
        <f t="shared" si="2"/>
        <v>0</v>
      </c>
      <c r="L39" s="21"/>
      <c r="M39" s="185">
        <f t="shared" si="1"/>
        <v>1428571</v>
      </c>
    </row>
    <row r="40" spans="1:14" ht="18" customHeight="1" x14ac:dyDescent="0.3">
      <c r="A40" s="22">
        <v>4</v>
      </c>
      <c r="B40" s="171" t="s">
        <v>121</v>
      </c>
      <c r="C40" s="171" t="s">
        <v>122</v>
      </c>
      <c r="D40" s="171" t="s">
        <v>66</v>
      </c>
      <c r="E40" s="26">
        <f t="shared" si="3"/>
        <v>1428571</v>
      </c>
      <c r="F40" s="119">
        <f>IFERROR(VLOOKUP(B40,'Them gio'!$B$5:$H$38,3,0),0)</f>
        <v>0</v>
      </c>
      <c r="G40" s="119">
        <f>IFERROR(VLOOKUP(B40,'Them gio'!$B$5:$H$38,7,0),0)</f>
        <v>0</v>
      </c>
      <c r="H40" s="119"/>
      <c r="I40" s="21"/>
      <c r="J40" s="120">
        <f t="shared" si="0"/>
        <v>1428571</v>
      </c>
      <c r="K40" s="181">
        <f t="shared" si="2"/>
        <v>0</v>
      </c>
      <c r="L40" s="21"/>
      <c r="M40" s="185">
        <f t="shared" si="1"/>
        <v>1428571</v>
      </c>
    </row>
    <row r="41" spans="1:14" ht="18" customHeight="1" x14ac:dyDescent="0.3">
      <c r="A41" s="22">
        <v>5</v>
      </c>
      <c r="B41" s="171" t="s">
        <v>123</v>
      </c>
      <c r="C41" s="171" t="s">
        <v>124</v>
      </c>
      <c r="D41" s="171" t="s">
        <v>66</v>
      </c>
      <c r="E41" s="26">
        <f t="shared" si="3"/>
        <v>1428571</v>
      </c>
      <c r="F41" s="119">
        <f>IFERROR(VLOOKUP(B41,'Them gio'!$B$5:$H$38,3,0),0)</f>
        <v>0</v>
      </c>
      <c r="G41" s="119">
        <f>IFERROR(VLOOKUP(B41,'Them gio'!$B$5:$H$38,7,0),0)</f>
        <v>0</v>
      </c>
      <c r="H41" s="119"/>
      <c r="I41" s="21"/>
      <c r="J41" s="120">
        <f t="shared" si="0"/>
        <v>1428571</v>
      </c>
      <c r="K41" s="181">
        <f t="shared" si="2"/>
        <v>0</v>
      </c>
      <c r="L41" s="21"/>
      <c r="M41" s="185">
        <f t="shared" si="1"/>
        <v>1428571</v>
      </c>
    </row>
    <row r="42" spans="1:14" s="24" customFormat="1" ht="18" customHeight="1" x14ac:dyDescent="0.3">
      <c r="A42" s="25">
        <v>6</v>
      </c>
      <c r="B42" s="171" t="s">
        <v>125</v>
      </c>
      <c r="C42" s="171" t="s">
        <v>126</v>
      </c>
      <c r="D42" s="171" t="s">
        <v>66</v>
      </c>
      <c r="E42" s="26">
        <f>ROUND(10000000/7,0)+3</f>
        <v>1428574</v>
      </c>
      <c r="F42" s="119">
        <f>IFERROR(VLOOKUP(B42,'Them gio'!$B$5:$H$38,3,0),0)</f>
        <v>0</v>
      </c>
      <c r="G42" s="119">
        <f>IFERROR(VLOOKUP(B42,'Them gio'!$B$5:$H$38,7,0),0)</f>
        <v>0</v>
      </c>
      <c r="H42" s="119"/>
      <c r="I42" s="21"/>
      <c r="J42" s="120">
        <f t="shared" si="0"/>
        <v>1428574</v>
      </c>
      <c r="K42" s="181">
        <f t="shared" si="2"/>
        <v>0</v>
      </c>
      <c r="L42" s="21"/>
      <c r="M42" s="185">
        <f t="shared" si="1"/>
        <v>1428574</v>
      </c>
    </row>
    <row r="43" spans="1:14" s="24" customFormat="1" ht="18" customHeight="1" x14ac:dyDescent="0.3">
      <c r="A43" s="25">
        <v>7</v>
      </c>
      <c r="B43" s="171" t="s">
        <v>127</v>
      </c>
      <c r="C43" s="171" t="s">
        <v>128</v>
      </c>
      <c r="D43" s="171" t="s">
        <v>66</v>
      </c>
      <c r="E43" s="26"/>
      <c r="F43" s="119">
        <f>IFERROR(VLOOKUP(B43,'Them gio'!$B$5:$H$38,3,0),0)</f>
        <v>0</v>
      </c>
      <c r="G43" s="119">
        <f>IFERROR(VLOOKUP(B43,'Them gio'!$B$5:$H$38,7,0),0)</f>
        <v>0</v>
      </c>
      <c r="H43" s="119"/>
      <c r="I43" s="21"/>
      <c r="J43" s="120">
        <f t="shared" si="0"/>
        <v>0</v>
      </c>
      <c r="K43" s="181">
        <f t="shared" si="2"/>
        <v>0</v>
      </c>
      <c r="L43" s="21"/>
      <c r="M43" s="185">
        <f t="shared" si="1"/>
        <v>0</v>
      </c>
    </row>
    <row r="44" spans="1:14" ht="18" customHeight="1" x14ac:dyDescent="0.3">
      <c r="A44" s="22">
        <v>8</v>
      </c>
      <c r="B44" s="171" t="s">
        <v>129</v>
      </c>
      <c r="C44" s="171" t="s">
        <v>130</v>
      </c>
      <c r="D44" s="171" t="s">
        <v>66</v>
      </c>
      <c r="E44" s="26">
        <f t="shared" si="3"/>
        <v>1428571</v>
      </c>
      <c r="F44" s="119">
        <f>IFERROR(VLOOKUP(B44,'Them gio'!$B$5:$H$38,3,0),0)</f>
        <v>0</v>
      </c>
      <c r="G44" s="119">
        <f>IFERROR(VLOOKUP(B44,'Them gio'!$B$5:$H$38,7,0),0)</f>
        <v>0</v>
      </c>
      <c r="H44" s="119"/>
      <c r="I44" s="21"/>
      <c r="J44" s="120">
        <f t="shared" si="0"/>
        <v>1428571</v>
      </c>
      <c r="K44" s="181">
        <f t="shared" si="2"/>
        <v>0</v>
      </c>
      <c r="L44" s="21"/>
      <c r="M44" s="185">
        <f t="shared" si="1"/>
        <v>1428571</v>
      </c>
    </row>
    <row r="45" spans="1:14" ht="18" customHeight="1" x14ac:dyDescent="0.3">
      <c r="A45" s="22">
        <v>0</v>
      </c>
      <c r="B45" s="171" t="s">
        <v>40</v>
      </c>
      <c r="C45" s="171" t="s">
        <v>131</v>
      </c>
      <c r="D45" s="171"/>
      <c r="E45" s="21"/>
      <c r="F45" s="119">
        <f>IFERROR(VLOOKUP(B45,'Them gio'!$B$5:$H$38,3,0),0)</f>
        <v>0</v>
      </c>
      <c r="G45" s="119">
        <f>IFERROR(VLOOKUP(B45,'Them gio'!$B$5:$H$38,7,0),0)</f>
        <v>0</v>
      </c>
      <c r="H45" s="119"/>
      <c r="I45" s="21"/>
      <c r="J45" s="120">
        <f t="shared" si="0"/>
        <v>0</v>
      </c>
      <c r="K45" s="181">
        <f t="shared" si="2"/>
        <v>0</v>
      </c>
      <c r="L45" s="21"/>
      <c r="M45" s="185">
        <f t="shared" si="1"/>
        <v>0</v>
      </c>
    </row>
    <row r="46" spans="1:14" ht="18" customHeight="1" x14ac:dyDescent="0.3">
      <c r="A46" s="22">
        <v>1</v>
      </c>
      <c r="B46" s="171" t="s">
        <v>132</v>
      </c>
      <c r="C46" s="171" t="s">
        <v>133</v>
      </c>
      <c r="D46" s="171" t="s">
        <v>115</v>
      </c>
      <c r="E46" s="21">
        <v>1000000</v>
      </c>
      <c r="F46" s="119">
        <f>IFERROR(VLOOKUP(B46,'Them gio'!$B$5:$H$38,3,0),0)</f>
        <v>1291659</v>
      </c>
      <c r="G46" s="119">
        <f>IFERROR(VLOOKUP(B46,'Them gio'!$B$5:$H$38,7,0),0)</f>
        <v>922613</v>
      </c>
      <c r="H46" s="119"/>
      <c r="I46" s="21"/>
      <c r="J46" s="120">
        <f t="shared" si="0"/>
        <v>2291659</v>
      </c>
      <c r="K46" s="181">
        <f t="shared" si="2"/>
        <v>922613</v>
      </c>
      <c r="L46" s="21"/>
      <c r="M46" s="185">
        <f t="shared" si="1"/>
        <v>1000000</v>
      </c>
    </row>
    <row r="47" spans="1:14" s="24" customFormat="1" ht="18" customHeight="1" x14ac:dyDescent="0.3">
      <c r="A47" s="22">
        <v>2</v>
      </c>
      <c r="B47" s="171" t="s">
        <v>134</v>
      </c>
      <c r="C47" s="171" t="s">
        <v>135</v>
      </c>
      <c r="D47" s="171" t="s">
        <v>61</v>
      </c>
      <c r="E47" s="21">
        <v>2000000</v>
      </c>
      <c r="F47" s="119">
        <f>IFERROR(VLOOKUP(B47,'Them gio'!$B$5:$H$38,3,0),0)</f>
        <v>1434205</v>
      </c>
      <c r="G47" s="119">
        <f>IFERROR(VLOOKUP(B47,'Them gio'!$B$5:$H$38,7,0),0)</f>
        <v>1024432</v>
      </c>
      <c r="H47" s="119"/>
      <c r="I47" s="21"/>
      <c r="J47" s="120">
        <f t="shared" si="0"/>
        <v>3434205</v>
      </c>
      <c r="K47" s="181">
        <f t="shared" si="2"/>
        <v>1024432</v>
      </c>
      <c r="L47" s="21"/>
      <c r="M47" s="185">
        <f t="shared" si="1"/>
        <v>2000000</v>
      </c>
    </row>
    <row r="48" spans="1:14" ht="18" customHeight="1" x14ac:dyDescent="0.3">
      <c r="A48" s="22">
        <v>3</v>
      </c>
      <c r="B48" s="171" t="s">
        <v>136</v>
      </c>
      <c r="C48" s="171" t="s">
        <v>137</v>
      </c>
      <c r="D48" s="171" t="s">
        <v>66</v>
      </c>
      <c r="E48" s="21">
        <v>2000000</v>
      </c>
      <c r="F48" s="119">
        <f>IFERROR(VLOOKUP(B48,'Them gio'!$B$5:$H$38,3,0),0)</f>
        <v>878540</v>
      </c>
      <c r="G48" s="119">
        <f>IFERROR(VLOOKUP(B48,'Them gio'!$B$5:$H$38,7,0),0)</f>
        <v>753034</v>
      </c>
      <c r="H48" s="119"/>
      <c r="I48" s="21"/>
      <c r="J48" s="120">
        <f t="shared" si="0"/>
        <v>2878540</v>
      </c>
      <c r="K48" s="181">
        <f t="shared" si="2"/>
        <v>753034</v>
      </c>
      <c r="L48" s="21"/>
      <c r="M48" s="185">
        <f t="shared" si="1"/>
        <v>2000000</v>
      </c>
    </row>
    <row r="49" spans="1:13" ht="18" customHeight="1" x14ac:dyDescent="0.3">
      <c r="A49" s="22">
        <v>4</v>
      </c>
      <c r="B49" s="171" t="s">
        <v>174</v>
      </c>
      <c r="C49" s="171" t="s">
        <v>175</v>
      </c>
      <c r="D49" s="171" t="s">
        <v>66</v>
      </c>
      <c r="E49" s="21">
        <v>5000000</v>
      </c>
      <c r="F49" s="119">
        <f>IFERROR(VLOOKUP(B49,'Them gio'!$B$5:$H$38,3,0),0)</f>
        <v>0</v>
      </c>
      <c r="G49" s="119">
        <f>IFERROR(VLOOKUP(B49,'Them gio'!$B$5:$H$38,7,0),0)</f>
        <v>0</v>
      </c>
      <c r="H49" s="119"/>
      <c r="I49" s="21"/>
      <c r="J49" s="120">
        <f t="shared" si="0"/>
        <v>5000000</v>
      </c>
      <c r="K49" s="181">
        <f t="shared" si="2"/>
        <v>0</v>
      </c>
      <c r="L49" s="21"/>
      <c r="M49" s="185">
        <f t="shared" si="1"/>
        <v>5000000</v>
      </c>
    </row>
    <row r="50" spans="1:13" ht="18" customHeight="1" x14ac:dyDescent="0.3">
      <c r="A50" s="22">
        <v>5</v>
      </c>
      <c r="B50" s="171" t="s">
        <v>138</v>
      </c>
      <c r="C50" s="171" t="s">
        <v>139</v>
      </c>
      <c r="D50" s="171" t="s">
        <v>66</v>
      </c>
      <c r="E50" s="21"/>
      <c r="F50" s="119">
        <f>IFERROR(VLOOKUP(B50,'Them gio'!$B$5:$H$38,3,0),0)</f>
        <v>0</v>
      </c>
      <c r="G50" s="119">
        <f>IFERROR(VLOOKUP(B50,'Them gio'!$B$5:$H$38,7,0),0)</f>
        <v>0</v>
      </c>
      <c r="H50" s="119"/>
      <c r="I50" s="21"/>
      <c r="J50" s="120">
        <f t="shared" si="0"/>
        <v>0</v>
      </c>
      <c r="K50" s="181">
        <f t="shared" si="2"/>
        <v>0</v>
      </c>
      <c r="L50" s="21"/>
      <c r="M50" s="185">
        <f t="shared" si="1"/>
        <v>0</v>
      </c>
    </row>
    <row r="51" spans="1:13" ht="18" customHeight="1" x14ac:dyDescent="0.3">
      <c r="A51" s="22">
        <v>6</v>
      </c>
      <c r="B51" s="171" t="s">
        <v>140</v>
      </c>
      <c r="C51" s="171" t="s">
        <v>141</v>
      </c>
      <c r="D51" s="171" t="s">
        <v>66</v>
      </c>
      <c r="E51" s="21"/>
      <c r="F51" s="119">
        <f>IFERROR(VLOOKUP(B51,'Them gio'!$B$5:$H$38,3,0),0)</f>
        <v>0</v>
      </c>
      <c r="G51" s="119">
        <f>IFERROR(VLOOKUP(B51,'Them gio'!$B$5:$H$38,7,0),0)</f>
        <v>0</v>
      </c>
      <c r="H51" s="119"/>
      <c r="I51" s="21"/>
      <c r="J51" s="120">
        <f t="shared" si="0"/>
        <v>0</v>
      </c>
      <c r="K51" s="181">
        <f t="shared" si="2"/>
        <v>0</v>
      </c>
      <c r="L51" s="21"/>
      <c r="M51" s="185">
        <f t="shared" si="1"/>
        <v>0</v>
      </c>
    </row>
    <row r="52" spans="1:13" ht="18" customHeight="1" x14ac:dyDescent="0.3">
      <c r="A52" s="22">
        <v>7</v>
      </c>
      <c r="B52" s="171" t="s">
        <v>142</v>
      </c>
      <c r="C52" s="171" t="s">
        <v>143</v>
      </c>
      <c r="D52" s="171" t="s">
        <v>66</v>
      </c>
      <c r="E52" s="21"/>
      <c r="F52" s="119">
        <f>IFERROR(VLOOKUP(B52,'Them gio'!$B$5:$H$38,3,0),0)</f>
        <v>0</v>
      </c>
      <c r="G52" s="119">
        <f>IFERROR(VLOOKUP(B52,'Them gio'!$B$5:$H$38,7,0),0)</f>
        <v>0</v>
      </c>
      <c r="H52" s="119"/>
      <c r="I52" s="21"/>
      <c r="J52" s="120">
        <f t="shared" si="0"/>
        <v>0</v>
      </c>
      <c r="K52" s="181">
        <f t="shared" si="2"/>
        <v>0</v>
      </c>
      <c r="L52" s="21"/>
      <c r="M52" s="185">
        <f t="shared" si="1"/>
        <v>0</v>
      </c>
    </row>
    <row r="53" spans="1:13" ht="18" customHeight="1" x14ac:dyDescent="0.3">
      <c r="A53" s="22">
        <v>0</v>
      </c>
      <c r="B53" s="171" t="s">
        <v>40</v>
      </c>
      <c r="C53" s="171" t="s">
        <v>144</v>
      </c>
      <c r="D53" s="171"/>
      <c r="E53" s="21"/>
      <c r="F53" s="119">
        <f>IFERROR(VLOOKUP(B53,'Them gio'!$B$5:$H$38,3,0),0)</f>
        <v>0</v>
      </c>
      <c r="G53" s="119">
        <f>IFERROR(VLOOKUP(B53,'Them gio'!$B$5:$H$38,7,0),0)</f>
        <v>0</v>
      </c>
      <c r="H53" s="119"/>
      <c r="I53" s="21"/>
      <c r="J53" s="120">
        <f t="shared" si="0"/>
        <v>0</v>
      </c>
      <c r="K53" s="181">
        <f t="shared" si="2"/>
        <v>0</v>
      </c>
      <c r="L53" s="21"/>
      <c r="M53" s="185">
        <f t="shared" si="1"/>
        <v>0</v>
      </c>
    </row>
    <row r="54" spans="1:13" ht="18" customHeight="1" x14ac:dyDescent="0.3">
      <c r="A54" s="22">
        <v>1</v>
      </c>
      <c r="B54" s="171" t="s">
        <v>145</v>
      </c>
      <c r="C54" s="171" t="s">
        <v>146</v>
      </c>
      <c r="D54" s="171" t="s">
        <v>115</v>
      </c>
      <c r="E54" s="21">
        <v>3000000</v>
      </c>
      <c r="F54" s="119">
        <f>IFERROR(VLOOKUP(B54,'Them gio'!$B$5:$H$38,3,0),0)</f>
        <v>2214273</v>
      </c>
      <c r="G54" s="119">
        <f>IFERROR(VLOOKUP(B54,'Them gio'!$B$5:$H$38,7,0),0)</f>
        <v>1660704</v>
      </c>
      <c r="H54" s="119"/>
      <c r="I54" s="21"/>
      <c r="J54" s="120">
        <f t="shared" si="0"/>
        <v>5214273</v>
      </c>
      <c r="K54" s="181">
        <f t="shared" si="2"/>
        <v>1660704</v>
      </c>
      <c r="L54" s="21"/>
      <c r="M54" s="185">
        <f t="shared" si="1"/>
        <v>3000000</v>
      </c>
    </row>
    <row r="55" spans="1:13" ht="18" customHeight="1" x14ac:dyDescent="0.3">
      <c r="A55" s="22">
        <v>2</v>
      </c>
      <c r="B55" s="171" t="s">
        <v>147</v>
      </c>
      <c r="C55" s="171" t="s">
        <v>148</v>
      </c>
      <c r="D55" s="171" t="s">
        <v>61</v>
      </c>
      <c r="E55" s="21">
        <v>1000000</v>
      </c>
      <c r="F55" s="119">
        <f>IFERROR(VLOOKUP(B55,'Them gio'!$B$5:$H$38,3,0),0)</f>
        <v>1483409</v>
      </c>
      <c r="G55" s="119">
        <f>IFERROR(VLOOKUP(B55,'Them gio'!$B$5:$H$38,7,0),0)</f>
        <v>964216</v>
      </c>
      <c r="H55" s="119"/>
      <c r="I55" s="21"/>
      <c r="J55" s="120">
        <f t="shared" si="0"/>
        <v>2483409</v>
      </c>
      <c r="K55" s="181">
        <f t="shared" si="2"/>
        <v>964216</v>
      </c>
      <c r="L55" s="21"/>
      <c r="M55" s="185">
        <f t="shared" si="1"/>
        <v>1000000</v>
      </c>
    </row>
    <row r="56" spans="1:13" ht="18" customHeight="1" x14ac:dyDescent="0.3">
      <c r="A56" s="22">
        <v>3</v>
      </c>
      <c r="B56" s="171" t="s">
        <v>149</v>
      </c>
      <c r="C56" s="171" t="s">
        <v>150</v>
      </c>
      <c r="D56" s="171" t="s">
        <v>66</v>
      </c>
      <c r="E56" s="21">
        <v>2000000</v>
      </c>
      <c r="F56" s="119">
        <f>IFERROR(VLOOKUP(B56,'Them gio'!$B$5:$H$38,3,0),0)</f>
        <v>1019449</v>
      </c>
      <c r="G56" s="119">
        <f>IFERROR(VLOOKUP(B56,'Them gio'!$B$5:$H$38,7,0),0)</f>
        <v>709182</v>
      </c>
      <c r="H56" s="119"/>
      <c r="I56" s="21"/>
      <c r="J56" s="120">
        <f t="shared" si="0"/>
        <v>3019449</v>
      </c>
      <c r="K56" s="181">
        <f t="shared" si="2"/>
        <v>709182</v>
      </c>
      <c r="L56" s="21"/>
      <c r="M56" s="185">
        <f t="shared" si="1"/>
        <v>2000000</v>
      </c>
    </row>
    <row r="57" spans="1:13" ht="18" customHeight="1" x14ac:dyDescent="0.3">
      <c r="A57" s="22">
        <v>4</v>
      </c>
      <c r="B57" s="171" t="s">
        <v>151</v>
      </c>
      <c r="C57" s="171" t="s">
        <v>152</v>
      </c>
      <c r="D57" s="171" t="s">
        <v>66</v>
      </c>
      <c r="E57" s="21">
        <v>5000000</v>
      </c>
      <c r="F57" s="119">
        <f>IFERROR(VLOOKUP(B57,'Them gio'!$B$5:$H$38,3,0),0)</f>
        <v>567136</v>
      </c>
      <c r="G57" s="119">
        <f>IFERROR(VLOOKUP(B57,'Them gio'!$B$5:$H$38,7,0),0)</f>
        <v>567136</v>
      </c>
      <c r="H57" s="119"/>
      <c r="I57" s="21"/>
      <c r="J57" s="120">
        <f t="shared" si="0"/>
        <v>5567136</v>
      </c>
      <c r="K57" s="181">
        <f t="shared" si="2"/>
        <v>567136</v>
      </c>
      <c r="L57" s="21"/>
      <c r="M57" s="185">
        <f t="shared" si="1"/>
        <v>5000000</v>
      </c>
    </row>
    <row r="58" spans="1:13" ht="18" customHeight="1" x14ac:dyDescent="0.3">
      <c r="A58" s="22">
        <v>5</v>
      </c>
      <c r="B58" s="171" t="s">
        <v>153</v>
      </c>
      <c r="C58" s="171" t="s">
        <v>154</v>
      </c>
      <c r="D58" s="171" t="s">
        <v>66</v>
      </c>
      <c r="E58" s="21">
        <v>2000000</v>
      </c>
      <c r="F58" s="119">
        <f>IFERROR(VLOOKUP(B58,'Them gio'!$B$5:$H$38,3,0),0)</f>
        <v>1701409</v>
      </c>
      <c r="G58" s="119">
        <f>IFERROR(VLOOKUP(B58,'Them gio'!$B$5:$H$38,7,0),0)</f>
        <v>1134272</v>
      </c>
      <c r="H58" s="119"/>
      <c r="I58" s="21"/>
      <c r="J58" s="120">
        <f t="shared" si="0"/>
        <v>3701409</v>
      </c>
      <c r="K58" s="181">
        <f t="shared" si="2"/>
        <v>1134272</v>
      </c>
      <c r="L58" s="21"/>
      <c r="M58" s="185">
        <f t="shared" si="1"/>
        <v>2000000</v>
      </c>
    </row>
    <row r="59" spans="1:13" ht="18" customHeight="1" x14ac:dyDescent="0.3">
      <c r="A59" s="22">
        <v>6</v>
      </c>
      <c r="B59" s="171" t="s">
        <v>161</v>
      </c>
      <c r="C59" s="171" t="s">
        <v>162</v>
      </c>
      <c r="D59" s="171" t="s">
        <v>66</v>
      </c>
      <c r="E59" s="21">
        <v>5000000</v>
      </c>
      <c r="F59" s="119">
        <f>IFERROR(VLOOKUP(B59,'Them gio'!$B$5:$H$38,3,0),0)</f>
        <v>667534</v>
      </c>
      <c r="G59" s="119">
        <f>IFERROR(VLOOKUP(B59,'Them gio'!$B$5:$H$38,7,0),0)</f>
        <v>667534</v>
      </c>
      <c r="H59" s="119"/>
      <c r="I59" s="21"/>
      <c r="J59" s="120">
        <f t="shared" si="0"/>
        <v>5667534</v>
      </c>
      <c r="K59" s="181">
        <f t="shared" si="2"/>
        <v>667534</v>
      </c>
      <c r="L59" s="21"/>
      <c r="M59" s="185">
        <f t="shared" si="1"/>
        <v>5000000</v>
      </c>
    </row>
    <row r="60" spans="1:13" ht="18" customHeight="1" x14ac:dyDescent="0.3">
      <c r="A60" s="22">
        <v>7</v>
      </c>
      <c r="B60" s="171" t="s">
        <v>155</v>
      </c>
      <c r="C60" s="171" t="s">
        <v>156</v>
      </c>
      <c r="D60" s="171" t="s">
        <v>66</v>
      </c>
      <c r="E60" s="21">
        <v>3000000</v>
      </c>
      <c r="F60" s="119">
        <f>IFERROR(VLOOKUP(B60,'Them gio'!$B$5:$H$38,3,0),0)</f>
        <v>400960</v>
      </c>
      <c r="G60" s="119">
        <f>IFERROR(VLOOKUP(B60,'Them gio'!$B$5:$H$38,7,0),0)</f>
        <v>400960</v>
      </c>
      <c r="H60" s="119"/>
      <c r="I60" s="21"/>
      <c r="J60" s="120">
        <f t="shared" si="0"/>
        <v>3400960</v>
      </c>
      <c r="K60" s="181">
        <f t="shared" si="2"/>
        <v>400960</v>
      </c>
      <c r="L60" s="21"/>
      <c r="M60" s="185">
        <f t="shared" si="1"/>
        <v>3000000</v>
      </c>
    </row>
    <row r="61" spans="1:13" ht="18" customHeight="1" x14ac:dyDescent="0.3">
      <c r="A61" s="22">
        <v>8</v>
      </c>
      <c r="B61" s="171" t="s">
        <v>157</v>
      </c>
      <c r="C61" s="171" t="s">
        <v>158</v>
      </c>
      <c r="D61" s="171" t="s">
        <v>66</v>
      </c>
      <c r="E61" s="21">
        <f>5000000+4000000</f>
        <v>9000000</v>
      </c>
      <c r="F61" s="119">
        <f>IFERROR(VLOOKUP(B61,'Them gio'!$B$5:$H$38,3,0),0)</f>
        <v>1289847</v>
      </c>
      <c r="G61" s="119">
        <f>IFERROR(VLOOKUP(B61,'Them gio'!$B$5:$H$38,7,0),0)</f>
        <v>956983</v>
      </c>
      <c r="H61" s="119"/>
      <c r="I61" s="21"/>
      <c r="J61" s="120">
        <f t="shared" si="0"/>
        <v>10289847</v>
      </c>
      <c r="K61" s="181">
        <f t="shared" si="2"/>
        <v>956983</v>
      </c>
      <c r="L61" s="21"/>
      <c r="M61" s="185">
        <f t="shared" si="1"/>
        <v>9000000</v>
      </c>
    </row>
    <row r="62" spans="1:13" ht="18" customHeight="1" x14ac:dyDescent="0.3">
      <c r="A62" s="22">
        <v>9</v>
      </c>
      <c r="B62" s="171" t="s">
        <v>159</v>
      </c>
      <c r="C62" s="171" t="s">
        <v>160</v>
      </c>
      <c r="D62" s="171" t="s">
        <v>66</v>
      </c>
      <c r="E62" s="21">
        <v>3000000</v>
      </c>
      <c r="F62" s="119">
        <f>IFERROR(VLOOKUP(B62,'Them gio'!$B$5:$H$38,3,0),0)</f>
        <v>627528</v>
      </c>
      <c r="G62" s="119">
        <f>IFERROR(VLOOKUP(B62,'Them gio'!$B$5:$H$38,7,0),0)</f>
        <v>627528</v>
      </c>
      <c r="H62" s="119"/>
      <c r="I62" s="21"/>
      <c r="J62" s="120">
        <f t="shared" si="0"/>
        <v>3627528</v>
      </c>
      <c r="K62" s="181">
        <f t="shared" si="2"/>
        <v>627528</v>
      </c>
      <c r="L62" s="21"/>
      <c r="M62" s="185">
        <f t="shared" si="1"/>
        <v>3000000</v>
      </c>
    </row>
    <row r="63" spans="1:13" ht="18" customHeight="1" x14ac:dyDescent="0.3">
      <c r="A63" s="22">
        <v>0</v>
      </c>
      <c r="B63" s="171" t="s">
        <v>40</v>
      </c>
      <c r="C63" s="171" t="s">
        <v>163</v>
      </c>
      <c r="D63" s="171"/>
      <c r="E63" s="21"/>
      <c r="F63" s="119">
        <f>IFERROR(VLOOKUP(B63,'Them gio'!$B$5:$H$38,3,0),0)</f>
        <v>0</v>
      </c>
      <c r="G63" s="119">
        <f>IFERROR(VLOOKUP(B63,'Them gio'!$B$5:$H$38,7,0),0)</f>
        <v>0</v>
      </c>
      <c r="H63" s="119"/>
      <c r="I63" s="21"/>
      <c r="J63" s="120">
        <f t="shared" si="0"/>
        <v>0</v>
      </c>
      <c r="K63" s="181">
        <f t="shared" si="2"/>
        <v>0</v>
      </c>
      <c r="L63" s="21"/>
      <c r="M63" s="185">
        <f t="shared" si="1"/>
        <v>0</v>
      </c>
    </row>
    <row r="64" spans="1:13" ht="18" customHeight="1" x14ac:dyDescent="0.3">
      <c r="A64" s="22">
        <v>1</v>
      </c>
      <c r="B64" s="171" t="s">
        <v>164</v>
      </c>
      <c r="C64" s="171" t="s">
        <v>165</v>
      </c>
      <c r="D64" s="171"/>
      <c r="E64" s="21"/>
      <c r="F64" s="119">
        <f>IFERROR(VLOOKUP(B64,'Them gio'!$B$5:$H$38,3,0),0)</f>
        <v>2029750</v>
      </c>
      <c r="G64" s="119">
        <f>IFERROR(VLOOKUP(B64,'Them gio'!$B$5:$H$38,7,0),0)</f>
        <v>1845228</v>
      </c>
      <c r="H64" s="119"/>
      <c r="I64" s="21"/>
      <c r="J64" s="120">
        <f t="shared" si="0"/>
        <v>2029750</v>
      </c>
      <c r="K64" s="181">
        <f t="shared" si="2"/>
        <v>1845228</v>
      </c>
      <c r="L64" s="21"/>
      <c r="M64" s="185">
        <f t="shared" si="1"/>
        <v>0</v>
      </c>
    </row>
    <row r="65" spans="1:13" ht="18" customHeight="1" x14ac:dyDescent="0.3">
      <c r="A65" s="22">
        <v>2</v>
      </c>
      <c r="B65" s="171" t="s">
        <v>166</v>
      </c>
      <c r="C65" s="171" t="s">
        <v>167</v>
      </c>
      <c r="D65" s="171" t="s">
        <v>61</v>
      </c>
      <c r="E65" s="21">
        <v>3000000</v>
      </c>
      <c r="F65" s="119">
        <f>IFERROR(VLOOKUP(B65,'Them gio'!$B$5:$H$38,3,0),0)</f>
        <v>956136</v>
      </c>
      <c r="G65" s="119">
        <f>IFERROR(VLOOKUP(B65,'Them gio'!$B$5:$H$38,7,0),0)</f>
        <v>478068</v>
      </c>
      <c r="H65" s="119"/>
      <c r="I65" s="21"/>
      <c r="J65" s="120">
        <f t="shared" si="0"/>
        <v>3956136</v>
      </c>
      <c r="K65" s="181">
        <f t="shared" si="2"/>
        <v>478068</v>
      </c>
      <c r="L65" s="21"/>
      <c r="M65" s="185">
        <f t="shared" si="1"/>
        <v>3000000</v>
      </c>
    </row>
    <row r="66" spans="1:13" ht="18" customHeight="1" x14ac:dyDescent="0.3">
      <c r="A66" s="22">
        <v>3</v>
      </c>
      <c r="B66" s="171" t="s">
        <v>188</v>
      </c>
      <c r="C66" s="171" t="s">
        <v>189</v>
      </c>
      <c r="D66" s="171" t="s">
        <v>66</v>
      </c>
      <c r="E66" s="21"/>
      <c r="F66" s="119">
        <f>IFERROR(VLOOKUP(B66,'Them gio'!$B$5:$H$38,3,0),0)</f>
        <v>0</v>
      </c>
      <c r="G66" s="119">
        <f>IFERROR(VLOOKUP(B66,'Them gio'!$B$5:$H$38,7,0),0)</f>
        <v>0</v>
      </c>
      <c r="H66" s="119"/>
      <c r="I66" s="21"/>
      <c r="J66" s="120">
        <f t="shared" si="0"/>
        <v>0</v>
      </c>
      <c r="K66" s="181">
        <f t="shared" si="2"/>
        <v>0</v>
      </c>
      <c r="L66" s="21"/>
      <c r="M66" s="185">
        <f t="shared" si="1"/>
        <v>0</v>
      </c>
    </row>
    <row r="67" spans="1:13" ht="18" customHeight="1" x14ac:dyDescent="0.3">
      <c r="A67" s="22">
        <v>4</v>
      </c>
      <c r="B67" s="171" t="s">
        <v>172</v>
      </c>
      <c r="C67" s="171" t="s">
        <v>173</v>
      </c>
      <c r="D67" s="171" t="s">
        <v>66</v>
      </c>
      <c r="E67" s="21"/>
      <c r="F67" s="119">
        <f>IFERROR(VLOOKUP(B67,'Them gio'!$B$5:$H$38,3,0),0)</f>
        <v>0</v>
      </c>
      <c r="G67" s="119">
        <f>IFERROR(VLOOKUP(B67,'Them gio'!$B$5:$H$38,7,0),0)</f>
        <v>0</v>
      </c>
      <c r="H67" s="119"/>
      <c r="I67" s="21"/>
      <c r="J67" s="120">
        <f t="shared" ref="J67:J130" si="4">E67+F67</f>
        <v>0</v>
      </c>
      <c r="K67" s="181">
        <f t="shared" ref="K67:K130" si="5">G67</f>
        <v>0</v>
      </c>
      <c r="L67" s="21"/>
      <c r="M67" s="185">
        <f t="shared" ref="M67:M130" si="6">E67</f>
        <v>0</v>
      </c>
    </row>
    <row r="68" spans="1:13" ht="18" customHeight="1" x14ac:dyDescent="0.3">
      <c r="A68" s="22">
        <v>5</v>
      </c>
      <c r="B68" s="171" t="s">
        <v>168</v>
      </c>
      <c r="C68" s="171" t="s">
        <v>169</v>
      </c>
      <c r="D68" s="171" t="s">
        <v>66</v>
      </c>
      <c r="E68" s="21"/>
      <c r="F68" s="119">
        <f>IFERROR(VLOOKUP(B68,'Them gio'!$B$5:$H$38,3,0),0)</f>
        <v>0</v>
      </c>
      <c r="G68" s="119">
        <f>IFERROR(VLOOKUP(B68,'Them gio'!$B$5:$H$38,7,0),0)</f>
        <v>0</v>
      </c>
      <c r="H68" s="119"/>
      <c r="I68" s="21"/>
      <c r="J68" s="120">
        <f t="shared" si="4"/>
        <v>0</v>
      </c>
      <c r="K68" s="181">
        <f t="shared" si="5"/>
        <v>0</v>
      </c>
      <c r="L68" s="21"/>
      <c r="M68" s="185">
        <f t="shared" si="6"/>
        <v>0</v>
      </c>
    </row>
    <row r="69" spans="1:13" ht="18" customHeight="1" x14ac:dyDescent="0.3">
      <c r="A69" s="22">
        <v>6</v>
      </c>
      <c r="B69" s="171" t="s">
        <v>170</v>
      </c>
      <c r="C69" s="171" t="s">
        <v>171</v>
      </c>
      <c r="D69" s="171" t="s">
        <v>66</v>
      </c>
      <c r="E69" s="21"/>
      <c r="F69" s="119">
        <f>IFERROR(VLOOKUP(B69,'Them gio'!$B$5:$H$38,3,0),0)</f>
        <v>0</v>
      </c>
      <c r="G69" s="119">
        <f>IFERROR(VLOOKUP(B69,'Them gio'!$B$5:$H$38,7,0),0)</f>
        <v>0</v>
      </c>
      <c r="H69" s="119"/>
      <c r="I69" s="21"/>
      <c r="J69" s="120">
        <f t="shared" si="4"/>
        <v>0</v>
      </c>
      <c r="K69" s="181">
        <f t="shared" si="5"/>
        <v>0</v>
      </c>
      <c r="L69" s="21"/>
      <c r="M69" s="185">
        <f t="shared" si="6"/>
        <v>0</v>
      </c>
    </row>
    <row r="70" spans="1:13" ht="18" customHeight="1" x14ac:dyDescent="0.3">
      <c r="A70" s="22">
        <v>7</v>
      </c>
      <c r="B70" s="164" t="s">
        <v>826</v>
      </c>
      <c r="C70" s="164" t="s">
        <v>827</v>
      </c>
      <c r="D70" s="164" t="s">
        <v>66</v>
      </c>
      <c r="E70" s="21"/>
      <c r="F70" s="119">
        <f>IFERROR(VLOOKUP(B70,'Them gio'!$B$5:$H$38,3,0),0)</f>
        <v>0</v>
      </c>
      <c r="G70" s="119">
        <f>IFERROR(VLOOKUP(B70,'Them gio'!$B$5:$H$38,7,0),0)</f>
        <v>0</v>
      </c>
      <c r="H70" s="119"/>
      <c r="I70" s="21"/>
      <c r="J70" s="120">
        <f t="shared" si="4"/>
        <v>0</v>
      </c>
      <c r="K70" s="181">
        <f t="shared" si="5"/>
        <v>0</v>
      </c>
      <c r="L70" s="21"/>
      <c r="M70" s="185">
        <f t="shared" si="6"/>
        <v>0</v>
      </c>
    </row>
    <row r="71" spans="1:13" ht="18" customHeight="1" x14ac:dyDescent="0.3">
      <c r="A71" s="22">
        <v>0</v>
      </c>
      <c r="B71" s="171" t="s">
        <v>40</v>
      </c>
      <c r="C71" s="171" t="s">
        <v>176</v>
      </c>
      <c r="D71" s="171"/>
      <c r="E71" s="21"/>
      <c r="F71" s="119">
        <f>IFERROR(VLOOKUP(B71,'Them gio'!$B$5:$H$38,3,0),0)</f>
        <v>0</v>
      </c>
      <c r="G71" s="119">
        <f>IFERROR(VLOOKUP(B71,'Them gio'!$B$5:$H$38,7,0),0)</f>
        <v>0</v>
      </c>
      <c r="H71" s="119"/>
      <c r="I71" s="21"/>
      <c r="J71" s="120">
        <f t="shared" si="4"/>
        <v>0</v>
      </c>
      <c r="K71" s="181">
        <f t="shared" si="5"/>
        <v>0</v>
      </c>
      <c r="L71" s="21"/>
      <c r="M71" s="185">
        <f t="shared" si="6"/>
        <v>0</v>
      </c>
    </row>
    <row r="72" spans="1:13" ht="18" customHeight="1" x14ac:dyDescent="0.3">
      <c r="A72" s="22">
        <v>1</v>
      </c>
      <c r="B72" s="171" t="s">
        <v>56</v>
      </c>
      <c r="C72" s="171" t="s">
        <v>57</v>
      </c>
      <c r="D72" s="171" t="s">
        <v>823</v>
      </c>
      <c r="E72" s="26">
        <f>ROUND(10000000/14,0)+5000000+2000000</f>
        <v>7714286</v>
      </c>
      <c r="F72" s="119">
        <f>IFERROR(VLOOKUP(B72,'Them gio'!$B$5:$H$38,3,0),0)</f>
        <v>1291659</v>
      </c>
      <c r="G72" s="119">
        <f>IFERROR(VLOOKUP(B72,'Them gio'!$B$5:$H$38,7,0),0)</f>
        <v>922613</v>
      </c>
      <c r="H72" s="119"/>
      <c r="I72" s="21"/>
      <c r="J72" s="120">
        <f t="shared" si="4"/>
        <v>9005945</v>
      </c>
      <c r="K72" s="181">
        <f t="shared" si="5"/>
        <v>922613</v>
      </c>
      <c r="L72" s="21"/>
      <c r="M72" s="185">
        <f t="shared" si="6"/>
        <v>7714286</v>
      </c>
    </row>
    <row r="73" spans="1:13" ht="18" customHeight="1" x14ac:dyDescent="0.3">
      <c r="A73" s="22">
        <v>2</v>
      </c>
      <c r="B73" s="171" t="s">
        <v>184</v>
      </c>
      <c r="C73" s="171" t="s">
        <v>185</v>
      </c>
      <c r="D73" s="171" t="s">
        <v>181</v>
      </c>
      <c r="E73" s="26">
        <f>ROUND(10000000/14,0)+1000000</f>
        <v>1714286</v>
      </c>
      <c r="F73" s="119">
        <f>IFERROR(VLOOKUP(B73,'Them gio'!$B$5:$H$38,3,0),0)</f>
        <v>1229318</v>
      </c>
      <c r="G73" s="119">
        <f>IFERROR(VLOOKUP(B73,'Them gio'!$B$5:$H$38,7,0),0)</f>
        <v>819546</v>
      </c>
      <c r="H73" s="119"/>
      <c r="I73" s="21"/>
      <c r="J73" s="120">
        <f t="shared" si="4"/>
        <v>2943604</v>
      </c>
      <c r="K73" s="181">
        <f t="shared" si="5"/>
        <v>819546</v>
      </c>
      <c r="L73" s="21"/>
      <c r="M73" s="185">
        <f t="shared" si="6"/>
        <v>1714286</v>
      </c>
    </row>
    <row r="74" spans="1:13" ht="18" customHeight="1" x14ac:dyDescent="0.3">
      <c r="A74" s="22">
        <v>3</v>
      </c>
      <c r="B74" s="171" t="s">
        <v>179</v>
      </c>
      <c r="C74" s="171" t="s">
        <v>180</v>
      </c>
      <c r="D74" s="171" t="s">
        <v>181</v>
      </c>
      <c r="E74" s="26">
        <f>ROUND(10000000/14,0)+1000000</f>
        <v>1714286</v>
      </c>
      <c r="F74" s="119">
        <f>IFERROR(VLOOKUP(B74,'Them gio'!$B$5:$H$38,3,0),0)</f>
        <v>1631750</v>
      </c>
      <c r="G74" s="119">
        <f>IFERROR(VLOOKUP(B74,'Them gio'!$B$5:$H$38,7,0),0)</f>
        <v>1038387</v>
      </c>
      <c r="H74" s="119"/>
      <c r="I74" s="21"/>
      <c r="J74" s="120">
        <f t="shared" si="4"/>
        <v>3346036</v>
      </c>
      <c r="K74" s="181">
        <f t="shared" si="5"/>
        <v>1038387</v>
      </c>
      <c r="L74" s="21"/>
      <c r="M74" s="185">
        <f t="shared" si="6"/>
        <v>1714286</v>
      </c>
    </row>
    <row r="75" spans="1:13" s="24" customFormat="1" ht="18" customHeight="1" x14ac:dyDescent="0.3">
      <c r="A75" s="22">
        <v>4</v>
      </c>
      <c r="B75" s="171" t="s">
        <v>182</v>
      </c>
      <c r="C75" s="171" t="s">
        <v>183</v>
      </c>
      <c r="D75" s="171" t="s">
        <v>181</v>
      </c>
      <c r="E75" s="26">
        <f>ROUND(10000000/14,0)+1000000</f>
        <v>1714286</v>
      </c>
      <c r="F75" s="119">
        <f>IFERROR(VLOOKUP(B75,'Them gio'!$B$5:$H$38,3,0),0)</f>
        <v>682955</v>
      </c>
      <c r="G75" s="119">
        <f>IFERROR(VLOOKUP(B75,'Them gio'!$B$5:$H$38,7,0),0)</f>
        <v>546364</v>
      </c>
      <c r="H75" s="119"/>
      <c r="I75" s="21"/>
      <c r="J75" s="120">
        <f t="shared" si="4"/>
        <v>2397241</v>
      </c>
      <c r="K75" s="181">
        <f t="shared" si="5"/>
        <v>546364</v>
      </c>
      <c r="L75" s="21"/>
      <c r="M75" s="185">
        <f t="shared" si="6"/>
        <v>1714286</v>
      </c>
    </row>
    <row r="76" spans="1:13" ht="18" customHeight="1" x14ac:dyDescent="0.3">
      <c r="A76" s="22">
        <v>5</v>
      </c>
      <c r="B76" s="171" t="s">
        <v>186</v>
      </c>
      <c r="C76" s="171" t="s">
        <v>187</v>
      </c>
      <c r="D76" s="171" t="s">
        <v>66</v>
      </c>
      <c r="E76" s="26">
        <f t="shared" ref="E76:E85" si="7">ROUND(10000000/14,0)</f>
        <v>714286</v>
      </c>
      <c r="F76" s="119">
        <f>IFERROR(VLOOKUP(B76,'Them gio'!$B$5:$H$38,3,0),0)</f>
        <v>0</v>
      </c>
      <c r="G76" s="119">
        <f>IFERROR(VLOOKUP(B76,'Them gio'!$B$5:$H$38,7,0),0)</f>
        <v>0</v>
      </c>
      <c r="H76" s="119"/>
      <c r="I76" s="21"/>
      <c r="J76" s="120">
        <f t="shared" si="4"/>
        <v>714286</v>
      </c>
      <c r="K76" s="181">
        <f t="shared" si="5"/>
        <v>0</v>
      </c>
      <c r="L76" s="21"/>
      <c r="M76" s="185">
        <f t="shared" si="6"/>
        <v>714286</v>
      </c>
    </row>
    <row r="77" spans="1:13" ht="18" customHeight="1" x14ac:dyDescent="0.3">
      <c r="A77" s="22">
        <v>6</v>
      </c>
      <c r="B77" s="171" t="s">
        <v>190</v>
      </c>
      <c r="C77" s="171" t="s">
        <v>191</v>
      </c>
      <c r="D77" s="171" t="s">
        <v>66</v>
      </c>
      <c r="E77" s="26">
        <f t="shared" si="7"/>
        <v>714286</v>
      </c>
      <c r="F77" s="119">
        <f>IFERROR(VLOOKUP(B77,'Them gio'!$B$5:$H$38,3,0),0)</f>
        <v>0</v>
      </c>
      <c r="G77" s="119">
        <f>IFERROR(VLOOKUP(B77,'Them gio'!$B$5:$H$38,7,0),0)</f>
        <v>0</v>
      </c>
      <c r="H77" s="119"/>
      <c r="I77" s="21"/>
      <c r="J77" s="120">
        <f t="shared" si="4"/>
        <v>714286</v>
      </c>
      <c r="K77" s="181">
        <f t="shared" si="5"/>
        <v>0</v>
      </c>
      <c r="L77" s="21"/>
      <c r="M77" s="185">
        <f t="shared" si="6"/>
        <v>714286</v>
      </c>
    </row>
    <row r="78" spans="1:13" ht="18" customHeight="1" x14ac:dyDescent="0.3">
      <c r="A78" s="22">
        <v>7</v>
      </c>
      <c r="B78" s="171" t="s">
        <v>192</v>
      </c>
      <c r="C78" s="171" t="s">
        <v>193</v>
      </c>
      <c r="D78" s="171" t="s">
        <v>66</v>
      </c>
      <c r="E78" s="26">
        <f t="shared" si="7"/>
        <v>714286</v>
      </c>
      <c r="F78" s="119">
        <f>IFERROR(VLOOKUP(B78,'Them gio'!$B$5:$H$38,3,0),0)</f>
        <v>0</v>
      </c>
      <c r="G78" s="119">
        <f>IFERROR(VLOOKUP(B78,'Them gio'!$B$5:$H$38,7,0),0)</f>
        <v>0</v>
      </c>
      <c r="H78" s="119"/>
      <c r="I78" s="21"/>
      <c r="J78" s="120">
        <f t="shared" si="4"/>
        <v>714286</v>
      </c>
      <c r="K78" s="181">
        <f t="shared" si="5"/>
        <v>0</v>
      </c>
      <c r="L78" s="21"/>
      <c r="M78" s="185">
        <f t="shared" si="6"/>
        <v>714286</v>
      </c>
    </row>
    <row r="79" spans="1:13" ht="18" customHeight="1" x14ac:dyDescent="0.3">
      <c r="A79" s="22">
        <v>8</v>
      </c>
      <c r="B79" s="171" t="s">
        <v>194</v>
      </c>
      <c r="C79" s="171" t="s">
        <v>195</v>
      </c>
      <c r="D79" s="171" t="s">
        <v>66</v>
      </c>
      <c r="E79" s="26">
        <f t="shared" si="7"/>
        <v>714286</v>
      </c>
      <c r="F79" s="119">
        <f>IFERROR(VLOOKUP(B79,'Them gio'!$B$5:$H$38,3,0),0)</f>
        <v>0</v>
      </c>
      <c r="G79" s="119">
        <f>IFERROR(VLOOKUP(B79,'Them gio'!$B$5:$H$38,7,0),0)</f>
        <v>0</v>
      </c>
      <c r="H79" s="119"/>
      <c r="I79" s="21"/>
      <c r="J79" s="120">
        <f t="shared" si="4"/>
        <v>714286</v>
      </c>
      <c r="K79" s="181">
        <f t="shared" si="5"/>
        <v>0</v>
      </c>
      <c r="L79" s="21"/>
      <c r="M79" s="185">
        <f t="shared" si="6"/>
        <v>714286</v>
      </c>
    </row>
    <row r="80" spans="1:13" ht="18" customHeight="1" x14ac:dyDescent="0.3">
      <c r="A80" s="22">
        <v>9</v>
      </c>
      <c r="B80" s="171" t="s">
        <v>196</v>
      </c>
      <c r="C80" s="171" t="s">
        <v>197</v>
      </c>
      <c r="D80" s="171" t="s">
        <v>66</v>
      </c>
      <c r="E80" s="26">
        <f t="shared" si="7"/>
        <v>714286</v>
      </c>
      <c r="F80" s="119">
        <f>IFERROR(VLOOKUP(B80,'Them gio'!$B$5:$H$38,3,0),0)</f>
        <v>0</v>
      </c>
      <c r="G80" s="119">
        <f>IFERROR(VLOOKUP(B80,'Them gio'!$B$5:$H$38,7,0),0)</f>
        <v>0</v>
      </c>
      <c r="H80" s="119"/>
      <c r="I80" s="21"/>
      <c r="J80" s="120">
        <f t="shared" si="4"/>
        <v>714286</v>
      </c>
      <c r="K80" s="181">
        <f t="shared" si="5"/>
        <v>0</v>
      </c>
      <c r="L80" s="21"/>
      <c r="M80" s="185">
        <f t="shared" si="6"/>
        <v>714286</v>
      </c>
    </row>
    <row r="81" spans="1:13" ht="18" customHeight="1" x14ac:dyDescent="0.3">
      <c r="A81" s="22">
        <v>10</v>
      </c>
      <c r="B81" s="171" t="s">
        <v>198</v>
      </c>
      <c r="C81" s="171" t="s">
        <v>199</v>
      </c>
      <c r="D81" s="171" t="s">
        <v>200</v>
      </c>
      <c r="E81" s="26">
        <f t="shared" si="7"/>
        <v>714286</v>
      </c>
      <c r="F81" s="119">
        <f>IFERROR(VLOOKUP(B81,'Them gio'!$B$5:$H$38,3,0),0)</f>
        <v>0</v>
      </c>
      <c r="G81" s="119">
        <f>IFERROR(VLOOKUP(B81,'Them gio'!$B$5:$H$38,7,0),0)</f>
        <v>0</v>
      </c>
      <c r="H81" s="119"/>
      <c r="I81" s="21"/>
      <c r="J81" s="120">
        <f t="shared" si="4"/>
        <v>714286</v>
      </c>
      <c r="K81" s="181">
        <f t="shared" si="5"/>
        <v>0</v>
      </c>
      <c r="L81" s="21"/>
      <c r="M81" s="185">
        <f t="shared" si="6"/>
        <v>714286</v>
      </c>
    </row>
    <row r="82" spans="1:13" ht="18" customHeight="1" x14ac:dyDescent="0.3">
      <c r="A82" s="22">
        <v>11</v>
      </c>
      <c r="B82" s="171" t="s">
        <v>201</v>
      </c>
      <c r="C82" s="171" t="s">
        <v>202</v>
      </c>
      <c r="D82" s="171" t="s">
        <v>200</v>
      </c>
      <c r="E82" s="26">
        <f t="shared" si="7"/>
        <v>714286</v>
      </c>
      <c r="F82" s="119">
        <f>IFERROR(VLOOKUP(B82,'Them gio'!$B$5:$H$38,3,0),0)</f>
        <v>0</v>
      </c>
      <c r="G82" s="119">
        <f>IFERROR(VLOOKUP(B82,'Them gio'!$B$5:$H$38,7,0),0)</f>
        <v>0</v>
      </c>
      <c r="H82" s="119"/>
      <c r="I82" s="21"/>
      <c r="J82" s="120">
        <f t="shared" si="4"/>
        <v>714286</v>
      </c>
      <c r="K82" s="181">
        <f t="shared" si="5"/>
        <v>0</v>
      </c>
      <c r="L82" s="21"/>
      <c r="M82" s="185">
        <f t="shared" si="6"/>
        <v>714286</v>
      </c>
    </row>
    <row r="83" spans="1:13" ht="18" customHeight="1" x14ac:dyDescent="0.3">
      <c r="A83" s="22">
        <v>12</v>
      </c>
      <c r="B83" s="171" t="s">
        <v>203</v>
      </c>
      <c r="C83" s="171" t="s">
        <v>204</v>
      </c>
      <c r="D83" s="171" t="s">
        <v>205</v>
      </c>
      <c r="E83" s="26">
        <f t="shared" si="7"/>
        <v>714286</v>
      </c>
      <c r="F83" s="119">
        <f>IFERROR(VLOOKUP(B83,'Them gio'!$B$5:$H$38,3,0),0)</f>
        <v>0</v>
      </c>
      <c r="G83" s="119">
        <f>IFERROR(VLOOKUP(B83,'Them gio'!$B$5:$H$38,7,0),0)</f>
        <v>0</v>
      </c>
      <c r="H83" s="119"/>
      <c r="I83" s="21"/>
      <c r="J83" s="120">
        <f t="shared" si="4"/>
        <v>714286</v>
      </c>
      <c r="K83" s="181">
        <f t="shared" si="5"/>
        <v>0</v>
      </c>
      <c r="L83" s="21"/>
      <c r="M83" s="185">
        <f t="shared" si="6"/>
        <v>714286</v>
      </c>
    </row>
    <row r="84" spans="1:13" ht="18" customHeight="1" x14ac:dyDescent="0.3">
      <c r="A84" s="22">
        <v>13</v>
      </c>
      <c r="B84" s="171" t="s">
        <v>206</v>
      </c>
      <c r="C84" s="171" t="s">
        <v>207</v>
      </c>
      <c r="D84" s="171" t="s">
        <v>208</v>
      </c>
      <c r="E84" s="26">
        <f>ROUND(10000000/14,0)-4</f>
        <v>714282</v>
      </c>
      <c r="F84" s="119">
        <f>IFERROR(VLOOKUP(B84,'Them gio'!$B$5:$H$38,3,0),0)</f>
        <v>0</v>
      </c>
      <c r="G84" s="119">
        <f>IFERROR(VLOOKUP(B84,'Them gio'!$B$5:$H$38,7,0),0)</f>
        <v>0</v>
      </c>
      <c r="H84" s="119"/>
      <c r="I84" s="21"/>
      <c r="J84" s="120">
        <f t="shared" si="4"/>
        <v>714282</v>
      </c>
      <c r="K84" s="181">
        <f t="shared" si="5"/>
        <v>0</v>
      </c>
      <c r="L84" s="21"/>
      <c r="M84" s="185">
        <f t="shared" si="6"/>
        <v>714282</v>
      </c>
    </row>
    <row r="85" spans="1:13" ht="18" customHeight="1" x14ac:dyDescent="0.3">
      <c r="A85" s="22">
        <v>14</v>
      </c>
      <c r="B85" s="171" t="s">
        <v>209</v>
      </c>
      <c r="C85" s="171" t="s">
        <v>210</v>
      </c>
      <c r="D85" s="171" t="s">
        <v>208</v>
      </c>
      <c r="E85" s="26">
        <f t="shared" si="7"/>
        <v>714286</v>
      </c>
      <c r="F85" s="119">
        <f>IFERROR(VLOOKUP(B85,'Them gio'!$B$5:$H$38,3,0),0)</f>
        <v>0</v>
      </c>
      <c r="G85" s="119">
        <f>IFERROR(VLOOKUP(B85,'Them gio'!$B$5:$H$38,7,0),0)</f>
        <v>0</v>
      </c>
      <c r="H85" s="119"/>
      <c r="I85" s="21"/>
      <c r="J85" s="120">
        <f t="shared" si="4"/>
        <v>714286</v>
      </c>
      <c r="K85" s="181">
        <f t="shared" si="5"/>
        <v>0</v>
      </c>
      <c r="L85" s="21"/>
      <c r="M85" s="185">
        <f t="shared" si="6"/>
        <v>714286</v>
      </c>
    </row>
    <row r="86" spans="1:13" ht="18" customHeight="1" x14ac:dyDescent="0.3">
      <c r="A86" s="22">
        <v>0</v>
      </c>
      <c r="B86" s="171" t="s">
        <v>40</v>
      </c>
      <c r="C86" s="171" t="s">
        <v>211</v>
      </c>
      <c r="D86" s="171"/>
      <c r="E86" s="21"/>
      <c r="F86" s="119">
        <f>IFERROR(VLOOKUP(B86,'Them gio'!$B$5:$H$38,3,0),0)</f>
        <v>0</v>
      </c>
      <c r="G86" s="119">
        <f>IFERROR(VLOOKUP(B86,'Them gio'!$B$5:$H$38,7,0),0)</f>
        <v>0</v>
      </c>
      <c r="H86" s="119"/>
      <c r="I86" s="21"/>
      <c r="J86" s="120">
        <f t="shared" si="4"/>
        <v>0</v>
      </c>
      <c r="K86" s="181">
        <f t="shared" si="5"/>
        <v>0</v>
      </c>
      <c r="L86" s="21"/>
      <c r="M86" s="185">
        <f t="shared" si="6"/>
        <v>0</v>
      </c>
    </row>
    <row r="87" spans="1:13" s="24" customFormat="1" ht="18" customHeight="1" x14ac:dyDescent="0.3">
      <c r="A87" s="25">
        <v>1</v>
      </c>
      <c r="B87" s="235" t="s">
        <v>212</v>
      </c>
      <c r="C87" s="235" t="s">
        <v>213</v>
      </c>
      <c r="D87" s="235" t="s">
        <v>214</v>
      </c>
      <c r="E87" s="26">
        <f>ROUND(10000000/17,0)</f>
        <v>588235</v>
      </c>
      <c r="F87" s="124">
        <f>IFERROR(VLOOKUP(B87,'Them gio'!$B$5:$H$38,3,0),0)</f>
        <v>0</v>
      </c>
      <c r="G87" s="124">
        <f>IFERROR(VLOOKUP(B87,'Them gio'!$B$5:$H$38,7,0),0)</f>
        <v>0</v>
      </c>
      <c r="H87" s="124"/>
      <c r="I87" s="26"/>
      <c r="J87" s="120">
        <f t="shared" si="4"/>
        <v>588235</v>
      </c>
      <c r="K87" s="181">
        <f t="shared" si="5"/>
        <v>0</v>
      </c>
      <c r="L87" s="26"/>
      <c r="M87" s="185">
        <f t="shared" si="6"/>
        <v>588235</v>
      </c>
    </row>
    <row r="88" spans="1:13" s="24" customFormat="1" ht="18" customHeight="1" x14ac:dyDescent="0.3">
      <c r="A88" s="25">
        <v>2</v>
      </c>
      <c r="B88" s="235" t="s">
        <v>215</v>
      </c>
      <c r="C88" s="235" t="s">
        <v>216</v>
      </c>
      <c r="D88" s="235" t="s">
        <v>430</v>
      </c>
      <c r="E88" s="26">
        <f t="shared" ref="E88:E103" si="8">ROUND(10000000/17,0)</f>
        <v>588235</v>
      </c>
      <c r="F88" s="124">
        <f>IFERROR(VLOOKUP(B88,'Them gio'!$B$5:$H$38,3,0),0)</f>
        <v>0</v>
      </c>
      <c r="G88" s="124">
        <f>IFERROR(VLOOKUP(B88,'Them gio'!$B$5:$H$38,7,0),0)</f>
        <v>0</v>
      </c>
      <c r="H88" s="124"/>
      <c r="I88" s="26"/>
      <c r="J88" s="120">
        <f t="shared" si="4"/>
        <v>588235</v>
      </c>
      <c r="K88" s="181">
        <f t="shared" si="5"/>
        <v>0</v>
      </c>
      <c r="L88" s="26"/>
      <c r="M88" s="185">
        <f t="shared" si="6"/>
        <v>588235</v>
      </c>
    </row>
    <row r="89" spans="1:13" s="24" customFormat="1" ht="18" customHeight="1" x14ac:dyDescent="0.3">
      <c r="A89" s="25">
        <v>3</v>
      </c>
      <c r="B89" s="235" t="s">
        <v>239</v>
      </c>
      <c r="C89" s="235" t="s">
        <v>240</v>
      </c>
      <c r="D89" s="235" t="s">
        <v>66</v>
      </c>
      <c r="E89" s="26">
        <f t="shared" si="8"/>
        <v>588235</v>
      </c>
      <c r="F89" s="124">
        <f>IFERROR(VLOOKUP(B89,'Them gio'!$B$5:$H$38,3,0),0)</f>
        <v>0</v>
      </c>
      <c r="G89" s="124">
        <f>IFERROR(VLOOKUP(B89,'Them gio'!$B$5:$H$38,7,0),0)</f>
        <v>0</v>
      </c>
      <c r="H89" s="124"/>
      <c r="I89" s="26"/>
      <c r="J89" s="120">
        <f t="shared" si="4"/>
        <v>588235</v>
      </c>
      <c r="K89" s="181">
        <f t="shared" si="5"/>
        <v>0</v>
      </c>
      <c r="L89" s="26"/>
      <c r="M89" s="185">
        <f t="shared" si="6"/>
        <v>588235</v>
      </c>
    </row>
    <row r="90" spans="1:13" s="24" customFormat="1" ht="18" customHeight="1" x14ac:dyDescent="0.3">
      <c r="A90" s="25">
        <v>4</v>
      </c>
      <c r="B90" s="235" t="s">
        <v>220</v>
      </c>
      <c r="C90" s="235" t="s">
        <v>221</v>
      </c>
      <c r="D90" s="235" t="s">
        <v>217</v>
      </c>
      <c r="E90" s="26">
        <f t="shared" si="8"/>
        <v>588235</v>
      </c>
      <c r="F90" s="124">
        <f>IFERROR(VLOOKUP(B90,'Them gio'!$B$5:$H$38,3,0),0)</f>
        <v>0</v>
      </c>
      <c r="G90" s="124">
        <f>IFERROR(VLOOKUP(B90,'Them gio'!$B$5:$H$38,7,0),0)</f>
        <v>0</v>
      </c>
      <c r="H90" s="124"/>
      <c r="I90" s="26"/>
      <c r="J90" s="120">
        <f t="shared" si="4"/>
        <v>588235</v>
      </c>
      <c r="K90" s="181">
        <f t="shared" si="5"/>
        <v>0</v>
      </c>
      <c r="L90" s="26"/>
      <c r="M90" s="185">
        <f t="shared" si="6"/>
        <v>588235</v>
      </c>
    </row>
    <row r="91" spans="1:13" s="24" customFormat="1" ht="18" customHeight="1" x14ac:dyDescent="0.3">
      <c r="A91" s="25">
        <v>5</v>
      </c>
      <c r="B91" s="235" t="s">
        <v>218</v>
      </c>
      <c r="C91" s="235" t="s">
        <v>219</v>
      </c>
      <c r="D91" s="235" t="s">
        <v>217</v>
      </c>
      <c r="E91" s="26">
        <f t="shared" si="8"/>
        <v>588235</v>
      </c>
      <c r="F91" s="124">
        <f>IFERROR(VLOOKUP(B91,'Them gio'!$B$5:$H$38,3,0),0)</f>
        <v>0</v>
      </c>
      <c r="G91" s="124">
        <f>IFERROR(VLOOKUP(B91,'Them gio'!$B$5:$H$38,7,0),0)</f>
        <v>0</v>
      </c>
      <c r="H91" s="124"/>
      <c r="I91" s="26"/>
      <c r="J91" s="120">
        <f t="shared" si="4"/>
        <v>588235</v>
      </c>
      <c r="K91" s="181">
        <f t="shared" si="5"/>
        <v>0</v>
      </c>
      <c r="L91" s="26"/>
      <c r="M91" s="185">
        <f t="shared" si="6"/>
        <v>588235</v>
      </c>
    </row>
    <row r="92" spans="1:13" s="24" customFormat="1" ht="18" customHeight="1" x14ac:dyDescent="0.3">
      <c r="A92" s="25">
        <v>6</v>
      </c>
      <c r="B92" s="235" t="s">
        <v>230</v>
      </c>
      <c r="C92" s="235" t="s">
        <v>231</v>
      </c>
      <c r="D92" s="235" t="s">
        <v>66</v>
      </c>
      <c r="E92" s="26">
        <f t="shared" si="8"/>
        <v>588235</v>
      </c>
      <c r="F92" s="124">
        <f>IFERROR(VLOOKUP(B92,'Them gio'!$B$5:$H$38,3,0),0)</f>
        <v>0</v>
      </c>
      <c r="G92" s="124">
        <f>IFERROR(VLOOKUP(B92,'Them gio'!$B$5:$H$38,7,0),0)</f>
        <v>0</v>
      </c>
      <c r="H92" s="124"/>
      <c r="I92" s="26"/>
      <c r="J92" s="120">
        <f t="shared" si="4"/>
        <v>588235</v>
      </c>
      <c r="K92" s="181">
        <f t="shared" si="5"/>
        <v>0</v>
      </c>
      <c r="L92" s="26"/>
      <c r="M92" s="185">
        <f t="shared" si="6"/>
        <v>588235</v>
      </c>
    </row>
    <row r="93" spans="1:13" s="24" customFormat="1" ht="18" customHeight="1" x14ac:dyDescent="0.3">
      <c r="A93" s="25">
        <v>7</v>
      </c>
      <c r="B93" s="235" t="s">
        <v>232</v>
      </c>
      <c r="C93" s="235" t="s">
        <v>233</v>
      </c>
      <c r="D93" s="235" t="s">
        <v>66</v>
      </c>
      <c r="E93" s="26">
        <f t="shared" si="8"/>
        <v>588235</v>
      </c>
      <c r="F93" s="124">
        <f>IFERROR(VLOOKUP(B93,'Them gio'!$B$5:$H$38,3,0),0)</f>
        <v>0</v>
      </c>
      <c r="G93" s="124">
        <f>IFERROR(VLOOKUP(B93,'Them gio'!$B$5:$H$38,7,0),0)</f>
        <v>0</v>
      </c>
      <c r="H93" s="124"/>
      <c r="I93" s="26"/>
      <c r="J93" s="120">
        <f t="shared" si="4"/>
        <v>588235</v>
      </c>
      <c r="K93" s="181">
        <f t="shared" si="5"/>
        <v>0</v>
      </c>
      <c r="L93" s="26"/>
      <c r="M93" s="185">
        <f t="shared" si="6"/>
        <v>588235</v>
      </c>
    </row>
    <row r="94" spans="1:13" s="24" customFormat="1" ht="18" customHeight="1" x14ac:dyDescent="0.3">
      <c r="A94" s="25">
        <v>8</v>
      </c>
      <c r="B94" s="235" t="s">
        <v>228</v>
      </c>
      <c r="C94" s="235" t="s">
        <v>229</v>
      </c>
      <c r="D94" s="235" t="s">
        <v>66</v>
      </c>
      <c r="E94" s="26">
        <f t="shared" si="8"/>
        <v>588235</v>
      </c>
      <c r="F94" s="124">
        <f>IFERROR(VLOOKUP(B94,'Them gio'!$B$5:$H$38,3,0),0)</f>
        <v>0</v>
      </c>
      <c r="G94" s="124">
        <f>IFERROR(VLOOKUP(B94,'Them gio'!$B$5:$H$38,7,0),0)</f>
        <v>0</v>
      </c>
      <c r="H94" s="124"/>
      <c r="I94" s="26"/>
      <c r="J94" s="120">
        <f t="shared" si="4"/>
        <v>588235</v>
      </c>
      <c r="K94" s="181">
        <f t="shared" si="5"/>
        <v>0</v>
      </c>
      <c r="L94" s="26"/>
      <c r="M94" s="185">
        <f t="shared" si="6"/>
        <v>588235</v>
      </c>
    </row>
    <row r="95" spans="1:13" s="24" customFormat="1" ht="18" customHeight="1" x14ac:dyDescent="0.3">
      <c r="A95" s="25">
        <v>9</v>
      </c>
      <c r="B95" s="235" t="s">
        <v>222</v>
      </c>
      <c r="C95" s="235" t="s">
        <v>223</v>
      </c>
      <c r="D95" s="235" t="s">
        <v>66</v>
      </c>
      <c r="E95" s="26">
        <f t="shared" si="8"/>
        <v>588235</v>
      </c>
      <c r="F95" s="124">
        <f>IFERROR(VLOOKUP(B95,'Them gio'!$B$5:$H$38,3,0),0)</f>
        <v>0</v>
      </c>
      <c r="G95" s="124">
        <f>IFERROR(VLOOKUP(B95,'Them gio'!$B$5:$H$38,7,0),0)</f>
        <v>0</v>
      </c>
      <c r="H95" s="124"/>
      <c r="I95" s="26"/>
      <c r="J95" s="120">
        <f t="shared" si="4"/>
        <v>588235</v>
      </c>
      <c r="K95" s="181">
        <f t="shared" si="5"/>
        <v>0</v>
      </c>
      <c r="L95" s="26"/>
      <c r="M95" s="185">
        <f t="shared" si="6"/>
        <v>588235</v>
      </c>
    </row>
    <row r="96" spans="1:13" s="24" customFormat="1" ht="18" customHeight="1" x14ac:dyDescent="0.3">
      <c r="A96" s="25">
        <v>10</v>
      </c>
      <c r="B96" s="235" t="s">
        <v>243</v>
      </c>
      <c r="C96" s="235" t="s">
        <v>244</v>
      </c>
      <c r="D96" s="235" t="s">
        <v>66</v>
      </c>
      <c r="E96" s="26">
        <f t="shared" si="8"/>
        <v>588235</v>
      </c>
      <c r="F96" s="124">
        <f>IFERROR(VLOOKUP(B96,'Them gio'!$B$5:$H$38,3,0),0)</f>
        <v>0</v>
      </c>
      <c r="G96" s="124">
        <f>IFERROR(VLOOKUP(B96,'Them gio'!$B$5:$H$38,7,0),0)</f>
        <v>0</v>
      </c>
      <c r="H96" s="124"/>
      <c r="I96" s="26"/>
      <c r="J96" s="120">
        <f t="shared" si="4"/>
        <v>588235</v>
      </c>
      <c r="K96" s="181">
        <f t="shared" si="5"/>
        <v>0</v>
      </c>
      <c r="L96" s="26"/>
      <c r="M96" s="185">
        <f t="shared" si="6"/>
        <v>588235</v>
      </c>
    </row>
    <row r="97" spans="1:13" s="24" customFormat="1" ht="18" customHeight="1" x14ac:dyDescent="0.3">
      <c r="A97" s="25">
        <v>11</v>
      </c>
      <c r="B97" s="235" t="s">
        <v>224</v>
      </c>
      <c r="C97" s="235" t="s">
        <v>225</v>
      </c>
      <c r="D97" s="235" t="s">
        <v>66</v>
      </c>
      <c r="E97" s="26">
        <f t="shared" si="8"/>
        <v>588235</v>
      </c>
      <c r="F97" s="124">
        <f>IFERROR(VLOOKUP(B97,'Them gio'!$B$5:$H$38,3,0),0)</f>
        <v>0</v>
      </c>
      <c r="G97" s="124">
        <f>IFERROR(VLOOKUP(B97,'Them gio'!$B$5:$H$38,7,0),0)</f>
        <v>0</v>
      </c>
      <c r="H97" s="124"/>
      <c r="I97" s="26"/>
      <c r="J97" s="120">
        <f t="shared" si="4"/>
        <v>588235</v>
      </c>
      <c r="K97" s="181">
        <f t="shared" si="5"/>
        <v>0</v>
      </c>
      <c r="L97" s="26"/>
      <c r="M97" s="185">
        <f t="shared" si="6"/>
        <v>588235</v>
      </c>
    </row>
    <row r="98" spans="1:13" s="24" customFormat="1" ht="18" customHeight="1" x14ac:dyDescent="0.3">
      <c r="A98" s="25">
        <v>12</v>
      </c>
      <c r="B98" s="235" t="s">
        <v>226</v>
      </c>
      <c r="C98" s="235" t="s">
        <v>227</v>
      </c>
      <c r="D98" s="235" t="s">
        <v>66</v>
      </c>
      <c r="E98" s="26">
        <f t="shared" si="8"/>
        <v>588235</v>
      </c>
      <c r="F98" s="124">
        <f>IFERROR(VLOOKUP(B98,'Them gio'!$B$5:$H$38,3,0),0)</f>
        <v>0</v>
      </c>
      <c r="G98" s="124">
        <f>IFERROR(VLOOKUP(B98,'Them gio'!$B$5:$H$38,7,0),0)</f>
        <v>0</v>
      </c>
      <c r="H98" s="124"/>
      <c r="I98" s="26"/>
      <c r="J98" s="120">
        <f t="shared" si="4"/>
        <v>588235</v>
      </c>
      <c r="K98" s="181">
        <f t="shared" si="5"/>
        <v>0</v>
      </c>
      <c r="L98" s="26"/>
      <c r="M98" s="185">
        <f t="shared" si="6"/>
        <v>588235</v>
      </c>
    </row>
    <row r="99" spans="1:13" s="24" customFormat="1" ht="18" customHeight="1" x14ac:dyDescent="0.3">
      <c r="A99" s="25">
        <v>13</v>
      </c>
      <c r="B99" s="235" t="s">
        <v>236</v>
      </c>
      <c r="C99" s="235" t="s">
        <v>237</v>
      </c>
      <c r="D99" s="235" t="s">
        <v>66</v>
      </c>
      <c r="E99" s="26">
        <f>ROUND(10000000/17,0)+5000000</f>
        <v>5588235</v>
      </c>
      <c r="F99" s="124">
        <f>IFERROR(VLOOKUP(B99,'Them gio'!$B$5:$H$38,3,0),0)</f>
        <v>0</v>
      </c>
      <c r="G99" s="124">
        <f>IFERROR(VLOOKUP(B99,'Them gio'!$B$5:$H$38,7,0),0)</f>
        <v>0</v>
      </c>
      <c r="H99" s="124"/>
      <c r="I99" s="26"/>
      <c r="J99" s="120">
        <f t="shared" si="4"/>
        <v>5588235</v>
      </c>
      <c r="K99" s="181">
        <f t="shared" si="5"/>
        <v>0</v>
      </c>
      <c r="L99" s="26"/>
      <c r="M99" s="185">
        <f t="shared" si="6"/>
        <v>5588235</v>
      </c>
    </row>
    <row r="100" spans="1:13" s="24" customFormat="1" ht="18" customHeight="1" x14ac:dyDescent="0.3">
      <c r="A100" s="25">
        <v>14</v>
      </c>
      <c r="B100" s="235" t="s">
        <v>241</v>
      </c>
      <c r="C100" s="235" t="s">
        <v>242</v>
      </c>
      <c r="D100" s="235" t="s">
        <v>66</v>
      </c>
      <c r="E100" s="26">
        <f t="shared" si="8"/>
        <v>588235</v>
      </c>
      <c r="F100" s="124">
        <f>IFERROR(VLOOKUP(B100,'Them gio'!$B$5:$H$38,3,0),0)</f>
        <v>0</v>
      </c>
      <c r="G100" s="124">
        <f>IFERROR(VLOOKUP(B100,'Them gio'!$B$5:$H$38,7,0),0)</f>
        <v>0</v>
      </c>
      <c r="H100" s="124"/>
      <c r="I100" s="26"/>
      <c r="J100" s="120">
        <f t="shared" si="4"/>
        <v>588235</v>
      </c>
      <c r="K100" s="181">
        <f t="shared" si="5"/>
        <v>0</v>
      </c>
      <c r="L100" s="26"/>
      <c r="M100" s="185">
        <f t="shared" si="6"/>
        <v>588235</v>
      </c>
    </row>
    <row r="101" spans="1:13" s="24" customFormat="1" ht="18" customHeight="1" x14ac:dyDescent="0.3">
      <c r="A101" s="25">
        <v>15</v>
      </c>
      <c r="B101" s="235" t="s">
        <v>234</v>
      </c>
      <c r="C101" s="235" t="s">
        <v>235</v>
      </c>
      <c r="D101" s="235" t="s">
        <v>66</v>
      </c>
      <c r="E101" s="26">
        <f>ROUND(10000000/17,0)+5000000</f>
        <v>5588235</v>
      </c>
      <c r="F101" s="124">
        <f>IFERROR(VLOOKUP(B101,'Them gio'!$B$5:$H$38,3,0),0)</f>
        <v>0</v>
      </c>
      <c r="G101" s="124">
        <f>IFERROR(VLOOKUP(B101,'Them gio'!$B$5:$H$38,7,0),0)</f>
        <v>0</v>
      </c>
      <c r="H101" s="124"/>
      <c r="I101" s="26"/>
      <c r="J101" s="120">
        <f t="shared" si="4"/>
        <v>5588235</v>
      </c>
      <c r="K101" s="181">
        <f t="shared" si="5"/>
        <v>0</v>
      </c>
      <c r="L101" s="26"/>
      <c r="M101" s="185">
        <f t="shared" si="6"/>
        <v>5588235</v>
      </c>
    </row>
    <row r="102" spans="1:13" s="24" customFormat="1" ht="18" customHeight="1" x14ac:dyDescent="0.3">
      <c r="A102" s="25">
        <v>16</v>
      </c>
      <c r="B102" s="235" t="s">
        <v>805</v>
      </c>
      <c r="C102" s="235" t="s">
        <v>806</v>
      </c>
      <c r="D102" s="235" t="s">
        <v>66</v>
      </c>
      <c r="E102" s="26">
        <f>ROUND(10000000/17,0)+5</f>
        <v>588240</v>
      </c>
      <c r="F102" s="124">
        <f>IFERROR(VLOOKUP(B102,'Them gio'!$B$5:$H$38,3,0),0)</f>
        <v>0</v>
      </c>
      <c r="G102" s="124">
        <f>IFERROR(VLOOKUP(B102,'Them gio'!$B$5:$H$38,7,0),0)</f>
        <v>0</v>
      </c>
      <c r="H102" s="124"/>
      <c r="I102" s="26"/>
      <c r="J102" s="120">
        <f t="shared" si="4"/>
        <v>588240</v>
      </c>
      <c r="K102" s="181">
        <f t="shared" si="5"/>
        <v>0</v>
      </c>
      <c r="L102" s="26"/>
      <c r="M102" s="185">
        <f t="shared" si="6"/>
        <v>588240</v>
      </c>
    </row>
    <row r="103" spans="1:13" s="24" customFormat="1" ht="18" customHeight="1" x14ac:dyDescent="0.3">
      <c r="A103" s="25">
        <v>17</v>
      </c>
      <c r="B103" s="235" t="s">
        <v>245</v>
      </c>
      <c r="C103" s="235" t="s">
        <v>246</v>
      </c>
      <c r="D103" s="235" t="s">
        <v>200</v>
      </c>
      <c r="E103" s="26">
        <f t="shared" si="8"/>
        <v>588235</v>
      </c>
      <c r="F103" s="124">
        <f>IFERROR(VLOOKUP(B103,'Them gio'!$B$5:$H$38,3,0),0)</f>
        <v>0</v>
      </c>
      <c r="G103" s="124">
        <f>IFERROR(VLOOKUP(B103,'Them gio'!$B$5:$H$38,7,0),0)</f>
        <v>0</v>
      </c>
      <c r="H103" s="124"/>
      <c r="I103" s="26"/>
      <c r="J103" s="120">
        <f t="shared" si="4"/>
        <v>588235</v>
      </c>
      <c r="K103" s="181">
        <f t="shared" si="5"/>
        <v>0</v>
      </c>
      <c r="L103" s="26"/>
      <c r="M103" s="185">
        <f t="shared" si="6"/>
        <v>588235</v>
      </c>
    </row>
    <row r="104" spans="1:13" s="24" customFormat="1" ht="18" customHeight="1" x14ac:dyDescent="0.3">
      <c r="A104" s="25">
        <v>0</v>
      </c>
      <c r="B104" s="171" t="s">
        <v>40</v>
      </c>
      <c r="C104" s="171" t="s">
        <v>247</v>
      </c>
      <c r="D104" s="171"/>
      <c r="E104" s="26"/>
      <c r="F104" s="119">
        <f>IFERROR(VLOOKUP(B104,'Them gio'!$B$5:$H$38,3,0),0)</f>
        <v>0</v>
      </c>
      <c r="G104" s="119">
        <f>IFERROR(VLOOKUP(B104,'Them gio'!$B$5:$H$38,7,0),0)</f>
        <v>0</v>
      </c>
      <c r="H104" s="119"/>
      <c r="I104" s="26"/>
      <c r="J104" s="120">
        <f t="shared" si="4"/>
        <v>0</v>
      </c>
      <c r="K104" s="181">
        <f t="shared" si="5"/>
        <v>0</v>
      </c>
      <c r="L104" s="26"/>
      <c r="M104" s="185">
        <f t="shared" si="6"/>
        <v>0</v>
      </c>
    </row>
    <row r="105" spans="1:13" s="24" customFormat="1" ht="18" customHeight="1" x14ac:dyDescent="0.3">
      <c r="A105" s="25">
        <v>1</v>
      </c>
      <c r="B105" s="171" t="s">
        <v>248</v>
      </c>
      <c r="C105" s="171" t="s">
        <v>249</v>
      </c>
      <c r="D105" s="171" t="s">
        <v>214</v>
      </c>
      <c r="E105" s="26">
        <f>ROUND(10000000/18,0)</f>
        <v>555556</v>
      </c>
      <c r="F105" s="119">
        <f>IFERROR(VLOOKUP(B105,'Them gio'!$B$5:$H$38,3,0),0)</f>
        <v>0</v>
      </c>
      <c r="G105" s="119">
        <f>IFERROR(VLOOKUP(B105,'Them gio'!$B$5:$H$38,7,0),0)</f>
        <v>0</v>
      </c>
      <c r="H105" s="119"/>
      <c r="I105" s="26"/>
      <c r="J105" s="120">
        <f t="shared" si="4"/>
        <v>555556</v>
      </c>
      <c r="K105" s="181">
        <f t="shared" si="5"/>
        <v>0</v>
      </c>
      <c r="L105" s="26"/>
      <c r="M105" s="185">
        <f t="shared" si="6"/>
        <v>555556</v>
      </c>
    </row>
    <row r="106" spans="1:13" s="24" customFormat="1" ht="18" customHeight="1" x14ac:dyDescent="0.3">
      <c r="A106" s="25">
        <v>2</v>
      </c>
      <c r="B106" s="171" t="s">
        <v>252</v>
      </c>
      <c r="C106" s="171" t="s">
        <v>253</v>
      </c>
      <c r="D106" s="171" t="s">
        <v>430</v>
      </c>
      <c r="E106" s="26">
        <f t="shared" ref="E106:E122" si="9">ROUND(10000000/18,0)</f>
        <v>555556</v>
      </c>
      <c r="F106" s="119">
        <f>IFERROR(VLOOKUP(B106,'Them gio'!$B$5:$H$38,3,0),0)</f>
        <v>0</v>
      </c>
      <c r="G106" s="119">
        <f>IFERROR(VLOOKUP(B106,'Them gio'!$B$5:$H$38,7,0),0)</f>
        <v>0</v>
      </c>
      <c r="H106" s="119"/>
      <c r="I106" s="26"/>
      <c r="J106" s="120">
        <f t="shared" si="4"/>
        <v>555556</v>
      </c>
      <c r="K106" s="181">
        <f t="shared" si="5"/>
        <v>0</v>
      </c>
      <c r="L106" s="26"/>
      <c r="M106" s="185">
        <f t="shared" si="6"/>
        <v>555556</v>
      </c>
    </row>
    <row r="107" spans="1:13" s="24" customFormat="1" ht="18" customHeight="1" x14ac:dyDescent="0.3">
      <c r="A107" s="25">
        <v>3</v>
      </c>
      <c r="B107" s="171" t="s">
        <v>250</v>
      </c>
      <c r="C107" s="171" t="s">
        <v>251</v>
      </c>
      <c r="D107" s="171" t="s">
        <v>217</v>
      </c>
      <c r="E107" s="26">
        <f t="shared" si="9"/>
        <v>555556</v>
      </c>
      <c r="F107" s="119">
        <f>IFERROR(VLOOKUP(B107,'Them gio'!$B$5:$H$38,3,0),0)</f>
        <v>0</v>
      </c>
      <c r="G107" s="119">
        <f>IFERROR(VLOOKUP(B107,'Them gio'!$B$5:$H$38,7,0),0)</f>
        <v>0</v>
      </c>
      <c r="H107" s="119"/>
      <c r="I107" s="26"/>
      <c r="J107" s="120">
        <f t="shared" si="4"/>
        <v>555556</v>
      </c>
      <c r="K107" s="181">
        <f t="shared" si="5"/>
        <v>0</v>
      </c>
      <c r="L107" s="26"/>
      <c r="M107" s="185">
        <f t="shared" si="6"/>
        <v>555556</v>
      </c>
    </row>
    <row r="108" spans="1:13" s="24" customFormat="1" ht="18" customHeight="1" x14ac:dyDescent="0.3">
      <c r="A108" s="25">
        <v>4</v>
      </c>
      <c r="B108" s="171" t="s">
        <v>254</v>
      </c>
      <c r="C108" s="171" t="s">
        <v>255</v>
      </c>
      <c r="D108" s="171" t="s">
        <v>217</v>
      </c>
      <c r="E108" s="26">
        <f t="shared" si="9"/>
        <v>555556</v>
      </c>
      <c r="F108" s="119">
        <f>IFERROR(VLOOKUP(B108,'Them gio'!$B$5:$H$38,3,0),0)</f>
        <v>0</v>
      </c>
      <c r="G108" s="119">
        <f>IFERROR(VLOOKUP(B108,'Them gio'!$B$5:$H$38,7,0),0)</f>
        <v>0</v>
      </c>
      <c r="H108" s="119"/>
      <c r="I108" s="26"/>
      <c r="J108" s="120">
        <f t="shared" si="4"/>
        <v>555556</v>
      </c>
      <c r="K108" s="181">
        <f t="shared" si="5"/>
        <v>0</v>
      </c>
      <c r="L108" s="26"/>
      <c r="M108" s="185">
        <f t="shared" si="6"/>
        <v>555556</v>
      </c>
    </row>
    <row r="109" spans="1:13" s="24" customFormat="1" ht="18" customHeight="1" x14ac:dyDescent="0.3">
      <c r="A109" s="25">
        <v>5</v>
      </c>
      <c r="B109" s="171" t="s">
        <v>256</v>
      </c>
      <c r="C109" s="171" t="s">
        <v>257</v>
      </c>
      <c r="D109" s="171" t="s">
        <v>66</v>
      </c>
      <c r="E109" s="26">
        <f t="shared" si="9"/>
        <v>555556</v>
      </c>
      <c r="F109" s="119">
        <f>IFERROR(VLOOKUP(B109,'Them gio'!$B$5:$H$38,3,0),0)</f>
        <v>0</v>
      </c>
      <c r="G109" s="119">
        <f>IFERROR(VLOOKUP(B109,'Them gio'!$B$5:$H$38,7,0),0)</f>
        <v>0</v>
      </c>
      <c r="H109" s="119"/>
      <c r="I109" s="26"/>
      <c r="J109" s="120">
        <f t="shared" si="4"/>
        <v>555556</v>
      </c>
      <c r="K109" s="181">
        <f t="shared" si="5"/>
        <v>0</v>
      </c>
      <c r="L109" s="26"/>
      <c r="M109" s="185">
        <f t="shared" si="6"/>
        <v>555556</v>
      </c>
    </row>
    <row r="110" spans="1:13" s="24" customFormat="1" ht="18" customHeight="1" x14ac:dyDescent="0.3">
      <c r="A110" s="25">
        <v>6</v>
      </c>
      <c r="B110" s="171" t="s">
        <v>258</v>
      </c>
      <c r="C110" s="171" t="s">
        <v>259</v>
      </c>
      <c r="D110" s="171" t="s">
        <v>66</v>
      </c>
      <c r="E110" s="26">
        <f t="shared" si="9"/>
        <v>555556</v>
      </c>
      <c r="F110" s="119">
        <f>IFERROR(VLOOKUP(B110,'Them gio'!$B$5:$H$38,3,0),0)</f>
        <v>0</v>
      </c>
      <c r="G110" s="119">
        <f>IFERROR(VLOOKUP(B110,'Them gio'!$B$5:$H$38,7,0),0)</f>
        <v>0</v>
      </c>
      <c r="H110" s="119"/>
      <c r="I110" s="26"/>
      <c r="J110" s="120">
        <f t="shared" si="4"/>
        <v>555556</v>
      </c>
      <c r="K110" s="181">
        <f t="shared" si="5"/>
        <v>0</v>
      </c>
      <c r="L110" s="26"/>
      <c r="M110" s="185">
        <f t="shared" si="6"/>
        <v>555556</v>
      </c>
    </row>
    <row r="111" spans="1:13" s="24" customFormat="1" ht="18" customHeight="1" x14ac:dyDescent="0.3">
      <c r="A111" s="25">
        <v>7</v>
      </c>
      <c r="B111" s="171" t="s">
        <v>260</v>
      </c>
      <c r="C111" s="171" t="s">
        <v>261</v>
      </c>
      <c r="D111" s="171" t="s">
        <v>66</v>
      </c>
      <c r="E111" s="26">
        <f t="shared" si="9"/>
        <v>555556</v>
      </c>
      <c r="F111" s="119">
        <f>IFERROR(VLOOKUP(B111,'Them gio'!$B$5:$H$38,3,0),0)</f>
        <v>0</v>
      </c>
      <c r="G111" s="119">
        <f>IFERROR(VLOOKUP(B111,'Them gio'!$B$5:$H$38,7,0),0)</f>
        <v>0</v>
      </c>
      <c r="H111" s="119"/>
      <c r="I111" s="26"/>
      <c r="J111" s="120">
        <f t="shared" si="4"/>
        <v>555556</v>
      </c>
      <c r="K111" s="181">
        <f t="shared" si="5"/>
        <v>0</v>
      </c>
      <c r="L111" s="26"/>
      <c r="M111" s="185">
        <f t="shared" si="6"/>
        <v>555556</v>
      </c>
    </row>
    <row r="112" spans="1:13" s="24" customFormat="1" ht="18" customHeight="1" x14ac:dyDescent="0.3">
      <c r="A112" s="25">
        <v>8</v>
      </c>
      <c r="B112" s="171" t="s">
        <v>270</v>
      </c>
      <c r="C112" s="171" t="s">
        <v>271</v>
      </c>
      <c r="D112" s="171" t="s">
        <v>66</v>
      </c>
      <c r="E112" s="26">
        <f t="shared" si="9"/>
        <v>555556</v>
      </c>
      <c r="F112" s="119">
        <f>IFERROR(VLOOKUP(B112,'Them gio'!$B$5:$H$38,3,0),0)</f>
        <v>0</v>
      </c>
      <c r="G112" s="119">
        <f>IFERROR(VLOOKUP(B112,'Them gio'!$B$5:$H$38,7,0),0)</f>
        <v>0</v>
      </c>
      <c r="H112" s="119"/>
      <c r="I112" s="26"/>
      <c r="J112" s="120">
        <f t="shared" si="4"/>
        <v>555556</v>
      </c>
      <c r="K112" s="181">
        <f t="shared" si="5"/>
        <v>0</v>
      </c>
      <c r="L112" s="26"/>
      <c r="M112" s="185">
        <f t="shared" si="6"/>
        <v>555556</v>
      </c>
    </row>
    <row r="113" spans="1:13" s="24" customFormat="1" ht="18" customHeight="1" x14ac:dyDescent="0.3">
      <c r="A113" s="25">
        <v>9</v>
      </c>
      <c r="B113" s="171" t="s">
        <v>272</v>
      </c>
      <c r="C113" s="171" t="s">
        <v>273</v>
      </c>
      <c r="D113" s="171" t="s">
        <v>66</v>
      </c>
      <c r="E113" s="26">
        <f t="shared" si="9"/>
        <v>555556</v>
      </c>
      <c r="F113" s="119">
        <f>IFERROR(VLOOKUP(B113,'Them gio'!$B$5:$H$38,3,0),0)</f>
        <v>0</v>
      </c>
      <c r="G113" s="119">
        <f>IFERROR(VLOOKUP(B113,'Them gio'!$B$5:$H$38,7,0),0)</f>
        <v>0</v>
      </c>
      <c r="H113" s="119"/>
      <c r="I113" s="26"/>
      <c r="J113" s="120">
        <f t="shared" si="4"/>
        <v>555556</v>
      </c>
      <c r="K113" s="181">
        <f t="shared" si="5"/>
        <v>0</v>
      </c>
      <c r="L113" s="26"/>
      <c r="M113" s="185">
        <f t="shared" si="6"/>
        <v>555556</v>
      </c>
    </row>
    <row r="114" spans="1:13" s="24" customFormat="1" ht="18" customHeight="1" x14ac:dyDescent="0.3">
      <c r="A114" s="25">
        <v>10</v>
      </c>
      <c r="B114" s="171" t="s">
        <v>262</v>
      </c>
      <c r="C114" s="171" t="s">
        <v>263</v>
      </c>
      <c r="D114" s="171" t="s">
        <v>66</v>
      </c>
      <c r="E114" s="26">
        <f t="shared" si="9"/>
        <v>555556</v>
      </c>
      <c r="F114" s="119">
        <f>IFERROR(VLOOKUP(B114,'Them gio'!$B$5:$H$38,3,0),0)</f>
        <v>0</v>
      </c>
      <c r="G114" s="119">
        <f>IFERROR(VLOOKUP(B114,'Them gio'!$B$5:$H$38,7,0),0)</f>
        <v>0</v>
      </c>
      <c r="H114" s="119"/>
      <c r="I114" s="26"/>
      <c r="J114" s="120">
        <f t="shared" si="4"/>
        <v>555556</v>
      </c>
      <c r="K114" s="181">
        <f t="shared" si="5"/>
        <v>0</v>
      </c>
      <c r="L114" s="26"/>
      <c r="M114" s="185">
        <f t="shared" si="6"/>
        <v>555556</v>
      </c>
    </row>
    <row r="115" spans="1:13" s="24" customFormat="1" ht="18" customHeight="1" x14ac:dyDescent="0.3">
      <c r="A115" s="25">
        <v>11</v>
      </c>
      <c r="B115" s="171" t="s">
        <v>264</v>
      </c>
      <c r="C115" s="171" t="s">
        <v>265</v>
      </c>
      <c r="D115" s="171" t="s">
        <v>66</v>
      </c>
      <c r="E115" s="26">
        <f t="shared" si="9"/>
        <v>555556</v>
      </c>
      <c r="F115" s="119">
        <f>IFERROR(VLOOKUP(B115,'Them gio'!$B$5:$H$38,3,0),0)</f>
        <v>0</v>
      </c>
      <c r="G115" s="119">
        <f>IFERROR(VLOOKUP(B115,'Them gio'!$B$5:$H$38,7,0),0)</f>
        <v>0</v>
      </c>
      <c r="H115" s="119"/>
      <c r="I115" s="26"/>
      <c r="J115" s="120">
        <f t="shared" si="4"/>
        <v>555556</v>
      </c>
      <c r="K115" s="181">
        <f t="shared" si="5"/>
        <v>0</v>
      </c>
      <c r="L115" s="26"/>
      <c r="M115" s="185">
        <f t="shared" si="6"/>
        <v>555556</v>
      </c>
    </row>
    <row r="116" spans="1:13" s="24" customFormat="1" ht="18" customHeight="1" x14ac:dyDescent="0.3">
      <c r="A116" s="25">
        <v>12</v>
      </c>
      <c r="B116" s="171" t="s">
        <v>266</v>
      </c>
      <c r="C116" s="171" t="s">
        <v>267</v>
      </c>
      <c r="D116" s="171" t="s">
        <v>66</v>
      </c>
      <c r="E116" s="26">
        <f t="shared" si="9"/>
        <v>555556</v>
      </c>
      <c r="F116" s="119">
        <f>IFERROR(VLOOKUP(B116,'Them gio'!$B$5:$H$38,3,0),0)</f>
        <v>0</v>
      </c>
      <c r="G116" s="119">
        <f>IFERROR(VLOOKUP(B116,'Them gio'!$B$5:$H$38,7,0),0)</f>
        <v>0</v>
      </c>
      <c r="H116" s="119"/>
      <c r="I116" s="26"/>
      <c r="J116" s="120">
        <f t="shared" si="4"/>
        <v>555556</v>
      </c>
      <c r="K116" s="181">
        <f t="shared" si="5"/>
        <v>0</v>
      </c>
      <c r="L116" s="26"/>
      <c r="M116" s="185">
        <f t="shared" si="6"/>
        <v>555556</v>
      </c>
    </row>
    <row r="117" spans="1:13" s="24" customFormat="1" ht="18" customHeight="1" x14ac:dyDescent="0.3">
      <c r="A117" s="25">
        <v>13</v>
      </c>
      <c r="B117" s="171" t="s">
        <v>268</v>
      </c>
      <c r="C117" s="171" t="s">
        <v>269</v>
      </c>
      <c r="D117" s="171" t="s">
        <v>66</v>
      </c>
      <c r="E117" s="26">
        <f t="shared" si="9"/>
        <v>555556</v>
      </c>
      <c r="F117" s="119">
        <f>IFERROR(VLOOKUP(B117,'Them gio'!$B$5:$H$38,3,0),0)</f>
        <v>0</v>
      </c>
      <c r="G117" s="119">
        <f>IFERROR(VLOOKUP(B117,'Them gio'!$B$5:$H$38,7,0),0)</f>
        <v>0</v>
      </c>
      <c r="H117" s="119"/>
      <c r="I117" s="26"/>
      <c r="J117" s="120">
        <f t="shared" si="4"/>
        <v>555556</v>
      </c>
      <c r="K117" s="181">
        <f t="shared" si="5"/>
        <v>0</v>
      </c>
      <c r="L117" s="26"/>
      <c r="M117" s="185">
        <f t="shared" si="6"/>
        <v>555556</v>
      </c>
    </row>
    <row r="118" spans="1:13" s="24" customFormat="1" ht="18" customHeight="1" x14ac:dyDescent="0.3">
      <c r="A118" s="25">
        <v>14</v>
      </c>
      <c r="B118" s="171" t="s">
        <v>278</v>
      </c>
      <c r="C118" s="171" t="s">
        <v>279</v>
      </c>
      <c r="D118" s="171" t="s">
        <v>66</v>
      </c>
      <c r="E118" s="26">
        <f t="shared" si="9"/>
        <v>555556</v>
      </c>
      <c r="F118" s="119">
        <f>IFERROR(VLOOKUP(B118,'Them gio'!$B$5:$H$38,3,0),0)</f>
        <v>0</v>
      </c>
      <c r="G118" s="119">
        <f>IFERROR(VLOOKUP(B118,'Them gio'!$B$5:$H$38,7,0),0)</f>
        <v>0</v>
      </c>
      <c r="H118" s="119"/>
      <c r="I118" s="26"/>
      <c r="J118" s="120">
        <f t="shared" si="4"/>
        <v>555556</v>
      </c>
      <c r="K118" s="181">
        <f t="shared" si="5"/>
        <v>0</v>
      </c>
      <c r="L118" s="26"/>
      <c r="M118" s="185">
        <f t="shared" si="6"/>
        <v>555556</v>
      </c>
    </row>
    <row r="119" spans="1:13" s="24" customFormat="1" ht="18" customHeight="1" x14ac:dyDescent="0.3">
      <c r="A119" s="25">
        <v>15</v>
      </c>
      <c r="B119" s="171" t="s">
        <v>280</v>
      </c>
      <c r="C119" s="171" t="s">
        <v>281</v>
      </c>
      <c r="D119" s="171" t="s">
        <v>66</v>
      </c>
      <c r="E119" s="26">
        <f t="shared" si="9"/>
        <v>555556</v>
      </c>
      <c r="F119" s="119">
        <f>IFERROR(VLOOKUP(B119,'Them gio'!$B$5:$H$38,3,0),0)</f>
        <v>0</v>
      </c>
      <c r="G119" s="119">
        <f>IFERROR(VLOOKUP(B119,'Them gio'!$B$5:$H$38,7,0),0)</f>
        <v>0</v>
      </c>
      <c r="H119" s="119"/>
      <c r="I119" s="26"/>
      <c r="J119" s="120">
        <f t="shared" si="4"/>
        <v>555556</v>
      </c>
      <c r="K119" s="181">
        <f t="shared" si="5"/>
        <v>0</v>
      </c>
      <c r="L119" s="26"/>
      <c r="M119" s="185">
        <f t="shared" si="6"/>
        <v>555556</v>
      </c>
    </row>
    <row r="120" spans="1:13" s="24" customFormat="1" ht="18" customHeight="1" x14ac:dyDescent="0.3">
      <c r="A120" s="116">
        <v>16</v>
      </c>
      <c r="B120" s="171" t="s">
        <v>282</v>
      </c>
      <c r="C120" s="171" t="s">
        <v>283</v>
      </c>
      <c r="D120" s="171" t="s">
        <v>66</v>
      </c>
      <c r="E120" s="26">
        <f>ROUND(10000000/18,0)+5000000</f>
        <v>5555556</v>
      </c>
      <c r="F120" s="119">
        <f>IFERROR(VLOOKUP(B120,'Them gio'!$B$5:$H$38,3,0),0)</f>
        <v>0</v>
      </c>
      <c r="G120" s="119">
        <f>IFERROR(VLOOKUP(B120,'Them gio'!$B$5:$H$38,7,0),0)</f>
        <v>0</v>
      </c>
      <c r="H120" s="119"/>
      <c r="I120" s="26"/>
      <c r="J120" s="120">
        <f t="shared" si="4"/>
        <v>5555556</v>
      </c>
      <c r="K120" s="181">
        <f t="shared" si="5"/>
        <v>0</v>
      </c>
      <c r="L120" s="26"/>
      <c r="M120" s="185">
        <f t="shared" si="6"/>
        <v>5555556</v>
      </c>
    </row>
    <row r="121" spans="1:13" s="24" customFormat="1" ht="18" customHeight="1" x14ac:dyDescent="0.3">
      <c r="A121" s="25">
        <v>17</v>
      </c>
      <c r="B121" s="171" t="s">
        <v>274</v>
      </c>
      <c r="C121" s="171" t="s">
        <v>275</v>
      </c>
      <c r="D121" s="171" t="s">
        <v>66</v>
      </c>
      <c r="E121" s="26">
        <f>ROUND(10000000/18,0)-8+5000000</f>
        <v>5555548</v>
      </c>
      <c r="F121" s="119">
        <f>IFERROR(VLOOKUP(B121,'Them gio'!$B$5:$H$38,3,0),0)</f>
        <v>0</v>
      </c>
      <c r="G121" s="119">
        <f>IFERROR(VLOOKUP(B121,'Them gio'!$B$5:$H$38,7,0),0)</f>
        <v>0</v>
      </c>
      <c r="H121" s="119"/>
      <c r="I121" s="26"/>
      <c r="J121" s="120">
        <f t="shared" si="4"/>
        <v>5555548</v>
      </c>
      <c r="K121" s="181">
        <f t="shared" si="5"/>
        <v>0</v>
      </c>
      <c r="L121" s="26"/>
      <c r="M121" s="185">
        <f t="shared" si="6"/>
        <v>5555548</v>
      </c>
    </row>
    <row r="122" spans="1:13" ht="18" customHeight="1" x14ac:dyDescent="0.3">
      <c r="A122" s="22">
        <v>18</v>
      </c>
      <c r="B122" s="171" t="s">
        <v>284</v>
      </c>
      <c r="C122" s="171" t="s">
        <v>824</v>
      </c>
      <c r="D122" s="171" t="s">
        <v>208</v>
      </c>
      <c r="E122" s="26">
        <f t="shared" si="9"/>
        <v>555556</v>
      </c>
      <c r="F122" s="119">
        <f>IFERROR(VLOOKUP(B122,'Them gio'!$B$5:$H$38,3,0),0)</f>
        <v>0</v>
      </c>
      <c r="G122" s="119">
        <f>IFERROR(VLOOKUP(B122,'Them gio'!$B$5:$H$38,7,0),0)</f>
        <v>0</v>
      </c>
      <c r="H122" s="119"/>
      <c r="I122" s="21"/>
      <c r="J122" s="120">
        <f t="shared" si="4"/>
        <v>555556</v>
      </c>
      <c r="K122" s="181">
        <f t="shared" si="5"/>
        <v>0</v>
      </c>
      <c r="L122" s="21"/>
      <c r="M122" s="185">
        <f t="shared" si="6"/>
        <v>555556</v>
      </c>
    </row>
    <row r="123" spans="1:13" ht="18" customHeight="1" x14ac:dyDescent="0.3">
      <c r="A123" s="22">
        <v>0</v>
      </c>
      <c r="B123" s="171" t="s">
        <v>40</v>
      </c>
      <c r="C123" s="171" t="s">
        <v>286</v>
      </c>
      <c r="D123" s="171"/>
      <c r="E123" s="21"/>
      <c r="F123" s="119">
        <f>IFERROR(VLOOKUP(B123,'Them gio'!$B$5:$H$38,3,0),0)</f>
        <v>0</v>
      </c>
      <c r="G123" s="119">
        <f>IFERROR(VLOOKUP(B123,'Them gio'!$B$5:$H$38,7,0),0)</f>
        <v>0</v>
      </c>
      <c r="H123" s="119"/>
      <c r="I123" s="21"/>
      <c r="J123" s="120">
        <f t="shared" si="4"/>
        <v>0</v>
      </c>
      <c r="K123" s="181">
        <f t="shared" si="5"/>
        <v>0</v>
      </c>
      <c r="L123" s="21"/>
      <c r="M123" s="185">
        <f t="shared" si="6"/>
        <v>0</v>
      </c>
    </row>
    <row r="124" spans="1:13" s="24" customFormat="1" ht="18" customHeight="1" x14ac:dyDescent="0.3">
      <c r="A124" s="22">
        <v>1</v>
      </c>
      <c r="B124" s="171" t="s">
        <v>322</v>
      </c>
      <c r="C124" s="171" t="s">
        <v>323</v>
      </c>
      <c r="D124" s="171" t="s">
        <v>66</v>
      </c>
      <c r="E124" s="26">
        <f>ROUND(10000000/27,0)</f>
        <v>370370</v>
      </c>
      <c r="F124" s="119">
        <f>IFERROR(VLOOKUP(B124,'Them gio'!$B$5:$H$38,3,0),0)</f>
        <v>0</v>
      </c>
      <c r="G124" s="119">
        <f>IFERROR(VLOOKUP(B124,'Them gio'!$B$5:$H$38,7,0),0)</f>
        <v>0</v>
      </c>
      <c r="H124" s="119"/>
      <c r="I124" s="21"/>
      <c r="J124" s="120">
        <f t="shared" si="4"/>
        <v>370370</v>
      </c>
      <c r="K124" s="181">
        <f t="shared" si="5"/>
        <v>0</v>
      </c>
      <c r="L124" s="21"/>
      <c r="M124" s="185">
        <f t="shared" si="6"/>
        <v>370370</v>
      </c>
    </row>
    <row r="125" spans="1:13" s="24" customFormat="1" ht="18" customHeight="1" x14ac:dyDescent="0.3">
      <c r="A125" s="25">
        <v>2</v>
      </c>
      <c r="B125" s="171" t="s">
        <v>324</v>
      </c>
      <c r="C125" s="171" t="s">
        <v>325</v>
      </c>
      <c r="D125" s="171" t="s">
        <v>66</v>
      </c>
      <c r="E125" s="26">
        <f t="shared" ref="E125:E150" si="10">ROUND(10000000/27,0)</f>
        <v>370370</v>
      </c>
      <c r="F125" s="119">
        <f>IFERROR(VLOOKUP(B125,'Them gio'!$B$5:$H$38,3,0),0)</f>
        <v>0</v>
      </c>
      <c r="G125" s="119">
        <f>IFERROR(VLOOKUP(B125,'Them gio'!$B$5:$H$38,7,0),0)</f>
        <v>0</v>
      </c>
      <c r="H125" s="119"/>
      <c r="I125" s="21"/>
      <c r="J125" s="120">
        <f t="shared" si="4"/>
        <v>370370</v>
      </c>
      <c r="K125" s="181">
        <f t="shared" si="5"/>
        <v>0</v>
      </c>
      <c r="L125" s="21"/>
      <c r="M125" s="185">
        <f t="shared" si="6"/>
        <v>370370</v>
      </c>
    </row>
    <row r="126" spans="1:13" s="24" customFormat="1" ht="18" customHeight="1" x14ac:dyDescent="0.3">
      <c r="A126" s="22">
        <v>3</v>
      </c>
      <c r="B126" s="171" t="s">
        <v>287</v>
      </c>
      <c r="C126" s="171" t="s">
        <v>288</v>
      </c>
      <c r="D126" s="171" t="s">
        <v>214</v>
      </c>
      <c r="E126" s="26">
        <f t="shared" si="10"/>
        <v>370370</v>
      </c>
      <c r="F126" s="119">
        <f>IFERROR(VLOOKUP(B126,'Them gio'!$B$5:$H$38,3,0),0)</f>
        <v>0</v>
      </c>
      <c r="G126" s="119">
        <f>IFERROR(VLOOKUP(B126,'Them gio'!$B$5:$H$38,7,0),0)</f>
        <v>0</v>
      </c>
      <c r="H126" s="119"/>
      <c r="I126" s="21"/>
      <c r="J126" s="120">
        <f t="shared" si="4"/>
        <v>370370</v>
      </c>
      <c r="K126" s="181">
        <f t="shared" si="5"/>
        <v>0</v>
      </c>
      <c r="L126" s="21"/>
      <c r="M126" s="185">
        <f t="shared" si="6"/>
        <v>370370</v>
      </c>
    </row>
    <row r="127" spans="1:13" ht="18" customHeight="1" x14ac:dyDescent="0.3">
      <c r="A127" s="22">
        <v>4</v>
      </c>
      <c r="B127" s="171" t="s">
        <v>332</v>
      </c>
      <c r="C127" s="171" t="s">
        <v>333</v>
      </c>
      <c r="D127" s="171" t="s">
        <v>66</v>
      </c>
      <c r="E127" s="26">
        <f t="shared" si="10"/>
        <v>370370</v>
      </c>
      <c r="F127" s="119">
        <f>IFERROR(VLOOKUP(B127,'Them gio'!$B$5:$H$38,3,0),0)</f>
        <v>0</v>
      </c>
      <c r="G127" s="119">
        <f>IFERROR(VLOOKUP(B127,'Them gio'!$B$5:$H$38,7,0),0)</f>
        <v>0</v>
      </c>
      <c r="H127" s="119"/>
      <c r="I127" s="21"/>
      <c r="J127" s="120">
        <f t="shared" si="4"/>
        <v>370370</v>
      </c>
      <c r="K127" s="181">
        <f t="shared" si="5"/>
        <v>0</v>
      </c>
      <c r="L127" s="21"/>
      <c r="M127" s="185">
        <f t="shared" si="6"/>
        <v>370370</v>
      </c>
    </row>
    <row r="128" spans="1:13" ht="18" customHeight="1" x14ac:dyDescent="0.3">
      <c r="A128" s="22">
        <v>5</v>
      </c>
      <c r="B128" s="171" t="s">
        <v>334</v>
      </c>
      <c r="C128" s="171" t="s">
        <v>335</v>
      </c>
      <c r="D128" s="171" t="s">
        <v>66</v>
      </c>
      <c r="E128" s="26">
        <f>ROUND(10000000/27,0)+5000000</f>
        <v>5370370</v>
      </c>
      <c r="F128" s="119">
        <f>IFERROR(VLOOKUP(B128,'Them gio'!$B$5:$H$38,3,0),0)</f>
        <v>0</v>
      </c>
      <c r="G128" s="119">
        <f>IFERROR(VLOOKUP(B128,'Them gio'!$B$5:$H$38,7,0),0)</f>
        <v>0</v>
      </c>
      <c r="H128" s="119"/>
      <c r="I128" s="21"/>
      <c r="J128" s="120">
        <f t="shared" si="4"/>
        <v>5370370</v>
      </c>
      <c r="K128" s="181">
        <f t="shared" si="5"/>
        <v>0</v>
      </c>
      <c r="L128" s="21"/>
      <c r="M128" s="185">
        <f t="shared" si="6"/>
        <v>5370370</v>
      </c>
    </row>
    <row r="129" spans="1:13" ht="18" customHeight="1" x14ac:dyDescent="0.3">
      <c r="A129" s="22">
        <v>6</v>
      </c>
      <c r="B129" s="171" t="s">
        <v>336</v>
      </c>
      <c r="C129" s="171" t="s">
        <v>337</v>
      </c>
      <c r="D129" s="171" t="s">
        <v>66</v>
      </c>
      <c r="E129" s="26">
        <f t="shared" si="10"/>
        <v>370370</v>
      </c>
      <c r="F129" s="119">
        <f>IFERROR(VLOOKUP(B129,'Them gio'!$B$5:$H$38,3,0),0)</f>
        <v>0</v>
      </c>
      <c r="G129" s="119">
        <f>IFERROR(VLOOKUP(B129,'Them gio'!$B$5:$H$38,7,0),0)</f>
        <v>0</v>
      </c>
      <c r="H129" s="119"/>
      <c r="I129" s="21"/>
      <c r="J129" s="120">
        <f t="shared" si="4"/>
        <v>370370</v>
      </c>
      <c r="K129" s="181">
        <f t="shared" si="5"/>
        <v>0</v>
      </c>
      <c r="L129" s="21"/>
      <c r="M129" s="185">
        <f t="shared" si="6"/>
        <v>370370</v>
      </c>
    </row>
    <row r="130" spans="1:13" ht="18" customHeight="1" x14ac:dyDescent="0.3">
      <c r="A130" s="22">
        <v>7</v>
      </c>
      <c r="B130" s="171" t="s">
        <v>328</v>
      </c>
      <c r="C130" s="171" t="s">
        <v>329</v>
      </c>
      <c r="D130" s="171" t="s">
        <v>66</v>
      </c>
      <c r="E130" s="26">
        <f t="shared" si="10"/>
        <v>370370</v>
      </c>
      <c r="F130" s="119">
        <f>IFERROR(VLOOKUP(B130,'Them gio'!$B$5:$H$38,3,0),0)</f>
        <v>0</v>
      </c>
      <c r="G130" s="119">
        <f>IFERROR(VLOOKUP(B130,'Them gio'!$B$5:$H$38,7,0),0)</f>
        <v>0</v>
      </c>
      <c r="H130" s="119"/>
      <c r="I130" s="21"/>
      <c r="J130" s="120">
        <f t="shared" si="4"/>
        <v>370370</v>
      </c>
      <c r="K130" s="181">
        <f t="shared" si="5"/>
        <v>0</v>
      </c>
      <c r="L130" s="21"/>
      <c r="M130" s="185">
        <f t="shared" si="6"/>
        <v>370370</v>
      </c>
    </row>
    <row r="131" spans="1:13" ht="18" customHeight="1" x14ac:dyDescent="0.3">
      <c r="A131" s="22">
        <v>8</v>
      </c>
      <c r="B131" s="171" t="s">
        <v>77</v>
      </c>
      <c r="C131" s="171" t="s">
        <v>78</v>
      </c>
      <c r="D131" s="171" t="s">
        <v>66</v>
      </c>
      <c r="E131" s="26">
        <f t="shared" si="10"/>
        <v>370370</v>
      </c>
      <c r="F131" s="119">
        <f>IFERROR(VLOOKUP(B131,'Them gio'!$B$5:$H$38,3,0),0)</f>
        <v>0</v>
      </c>
      <c r="G131" s="119">
        <f>IFERROR(VLOOKUP(B131,'Them gio'!$B$5:$H$38,7,0),0)</f>
        <v>0</v>
      </c>
      <c r="H131" s="119"/>
      <c r="I131" s="21"/>
      <c r="J131" s="120">
        <f t="shared" ref="J131:J188" si="11">E131+F131</f>
        <v>370370</v>
      </c>
      <c r="K131" s="181">
        <f t="shared" ref="K131:K188" si="12">G131</f>
        <v>0</v>
      </c>
      <c r="L131" s="21"/>
      <c r="M131" s="185">
        <f t="shared" ref="M131:M188" si="13">E131</f>
        <v>370370</v>
      </c>
    </row>
    <row r="132" spans="1:13" ht="18" customHeight="1" x14ac:dyDescent="0.3">
      <c r="A132" s="22">
        <v>9</v>
      </c>
      <c r="B132" s="171" t="s">
        <v>796</v>
      </c>
      <c r="C132" s="171" t="s">
        <v>797</v>
      </c>
      <c r="D132" s="171" t="s">
        <v>66</v>
      </c>
      <c r="E132" s="26">
        <f t="shared" si="10"/>
        <v>370370</v>
      </c>
      <c r="F132" s="119">
        <f>IFERROR(VLOOKUP(B132,'Them gio'!$B$5:$H$38,3,0),0)</f>
        <v>0</v>
      </c>
      <c r="G132" s="119">
        <f>IFERROR(VLOOKUP(B132,'Them gio'!$B$5:$H$38,7,0),0)</f>
        <v>0</v>
      </c>
      <c r="H132" s="119"/>
      <c r="I132" s="21"/>
      <c r="J132" s="120">
        <f t="shared" si="11"/>
        <v>370370</v>
      </c>
      <c r="K132" s="181">
        <f t="shared" si="12"/>
        <v>0</v>
      </c>
      <c r="L132" s="21"/>
      <c r="M132" s="185">
        <f t="shared" si="13"/>
        <v>370370</v>
      </c>
    </row>
    <row r="133" spans="1:13" x14ac:dyDescent="0.3">
      <c r="A133" s="22">
        <v>10</v>
      </c>
      <c r="B133" s="171" t="s">
        <v>289</v>
      </c>
      <c r="C133" s="171" t="s">
        <v>290</v>
      </c>
      <c r="D133" s="171" t="s">
        <v>217</v>
      </c>
      <c r="E133" s="26">
        <f t="shared" si="10"/>
        <v>370370</v>
      </c>
      <c r="F133" s="119">
        <f>IFERROR(VLOOKUP(B133,'Them gio'!$B$5:$H$38,3,0),0)</f>
        <v>0</v>
      </c>
      <c r="G133" s="119">
        <f>IFERROR(VLOOKUP(B133,'Them gio'!$B$5:$H$38,7,0),0)</f>
        <v>0</v>
      </c>
      <c r="H133" s="119"/>
      <c r="I133" s="21"/>
      <c r="J133" s="120">
        <f t="shared" si="11"/>
        <v>370370</v>
      </c>
      <c r="K133" s="181">
        <f t="shared" si="12"/>
        <v>0</v>
      </c>
      <c r="L133" s="21"/>
      <c r="M133" s="185">
        <f t="shared" si="13"/>
        <v>370370</v>
      </c>
    </row>
    <row r="134" spans="1:13" x14ac:dyDescent="0.3">
      <c r="A134" s="22">
        <v>11</v>
      </c>
      <c r="B134" s="171" t="s">
        <v>291</v>
      </c>
      <c r="C134" s="171" t="s">
        <v>292</v>
      </c>
      <c r="D134" s="171" t="s">
        <v>217</v>
      </c>
      <c r="E134" s="26">
        <f>ROUND(10000000/27,0)+5000000</f>
        <v>5370370</v>
      </c>
      <c r="F134" s="119">
        <f>IFERROR(VLOOKUP(B134,'Them gio'!$B$5:$H$38,3,0),0)</f>
        <v>0</v>
      </c>
      <c r="G134" s="119">
        <f>IFERROR(VLOOKUP(B134,'Them gio'!$B$5:$H$38,7,0),0)</f>
        <v>0</v>
      </c>
      <c r="H134" s="119"/>
      <c r="I134" s="21"/>
      <c r="J134" s="120">
        <f t="shared" si="11"/>
        <v>5370370</v>
      </c>
      <c r="K134" s="181">
        <f t="shared" si="12"/>
        <v>0</v>
      </c>
      <c r="L134" s="21"/>
      <c r="M134" s="185">
        <f t="shared" si="13"/>
        <v>5370370</v>
      </c>
    </row>
    <row r="135" spans="1:13" x14ac:dyDescent="0.3">
      <c r="A135" s="22">
        <v>12</v>
      </c>
      <c r="B135" s="171" t="s">
        <v>293</v>
      </c>
      <c r="C135" s="171" t="s">
        <v>294</v>
      </c>
      <c r="D135" s="171" t="s">
        <v>217</v>
      </c>
      <c r="E135" s="26">
        <f>ROUND(10000000/27,0)+5000000</f>
        <v>5370370</v>
      </c>
      <c r="F135" s="119">
        <f>IFERROR(VLOOKUP(B135,'Them gio'!$B$5:$H$38,3,0),0)</f>
        <v>0</v>
      </c>
      <c r="G135" s="119">
        <f>IFERROR(VLOOKUP(B135,'Them gio'!$B$5:$H$38,7,0),0)</f>
        <v>0</v>
      </c>
      <c r="H135" s="119"/>
      <c r="I135" s="21"/>
      <c r="J135" s="120">
        <f t="shared" si="11"/>
        <v>5370370</v>
      </c>
      <c r="K135" s="181">
        <f t="shared" si="12"/>
        <v>0</v>
      </c>
      <c r="L135" s="21"/>
      <c r="M135" s="185">
        <f t="shared" si="13"/>
        <v>5370370</v>
      </c>
    </row>
    <row r="136" spans="1:13" x14ac:dyDescent="0.3">
      <c r="A136" s="22">
        <v>13</v>
      </c>
      <c r="B136" s="171" t="s">
        <v>295</v>
      </c>
      <c r="C136" s="171" t="s">
        <v>296</v>
      </c>
      <c r="D136" s="171" t="s">
        <v>66</v>
      </c>
      <c r="E136" s="26">
        <f t="shared" si="10"/>
        <v>370370</v>
      </c>
      <c r="F136" s="119">
        <f>IFERROR(VLOOKUP(B136,'Them gio'!$B$5:$H$38,3,0),0)</f>
        <v>0</v>
      </c>
      <c r="G136" s="119">
        <f>IFERROR(VLOOKUP(B136,'Them gio'!$B$5:$H$38,7,0),0)</f>
        <v>0</v>
      </c>
      <c r="H136" s="119"/>
      <c r="I136" s="21"/>
      <c r="J136" s="120">
        <f t="shared" si="11"/>
        <v>370370</v>
      </c>
      <c r="K136" s="181">
        <f t="shared" si="12"/>
        <v>0</v>
      </c>
      <c r="L136" s="21"/>
      <c r="M136" s="185">
        <f t="shared" si="13"/>
        <v>370370</v>
      </c>
    </row>
    <row r="137" spans="1:13" x14ac:dyDescent="0.3">
      <c r="A137" s="22">
        <v>14</v>
      </c>
      <c r="B137" s="171" t="s">
        <v>303</v>
      </c>
      <c r="C137" s="171" t="s">
        <v>304</v>
      </c>
      <c r="D137" s="171" t="s">
        <v>66</v>
      </c>
      <c r="E137" s="26">
        <f t="shared" si="10"/>
        <v>370370</v>
      </c>
      <c r="F137" s="119">
        <f>IFERROR(VLOOKUP(B137,'Them gio'!$B$5:$H$38,3,0),0)</f>
        <v>0</v>
      </c>
      <c r="G137" s="119">
        <f>IFERROR(VLOOKUP(B137,'Them gio'!$B$5:$H$38,7,0),0)</f>
        <v>0</v>
      </c>
      <c r="H137" s="119"/>
      <c r="I137" s="21"/>
      <c r="J137" s="120">
        <f t="shared" si="11"/>
        <v>370370</v>
      </c>
      <c r="K137" s="181">
        <f t="shared" si="12"/>
        <v>0</v>
      </c>
      <c r="L137" s="21"/>
      <c r="M137" s="185">
        <f t="shared" si="13"/>
        <v>370370</v>
      </c>
    </row>
    <row r="138" spans="1:13" x14ac:dyDescent="0.3">
      <c r="A138" s="22">
        <v>15</v>
      </c>
      <c r="B138" s="171" t="s">
        <v>307</v>
      </c>
      <c r="C138" s="171" t="s">
        <v>308</v>
      </c>
      <c r="D138" s="171" t="s">
        <v>66</v>
      </c>
      <c r="E138" s="26">
        <f t="shared" si="10"/>
        <v>370370</v>
      </c>
      <c r="F138" s="119">
        <f>IFERROR(VLOOKUP(B138,'Them gio'!$B$5:$H$38,3,0),0)</f>
        <v>0</v>
      </c>
      <c r="G138" s="119">
        <f>IFERROR(VLOOKUP(B138,'Them gio'!$B$5:$H$38,7,0),0)</f>
        <v>0</v>
      </c>
      <c r="H138" s="119"/>
      <c r="I138" s="21"/>
      <c r="J138" s="120">
        <f t="shared" si="11"/>
        <v>370370</v>
      </c>
      <c r="K138" s="181">
        <f t="shared" si="12"/>
        <v>0</v>
      </c>
      <c r="L138" s="21"/>
      <c r="M138" s="185">
        <f t="shared" si="13"/>
        <v>370370</v>
      </c>
    </row>
    <row r="139" spans="1:13" x14ac:dyDescent="0.3">
      <c r="A139" s="22">
        <v>16</v>
      </c>
      <c r="B139" s="171" t="s">
        <v>305</v>
      </c>
      <c r="C139" s="171" t="s">
        <v>306</v>
      </c>
      <c r="D139" s="171" t="s">
        <v>66</v>
      </c>
      <c r="E139" s="26">
        <f t="shared" si="10"/>
        <v>370370</v>
      </c>
      <c r="F139" s="119">
        <f>IFERROR(VLOOKUP(B139,'Them gio'!$B$5:$H$38,3,0),0)</f>
        <v>0</v>
      </c>
      <c r="G139" s="119">
        <f>IFERROR(VLOOKUP(B139,'Them gio'!$B$5:$H$38,7,0),0)</f>
        <v>0</v>
      </c>
      <c r="H139" s="119"/>
      <c r="I139" s="21"/>
      <c r="J139" s="120">
        <f t="shared" si="11"/>
        <v>370370</v>
      </c>
      <c r="K139" s="181">
        <f t="shared" si="12"/>
        <v>0</v>
      </c>
      <c r="L139" s="21"/>
      <c r="M139" s="185">
        <f t="shared" si="13"/>
        <v>370370</v>
      </c>
    </row>
    <row r="140" spans="1:13" x14ac:dyDescent="0.3">
      <c r="A140" s="22">
        <v>17</v>
      </c>
      <c r="B140" s="171" t="s">
        <v>299</v>
      </c>
      <c r="C140" s="171" t="s">
        <v>300</v>
      </c>
      <c r="D140" s="171" t="s">
        <v>66</v>
      </c>
      <c r="E140" s="26">
        <f t="shared" si="10"/>
        <v>370370</v>
      </c>
      <c r="F140" s="119">
        <f>IFERROR(VLOOKUP(B140,'Them gio'!$B$5:$H$38,3,0),0)</f>
        <v>0</v>
      </c>
      <c r="G140" s="119">
        <f>IFERROR(VLOOKUP(B140,'Them gio'!$B$5:$H$38,7,0),0)</f>
        <v>0</v>
      </c>
      <c r="H140" s="119"/>
      <c r="I140" s="21"/>
      <c r="J140" s="120">
        <f t="shared" si="11"/>
        <v>370370</v>
      </c>
      <c r="K140" s="181">
        <f t="shared" si="12"/>
        <v>0</v>
      </c>
      <c r="L140" s="21"/>
      <c r="M140" s="185">
        <f t="shared" si="13"/>
        <v>370370</v>
      </c>
    </row>
    <row r="141" spans="1:13" x14ac:dyDescent="0.3">
      <c r="A141" s="22">
        <v>18</v>
      </c>
      <c r="B141" s="171" t="s">
        <v>301</v>
      </c>
      <c r="C141" s="171" t="s">
        <v>302</v>
      </c>
      <c r="D141" s="171" t="s">
        <v>66</v>
      </c>
      <c r="E141" s="26">
        <f t="shared" si="10"/>
        <v>370370</v>
      </c>
      <c r="F141" s="119">
        <f>IFERROR(VLOOKUP(B141,'Them gio'!$B$5:$H$38,3,0),0)</f>
        <v>0</v>
      </c>
      <c r="G141" s="119">
        <f>IFERROR(VLOOKUP(B141,'Them gio'!$B$5:$H$38,7,0),0)</f>
        <v>0</v>
      </c>
      <c r="H141" s="119"/>
      <c r="I141" s="21"/>
      <c r="J141" s="120">
        <f t="shared" si="11"/>
        <v>370370</v>
      </c>
      <c r="K141" s="181">
        <f t="shared" si="12"/>
        <v>0</v>
      </c>
      <c r="L141" s="21"/>
      <c r="M141" s="185">
        <f t="shared" si="13"/>
        <v>370370</v>
      </c>
    </row>
    <row r="142" spans="1:13" x14ac:dyDescent="0.3">
      <c r="A142" s="22">
        <v>19</v>
      </c>
      <c r="B142" s="171" t="s">
        <v>317</v>
      </c>
      <c r="C142" s="171" t="s">
        <v>318</v>
      </c>
      <c r="D142" s="171" t="s">
        <v>66</v>
      </c>
      <c r="E142" s="26">
        <f t="shared" si="10"/>
        <v>370370</v>
      </c>
      <c r="F142" s="119">
        <f>IFERROR(VLOOKUP(B142,'Them gio'!$B$5:$H$38,3,0),0)</f>
        <v>0</v>
      </c>
      <c r="G142" s="119">
        <f>IFERROR(VLOOKUP(B142,'Them gio'!$B$5:$H$38,7,0),0)</f>
        <v>0</v>
      </c>
      <c r="H142" s="119"/>
      <c r="I142" s="21"/>
      <c r="J142" s="120">
        <f t="shared" si="11"/>
        <v>370370</v>
      </c>
      <c r="K142" s="181">
        <f t="shared" si="12"/>
        <v>0</v>
      </c>
      <c r="L142" s="21"/>
      <c r="M142" s="185">
        <f t="shared" si="13"/>
        <v>370370</v>
      </c>
    </row>
    <row r="143" spans="1:13" x14ac:dyDescent="0.3">
      <c r="A143" s="22">
        <v>20</v>
      </c>
      <c r="B143" s="171" t="s">
        <v>297</v>
      </c>
      <c r="C143" s="171" t="s">
        <v>298</v>
      </c>
      <c r="D143" s="171" t="s">
        <v>66</v>
      </c>
      <c r="E143" s="26">
        <f t="shared" si="10"/>
        <v>370370</v>
      </c>
      <c r="F143" s="119">
        <f>IFERROR(VLOOKUP(B143,'Them gio'!$B$5:$H$38,3,0),0)</f>
        <v>0</v>
      </c>
      <c r="G143" s="119">
        <f>IFERROR(VLOOKUP(B143,'Them gio'!$B$5:$H$38,7,0),0)</f>
        <v>0</v>
      </c>
      <c r="H143" s="119"/>
      <c r="I143" s="21"/>
      <c r="J143" s="120">
        <f t="shared" si="11"/>
        <v>370370</v>
      </c>
      <c r="K143" s="181">
        <f t="shared" si="12"/>
        <v>0</v>
      </c>
      <c r="L143" s="21"/>
      <c r="M143" s="185">
        <f t="shared" si="13"/>
        <v>370370</v>
      </c>
    </row>
    <row r="144" spans="1:13" x14ac:dyDescent="0.3">
      <c r="A144" s="22">
        <v>21</v>
      </c>
      <c r="B144" s="171" t="s">
        <v>309</v>
      </c>
      <c r="C144" s="171" t="s">
        <v>310</v>
      </c>
      <c r="D144" s="171" t="s">
        <v>66</v>
      </c>
      <c r="E144" s="26">
        <f t="shared" si="10"/>
        <v>370370</v>
      </c>
      <c r="F144" s="119">
        <f>IFERROR(VLOOKUP(B144,'Them gio'!$B$5:$H$38,3,0),0)</f>
        <v>0</v>
      </c>
      <c r="G144" s="119">
        <f>IFERROR(VLOOKUP(B144,'Them gio'!$B$5:$H$38,7,0),0)</f>
        <v>0</v>
      </c>
      <c r="H144" s="119"/>
      <c r="I144" s="21"/>
      <c r="J144" s="120">
        <f t="shared" si="11"/>
        <v>370370</v>
      </c>
      <c r="K144" s="181">
        <f t="shared" si="12"/>
        <v>0</v>
      </c>
      <c r="L144" s="21"/>
      <c r="M144" s="185">
        <f t="shared" si="13"/>
        <v>370370</v>
      </c>
    </row>
    <row r="145" spans="1:13" x14ac:dyDescent="0.3">
      <c r="A145" s="22">
        <v>22</v>
      </c>
      <c r="B145" s="171" t="s">
        <v>311</v>
      </c>
      <c r="C145" s="171" t="s">
        <v>312</v>
      </c>
      <c r="D145" s="171" t="s">
        <v>66</v>
      </c>
      <c r="E145" s="26">
        <f t="shared" si="10"/>
        <v>370370</v>
      </c>
      <c r="F145" s="119">
        <f>IFERROR(VLOOKUP(B145,'Them gio'!$B$5:$H$38,3,0),0)</f>
        <v>0</v>
      </c>
      <c r="G145" s="119">
        <f>IFERROR(VLOOKUP(B145,'Them gio'!$B$5:$H$38,7,0),0)</f>
        <v>0</v>
      </c>
      <c r="H145" s="119"/>
      <c r="I145" s="21"/>
      <c r="J145" s="120">
        <f t="shared" si="11"/>
        <v>370370</v>
      </c>
      <c r="K145" s="181">
        <f t="shared" si="12"/>
        <v>0</v>
      </c>
      <c r="L145" s="21"/>
      <c r="M145" s="185">
        <f t="shared" si="13"/>
        <v>370370</v>
      </c>
    </row>
    <row r="146" spans="1:13" x14ac:dyDescent="0.3">
      <c r="A146" s="22">
        <v>23</v>
      </c>
      <c r="B146" s="171" t="s">
        <v>313</v>
      </c>
      <c r="C146" s="171" t="s">
        <v>314</v>
      </c>
      <c r="D146" s="171" t="s">
        <v>66</v>
      </c>
      <c r="E146" s="26">
        <f t="shared" si="10"/>
        <v>370370</v>
      </c>
      <c r="F146" s="119">
        <f>IFERROR(VLOOKUP(B146,'Them gio'!$B$5:$H$38,3,0),0)</f>
        <v>0</v>
      </c>
      <c r="G146" s="119">
        <f>IFERROR(VLOOKUP(B146,'Them gio'!$B$5:$H$38,7,0),0)</f>
        <v>0</v>
      </c>
      <c r="H146" s="119"/>
      <c r="I146" s="21"/>
      <c r="J146" s="120">
        <f t="shared" si="11"/>
        <v>370370</v>
      </c>
      <c r="K146" s="181">
        <f t="shared" si="12"/>
        <v>0</v>
      </c>
      <c r="L146" s="21"/>
      <c r="M146" s="185">
        <f t="shared" si="13"/>
        <v>370370</v>
      </c>
    </row>
    <row r="147" spans="1:13" x14ac:dyDescent="0.3">
      <c r="A147" s="22">
        <v>24</v>
      </c>
      <c r="B147" s="171" t="s">
        <v>315</v>
      </c>
      <c r="C147" s="171" t="s">
        <v>316</v>
      </c>
      <c r="D147" s="171" t="s">
        <v>66</v>
      </c>
      <c r="E147" s="26">
        <f t="shared" si="10"/>
        <v>370370</v>
      </c>
      <c r="F147" s="119">
        <f>IFERROR(VLOOKUP(B147,'Them gio'!$B$5:$H$38,3,0),0)</f>
        <v>0</v>
      </c>
      <c r="G147" s="119">
        <f>IFERROR(VLOOKUP(B147,'Them gio'!$B$5:$H$38,7,0),0)</f>
        <v>0</v>
      </c>
      <c r="H147" s="119"/>
      <c r="I147" s="21"/>
      <c r="J147" s="120">
        <f t="shared" si="11"/>
        <v>370370</v>
      </c>
      <c r="K147" s="181">
        <f t="shared" si="12"/>
        <v>0</v>
      </c>
      <c r="L147" s="21"/>
      <c r="M147" s="185">
        <f t="shared" si="13"/>
        <v>370370</v>
      </c>
    </row>
    <row r="148" spans="1:13" x14ac:dyDescent="0.3">
      <c r="A148" s="22">
        <v>25</v>
      </c>
      <c r="B148" s="171" t="s">
        <v>807</v>
      </c>
      <c r="C148" s="171" t="s">
        <v>808</v>
      </c>
      <c r="D148" s="171" t="s">
        <v>66</v>
      </c>
      <c r="E148" s="26">
        <f t="shared" si="10"/>
        <v>370370</v>
      </c>
      <c r="F148" s="119">
        <f>IFERROR(VLOOKUP(B148,'Them gio'!$B$5:$H$38,3,0),0)</f>
        <v>0</v>
      </c>
      <c r="G148" s="119">
        <f>IFERROR(VLOOKUP(B148,'Them gio'!$B$5:$H$38,7,0),0)</f>
        <v>0</v>
      </c>
      <c r="H148" s="119"/>
      <c r="I148" s="21"/>
      <c r="J148" s="120">
        <f t="shared" si="11"/>
        <v>370370</v>
      </c>
      <c r="K148" s="181">
        <f t="shared" si="12"/>
        <v>0</v>
      </c>
      <c r="L148" s="21"/>
      <c r="M148" s="185">
        <f t="shared" si="13"/>
        <v>370370</v>
      </c>
    </row>
    <row r="149" spans="1:13" x14ac:dyDescent="0.3">
      <c r="A149" s="22">
        <v>26</v>
      </c>
      <c r="B149" s="171" t="s">
        <v>338</v>
      </c>
      <c r="C149" s="171" t="s">
        <v>339</v>
      </c>
      <c r="D149" s="171" t="s">
        <v>238</v>
      </c>
      <c r="E149" s="26">
        <f>ROUND(10000000/27,0)+10</f>
        <v>370380</v>
      </c>
      <c r="F149" s="119">
        <f>IFERROR(VLOOKUP(B149,'Them gio'!$B$5:$H$38,3,0),0)</f>
        <v>0</v>
      </c>
      <c r="G149" s="119">
        <f>IFERROR(VLOOKUP(B149,'Them gio'!$B$5:$H$38,7,0),0)</f>
        <v>0</v>
      </c>
      <c r="H149" s="119"/>
      <c r="I149" s="21"/>
      <c r="J149" s="120">
        <f t="shared" si="11"/>
        <v>370380</v>
      </c>
      <c r="K149" s="181">
        <f t="shared" si="12"/>
        <v>0</v>
      </c>
      <c r="L149" s="21"/>
      <c r="M149" s="185">
        <f t="shared" si="13"/>
        <v>370380</v>
      </c>
    </row>
    <row r="150" spans="1:13" x14ac:dyDescent="0.3">
      <c r="A150" s="22">
        <v>27</v>
      </c>
      <c r="B150" s="171" t="s">
        <v>330</v>
      </c>
      <c r="C150" s="171" t="s">
        <v>331</v>
      </c>
      <c r="D150" s="171" t="s">
        <v>200</v>
      </c>
      <c r="E150" s="26">
        <f t="shared" si="10"/>
        <v>370370</v>
      </c>
      <c r="F150" s="119">
        <f>IFERROR(VLOOKUP(B150,'Them gio'!$B$5:$H$38,3,0),0)</f>
        <v>0</v>
      </c>
      <c r="G150" s="119">
        <f>IFERROR(VLOOKUP(B150,'Them gio'!$B$5:$H$38,7,0),0)</f>
        <v>0</v>
      </c>
      <c r="H150" s="119"/>
      <c r="I150" s="21"/>
      <c r="J150" s="120">
        <f t="shared" si="11"/>
        <v>370370</v>
      </c>
      <c r="K150" s="181">
        <f t="shared" si="12"/>
        <v>0</v>
      </c>
      <c r="L150" s="21"/>
      <c r="M150" s="185">
        <f t="shared" si="13"/>
        <v>370370</v>
      </c>
    </row>
    <row r="151" spans="1:13" x14ac:dyDescent="0.3">
      <c r="A151" s="22">
        <v>0</v>
      </c>
      <c r="B151" s="171" t="s">
        <v>40</v>
      </c>
      <c r="C151" s="171" t="s">
        <v>340</v>
      </c>
      <c r="D151" s="171"/>
      <c r="E151" s="21"/>
      <c r="F151" s="119">
        <f>IFERROR(VLOOKUP(B151,'Them gio'!$B$5:$H$38,3,0),0)</f>
        <v>0</v>
      </c>
      <c r="G151" s="119">
        <f>IFERROR(VLOOKUP(B151,'Them gio'!$B$5:$H$38,7,0),0)</f>
        <v>0</v>
      </c>
      <c r="H151" s="119"/>
      <c r="I151" s="21"/>
      <c r="J151" s="120">
        <f t="shared" si="11"/>
        <v>0</v>
      </c>
      <c r="K151" s="181">
        <f t="shared" si="12"/>
        <v>0</v>
      </c>
      <c r="L151" s="21"/>
      <c r="M151" s="185">
        <f t="shared" si="13"/>
        <v>0</v>
      </c>
    </row>
    <row r="152" spans="1:13" x14ac:dyDescent="0.3">
      <c r="A152" s="22">
        <v>1</v>
      </c>
      <c r="B152" s="171" t="s">
        <v>341</v>
      </c>
      <c r="C152" s="171" t="s">
        <v>342</v>
      </c>
      <c r="D152" s="171" t="s">
        <v>214</v>
      </c>
      <c r="E152" s="21"/>
      <c r="F152" s="119">
        <f>IFERROR(VLOOKUP(B152,'Them gio'!$B$5:$H$38,3,0),0)</f>
        <v>0</v>
      </c>
      <c r="G152" s="119">
        <f>IFERROR(VLOOKUP(B152,'Them gio'!$B$5:$H$38,7,0),0)</f>
        <v>0</v>
      </c>
      <c r="H152" s="119"/>
      <c r="I152" s="21"/>
      <c r="J152" s="120">
        <f t="shared" si="11"/>
        <v>0</v>
      </c>
      <c r="K152" s="181">
        <f t="shared" si="12"/>
        <v>0</v>
      </c>
      <c r="L152" s="21"/>
      <c r="M152" s="185">
        <f t="shared" si="13"/>
        <v>0</v>
      </c>
    </row>
    <row r="153" spans="1:13" x14ac:dyDescent="0.3">
      <c r="A153" s="22">
        <v>2</v>
      </c>
      <c r="B153" s="171" t="s">
        <v>345</v>
      </c>
      <c r="C153" s="171" t="s">
        <v>346</v>
      </c>
      <c r="D153" s="171" t="s">
        <v>430</v>
      </c>
      <c r="E153" s="21"/>
      <c r="F153" s="119">
        <f>IFERROR(VLOOKUP(B153,'Them gio'!$B$5:$H$38,3,0),0)</f>
        <v>0</v>
      </c>
      <c r="G153" s="119">
        <f>IFERROR(VLOOKUP(B153,'Them gio'!$B$5:$H$38,7,0),0)</f>
        <v>0</v>
      </c>
      <c r="H153" s="119"/>
      <c r="I153" s="21"/>
      <c r="J153" s="120">
        <f t="shared" si="11"/>
        <v>0</v>
      </c>
      <c r="K153" s="181">
        <f t="shared" si="12"/>
        <v>0</v>
      </c>
      <c r="L153" s="21"/>
      <c r="M153" s="185">
        <f t="shared" si="13"/>
        <v>0</v>
      </c>
    </row>
    <row r="154" spans="1:13" x14ac:dyDescent="0.3">
      <c r="A154" s="22">
        <v>3</v>
      </c>
      <c r="B154" s="171" t="s">
        <v>343</v>
      </c>
      <c r="C154" s="171" t="s">
        <v>344</v>
      </c>
      <c r="D154" s="171" t="s">
        <v>217</v>
      </c>
      <c r="E154" s="21"/>
      <c r="F154" s="119">
        <f>IFERROR(VLOOKUP(B154,'Them gio'!$B$5:$H$38,3,0),0)</f>
        <v>0</v>
      </c>
      <c r="G154" s="119">
        <f>IFERROR(VLOOKUP(B154,'Them gio'!$B$5:$H$38,7,0),0)</f>
        <v>0</v>
      </c>
      <c r="H154" s="119"/>
      <c r="I154" s="21"/>
      <c r="J154" s="120">
        <f t="shared" si="11"/>
        <v>0</v>
      </c>
      <c r="K154" s="181">
        <f t="shared" si="12"/>
        <v>0</v>
      </c>
      <c r="L154" s="21"/>
      <c r="M154" s="185">
        <f t="shared" si="13"/>
        <v>0</v>
      </c>
    </row>
    <row r="155" spans="1:13" x14ac:dyDescent="0.3">
      <c r="A155" s="22">
        <v>4</v>
      </c>
      <c r="B155" s="171" t="s">
        <v>347</v>
      </c>
      <c r="C155" s="171" t="s">
        <v>348</v>
      </c>
      <c r="D155" s="171" t="s">
        <v>217</v>
      </c>
      <c r="E155" s="21"/>
      <c r="F155" s="119">
        <f>IFERROR(VLOOKUP(B155,'Them gio'!$B$5:$H$38,3,0),0)</f>
        <v>0</v>
      </c>
      <c r="G155" s="119">
        <f>IFERROR(VLOOKUP(B155,'Them gio'!$B$5:$H$38,7,0),0)</f>
        <v>0</v>
      </c>
      <c r="H155" s="119"/>
      <c r="I155" s="21"/>
      <c r="J155" s="120">
        <f t="shared" si="11"/>
        <v>0</v>
      </c>
      <c r="K155" s="181">
        <f t="shared" si="12"/>
        <v>0</v>
      </c>
      <c r="L155" s="21"/>
      <c r="M155" s="185">
        <f t="shared" si="13"/>
        <v>0</v>
      </c>
    </row>
    <row r="156" spans="1:13" x14ac:dyDescent="0.3">
      <c r="A156" s="22">
        <v>5</v>
      </c>
      <c r="B156" s="171" t="s">
        <v>349</v>
      </c>
      <c r="C156" s="171" t="s">
        <v>350</v>
      </c>
      <c r="D156" s="171" t="s">
        <v>66</v>
      </c>
      <c r="E156" s="21"/>
      <c r="F156" s="119">
        <f>IFERROR(VLOOKUP(B156,'Them gio'!$B$5:$H$38,3,0),0)</f>
        <v>0</v>
      </c>
      <c r="G156" s="119">
        <f>IFERROR(VLOOKUP(B156,'Them gio'!$B$5:$H$38,7,0),0)</f>
        <v>0</v>
      </c>
      <c r="H156" s="119"/>
      <c r="I156" s="21"/>
      <c r="J156" s="120">
        <f t="shared" si="11"/>
        <v>0</v>
      </c>
      <c r="K156" s="181">
        <f t="shared" si="12"/>
        <v>0</v>
      </c>
      <c r="L156" s="21"/>
      <c r="M156" s="185">
        <f t="shared" si="13"/>
        <v>0</v>
      </c>
    </row>
    <row r="157" spans="1:13" x14ac:dyDescent="0.3">
      <c r="A157" s="22">
        <v>6</v>
      </c>
      <c r="B157" s="171" t="s">
        <v>351</v>
      </c>
      <c r="C157" s="171" t="s">
        <v>352</v>
      </c>
      <c r="D157" s="171" t="s">
        <v>66</v>
      </c>
      <c r="E157" s="21"/>
      <c r="F157" s="119">
        <f>IFERROR(VLOOKUP(B157,'Them gio'!$B$5:$H$38,3,0),0)</f>
        <v>0</v>
      </c>
      <c r="G157" s="119">
        <f>IFERROR(VLOOKUP(B157,'Them gio'!$B$5:$H$38,7,0),0)</f>
        <v>0</v>
      </c>
      <c r="H157" s="119"/>
      <c r="I157" s="21"/>
      <c r="J157" s="120">
        <f t="shared" si="11"/>
        <v>0</v>
      </c>
      <c r="K157" s="181">
        <f t="shared" si="12"/>
        <v>0</v>
      </c>
      <c r="L157" s="21"/>
      <c r="M157" s="185">
        <f t="shared" si="13"/>
        <v>0</v>
      </c>
    </row>
    <row r="158" spans="1:13" x14ac:dyDescent="0.3">
      <c r="A158" s="22">
        <v>7</v>
      </c>
      <c r="B158" s="171" t="s">
        <v>353</v>
      </c>
      <c r="C158" s="171" t="s">
        <v>354</v>
      </c>
      <c r="D158" s="171" t="s">
        <v>66</v>
      </c>
      <c r="E158" s="21"/>
      <c r="F158" s="119">
        <f>IFERROR(VLOOKUP(B158,'Them gio'!$B$5:$H$38,3,0),0)</f>
        <v>0</v>
      </c>
      <c r="G158" s="119">
        <f>IFERROR(VLOOKUP(B158,'Them gio'!$B$5:$H$38,7,0),0)</f>
        <v>0</v>
      </c>
      <c r="H158" s="119"/>
      <c r="I158" s="21"/>
      <c r="J158" s="120">
        <f t="shared" si="11"/>
        <v>0</v>
      </c>
      <c r="K158" s="181">
        <f t="shared" si="12"/>
        <v>0</v>
      </c>
      <c r="L158" s="21"/>
      <c r="M158" s="185">
        <f t="shared" si="13"/>
        <v>0</v>
      </c>
    </row>
    <row r="159" spans="1:13" s="24" customFormat="1" x14ac:dyDescent="0.3">
      <c r="A159" s="25">
        <v>8</v>
      </c>
      <c r="B159" s="171" t="s">
        <v>355</v>
      </c>
      <c r="C159" s="171" t="s">
        <v>356</v>
      </c>
      <c r="D159" s="171" t="s">
        <v>66</v>
      </c>
      <c r="E159" s="21"/>
      <c r="F159" s="119">
        <f>IFERROR(VLOOKUP(B159,'Them gio'!$B$5:$H$38,3,0),0)</f>
        <v>0</v>
      </c>
      <c r="G159" s="119">
        <f>IFERROR(VLOOKUP(B159,'Them gio'!$B$5:$H$38,7,0),0)</f>
        <v>0</v>
      </c>
      <c r="H159" s="119"/>
      <c r="I159" s="21"/>
      <c r="J159" s="120">
        <f t="shared" si="11"/>
        <v>0</v>
      </c>
      <c r="K159" s="181">
        <f t="shared" si="12"/>
        <v>0</v>
      </c>
      <c r="L159" s="21"/>
      <c r="M159" s="185">
        <f t="shared" si="13"/>
        <v>0</v>
      </c>
    </row>
    <row r="160" spans="1:13" x14ac:dyDescent="0.3">
      <c r="A160" s="22">
        <v>9</v>
      </c>
      <c r="B160" s="171" t="s">
        <v>365</v>
      </c>
      <c r="C160" s="171" t="s">
        <v>366</v>
      </c>
      <c r="D160" s="171" t="s">
        <v>66</v>
      </c>
      <c r="E160" s="21"/>
      <c r="F160" s="119">
        <f>IFERROR(VLOOKUP(B160,'Them gio'!$B$5:$H$38,3,0),0)</f>
        <v>0</v>
      </c>
      <c r="G160" s="119">
        <f>IFERROR(VLOOKUP(B160,'Them gio'!$B$5:$H$38,7,0),0)</f>
        <v>0</v>
      </c>
      <c r="H160" s="119"/>
      <c r="I160" s="21"/>
      <c r="J160" s="120">
        <f t="shared" si="11"/>
        <v>0</v>
      </c>
      <c r="K160" s="181">
        <f t="shared" si="12"/>
        <v>0</v>
      </c>
      <c r="L160" s="21"/>
      <c r="M160" s="185">
        <f t="shared" si="13"/>
        <v>0</v>
      </c>
    </row>
    <row r="161" spans="1:13" x14ac:dyDescent="0.3">
      <c r="A161" s="22">
        <v>10</v>
      </c>
      <c r="B161" s="171" t="s">
        <v>367</v>
      </c>
      <c r="C161" s="171" t="s">
        <v>368</v>
      </c>
      <c r="D161" s="171" t="s">
        <v>66</v>
      </c>
      <c r="E161" s="21"/>
      <c r="F161" s="119">
        <f>IFERROR(VLOOKUP(B161,'Them gio'!$B$5:$H$38,3,0),0)</f>
        <v>0</v>
      </c>
      <c r="G161" s="119">
        <f>IFERROR(VLOOKUP(B161,'Them gio'!$B$5:$H$38,7,0),0)</f>
        <v>0</v>
      </c>
      <c r="H161" s="119"/>
      <c r="I161" s="21"/>
      <c r="J161" s="120">
        <f t="shared" si="11"/>
        <v>0</v>
      </c>
      <c r="K161" s="181">
        <f t="shared" si="12"/>
        <v>0</v>
      </c>
      <c r="L161" s="21"/>
      <c r="M161" s="185">
        <f t="shared" si="13"/>
        <v>0</v>
      </c>
    </row>
    <row r="162" spans="1:13" x14ac:dyDescent="0.3">
      <c r="A162" s="22">
        <v>11</v>
      </c>
      <c r="B162" s="171" t="s">
        <v>371</v>
      </c>
      <c r="C162" s="171" t="s">
        <v>372</v>
      </c>
      <c r="D162" s="171" t="s">
        <v>66</v>
      </c>
      <c r="E162" s="21"/>
      <c r="F162" s="119">
        <f>IFERROR(VLOOKUP(B162,'Them gio'!$B$5:$H$38,3,0),0)</f>
        <v>0</v>
      </c>
      <c r="G162" s="119">
        <f>IFERROR(VLOOKUP(B162,'Them gio'!$B$5:$H$38,7,0),0)</f>
        <v>0</v>
      </c>
      <c r="H162" s="119"/>
      <c r="I162" s="21"/>
      <c r="J162" s="120">
        <f t="shared" si="11"/>
        <v>0</v>
      </c>
      <c r="K162" s="181">
        <f t="shared" si="12"/>
        <v>0</v>
      </c>
      <c r="L162" s="21"/>
      <c r="M162" s="185">
        <f t="shared" si="13"/>
        <v>0</v>
      </c>
    </row>
    <row r="163" spans="1:13" x14ac:dyDescent="0.3">
      <c r="A163" s="22">
        <v>12</v>
      </c>
      <c r="B163" s="171" t="s">
        <v>373</v>
      </c>
      <c r="C163" s="171" t="s">
        <v>374</v>
      </c>
      <c r="D163" s="171" t="s">
        <v>66</v>
      </c>
      <c r="E163" s="21"/>
      <c r="F163" s="119">
        <f>IFERROR(VLOOKUP(B163,'Them gio'!$B$5:$H$38,3,0),0)</f>
        <v>0</v>
      </c>
      <c r="G163" s="119">
        <f>IFERROR(VLOOKUP(B163,'Them gio'!$B$5:$H$38,7,0),0)</f>
        <v>0</v>
      </c>
      <c r="H163" s="119"/>
      <c r="I163" s="21"/>
      <c r="J163" s="120">
        <f t="shared" si="11"/>
        <v>0</v>
      </c>
      <c r="K163" s="181">
        <f t="shared" si="12"/>
        <v>0</v>
      </c>
      <c r="L163" s="21"/>
      <c r="M163" s="185">
        <f t="shared" si="13"/>
        <v>0</v>
      </c>
    </row>
    <row r="164" spans="1:13" x14ac:dyDescent="0.3">
      <c r="A164" s="22">
        <v>13</v>
      </c>
      <c r="B164" s="171" t="s">
        <v>375</v>
      </c>
      <c r="C164" s="171" t="s">
        <v>376</v>
      </c>
      <c r="D164" s="171" t="s">
        <v>66</v>
      </c>
      <c r="E164" s="21"/>
      <c r="F164" s="119">
        <f>IFERROR(VLOOKUP(B164,'Them gio'!$B$5:$H$38,3,0),0)</f>
        <v>0</v>
      </c>
      <c r="G164" s="119">
        <f>IFERROR(VLOOKUP(B164,'Them gio'!$B$5:$H$38,7,0),0)</f>
        <v>0</v>
      </c>
      <c r="H164" s="119"/>
      <c r="I164" s="21"/>
      <c r="J164" s="120">
        <f t="shared" si="11"/>
        <v>0</v>
      </c>
      <c r="K164" s="181">
        <f t="shared" si="12"/>
        <v>0</v>
      </c>
      <c r="L164" s="21"/>
      <c r="M164" s="185">
        <f t="shared" si="13"/>
        <v>0</v>
      </c>
    </row>
    <row r="165" spans="1:13" x14ac:dyDescent="0.3">
      <c r="A165" s="22">
        <v>14</v>
      </c>
      <c r="B165" s="171" t="s">
        <v>361</v>
      </c>
      <c r="C165" s="171" t="s">
        <v>362</v>
      </c>
      <c r="D165" s="171" t="s">
        <v>66</v>
      </c>
      <c r="E165" s="21"/>
      <c r="F165" s="119">
        <f>IFERROR(VLOOKUP(B165,'Them gio'!$B$5:$H$38,3,0),0)</f>
        <v>0</v>
      </c>
      <c r="G165" s="119">
        <f>IFERROR(VLOOKUP(B165,'Them gio'!$B$5:$H$38,7,0),0)</f>
        <v>0</v>
      </c>
      <c r="H165" s="119"/>
      <c r="I165" s="21"/>
      <c r="J165" s="120">
        <f t="shared" si="11"/>
        <v>0</v>
      </c>
      <c r="K165" s="181">
        <f t="shared" si="12"/>
        <v>0</v>
      </c>
      <c r="L165" s="21"/>
      <c r="M165" s="185">
        <f t="shared" si="13"/>
        <v>0</v>
      </c>
    </row>
    <row r="166" spans="1:13" x14ac:dyDescent="0.3">
      <c r="A166" s="22">
        <v>15</v>
      </c>
      <c r="B166" s="171" t="s">
        <v>359</v>
      </c>
      <c r="C166" s="171" t="s">
        <v>360</v>
      </c>
      <c r="D166" s="171" t="s">
        <v>66</v>
      </c>
      <c r="E166" s="21"/>
      <c r="F166" s="119">
        <f>IFERROR(VLOOKUP(B166,'Them gio'!$B$5:$H$38,3,0),0)</f>
        <v>0</v>
      </c>
      <c r="G166" s="119">
        <f>IFERROR(VLOOKUP(B166,'Them gio'!$B$5:$H$38,7,0),0)</f>
        <v>0</v>
      </c>
      <c r="H166" s="119"/>
      <c r="I166" s="21"/>
      <c r="J166" s="120">
        <f t="shared" si="11"/>
        <v>0</v>
      </c>
      <c r="K166" s="181">
        <f t="shared" si="12"/>
        <v>0</v>
      </c>
      <c r="L166" s="21"/>
      <c r="M166" s="185">
        <f t="shared" si="13"/>
        <v>0</v>
      </c>
    </row>
    <row r="167" spans="1:13" x14ac:dyDescent="0.3">
      <c r="A167" s="22">
        <v>16</v>
      </c>
      <c r="B167" s="171" t="s">
        <v>369</v>
      </c>
      <c r="C167" s="171" t="s">
        <v>370</v>
      </c>
      <c r="D167" s="171" t="s">
        <v>66</v>
      </c>
      <c r="E167" s="21">
        <v>5000000</v>
      </c>
      <c r="F167" s="119">
        <f>IFERROR(VLOOKUP(B167,'Them gio'!$B$5:$H$38,3,0),0)</f>
        <v>0</v>
      </c>
      <c r="G167" s="119">
        <f>IFERROR(VLOOKUP(B167,'Them gio'!$B$5:$H$38,7,0),0)</f>
        <v>0</v>
      </c>
      <c r="H167" s="119"/>
      <c r="I167" s="21"/>
      <c r="J167" s="120">
        <f t="shared" si="11"/>
        <v>5000000</v>
      </c>
      <c r="K167" s="181">
        <f t="shared" si="12"/>
        <v>0</v>
      </c>
      <c r="L167" s="21"/>
      <c r="M167" s="185">
        <f t="shared" si="13"/>
        <v>5000000</v>
      </c>
    </row>
    <row r="168" spans="1:13" x14ac:dyDescent="0.3">
      <c r="A168" s="22">
        <v>17</v>
      </c>
      <c r="B168" s="171" t="s">
        <v>809</v>
      </c>
      <c r="C168" s="171" t="s">
        <v>810</v>
      </c>
      <c r="D168" s="171" t="s">
        <v>66</v>
      </c>
      <c r="E168" s="21">
        <v>5000000</v>
      </c>
      <c r="F168" s="119">
        <f>IFERROR(VLOOKUP(B168,'Them gio'!$B$5:$H$38,3,0),0)</f>
        <v>0</v>
      </c>
      <c r="G168" s="119">
        <f>IFERROR(VLOOKUP(B168,'Them gio'!$B$5:$H$38,7,0),0)</f>
        <v>0</v>
      </c>
      <c r="H168" s="119"/>
      <c r="I168" s="21"/>
      <c r="J168" s="120">
        <f t="shared" si="11"/>
        <v>5000000</v>
      </c>
      <c r="K168" s="181">
        <f t="shared" si="12"/>
        <v>0</v>
      </c>
      <c r="L168" s="21"/>
      <c r="M168" s="185">
        <f t="shared" si="13"/>
        <v>5000000</v>
      </c>
    </row>
    <row r="169" spans="1:13" s="24" customFormat="1" x14ac:dyDescent="0.3">
      <c r="A169" s="25">
        <v>18</v>
      </c>
      <c r="B169" s="171" t="s">
        <v>363</v>
      </c>
      <c r="C169" s="171" t="s">
        <v>364</v>
      </c>
      <c r="D169" s="171" t="s">
        <v>238</v>
      </c>
      <c r="E169" s="21"/>
      <c r="F169" s="119">
        <f>IFERROR(VLOOKUP(B169,'Them gio'!$B$5:$H$38,3,0),0)</f>
        <v>0</v>
      </c>
      <c r="G169" s="119">
        <f>IFERROR(VLOOKUP(B169,'Them gio'!$B$5:$H$38,7,0),0)</f>
        <v>0</v>
      </c>
      <c r="H169" s="119"/>
      <c r="I169" s="21"/>
      <c r="J169" s="120">
        <f t="shared" si="11"/>
        <v>0</v>
      </c>
      <c r="K169" s="181">
        <f t="shared" si="12"/>
        <v>0</v>
      </c>
      <c r="L169" s="21"/>
      <c r="M169" s="185">
        <f t="shared" si="13"/>
        <v>0</v>
      </c>
    </row>
    <row r="170" spans="1:13" x14ac:dyDescent="0.3">
      <c r="A170" s="22">
        <v>0</v>
      </c>
      <c r="B170" s="171" t="s">
        <v>40</v>
      </c>
      <c r="C170" s="171" t="s">
        <v>377</v>
      </c>
      <c r="D170" s="171"/>
      <c r="E170" s="21"/>
      <c r="F170" s="119">
        <f>IFERROR(VLOOKUP(B170,'Them gio'!$B$5:$H$38,3,0),0)</f>
        <v>0</v>
      </c>
      <c r="G170" s="119">
        <f>IFERROR(VLOOKUP(B170,'Them gio'!$B$5:$H$38,7,0),0)</f>
        <v>0</v>
      </c>
      <c r="H170" s="119"/>
      <c r="I170" s="21"/>
      <c r="J170" s="120">
        <f t="shared" si="11"/>
        <v>0</v>
      </c>
      <c r="K170" s="181">
        <f t="shared" si="12"/>
        <v>0</v>
      </c>
      <c r="L170" s="21"/>
      <c r="M170" s="185">
        <f t="shared" si="13"/>
        <v>0</v>
      </c>
    </row>
    <row r="171" spans="1:13" x14ac:dyDescent="0.3">
      <c r="A171" s="22">
        <v>1</v>
      </c>
      <c r="B171" s="171" t="s">
        <v>378</v>
      </c>
      <c r="C171" s="171" t="s">
        <v>379</v>
      </c>
      <c r="D171" s="171" t="s">
        <v>214</v>
      </c>
      <c r="E171" s="21"/>
      <c r="F171" s="119">
        <f>IFERROR(VLOOKUP(B171,'Them gio'!$B$5:$H$38,3,0),0)</f>
        <v>0</v>
      </c>
      <c r="G171" s="119">
        <f>IFERROR(VLOOKUP(B171,'Them gio'!$B$5:$H$38,7,0),0)</f>
        <v>0</v>
      </c>
      <c r="H171" s="119"/>
      <c r="I171" s="21"/>
      <c r="J171" s="120">
        <f t="shared" si="11"/>
        <v>0</v>
      </c>
      <c r="K171" s="181">
        <f t="shared" si="12"/>
        <v>0</v>
      </c>
      <c r="L171" s="21"/>
      <c r="M171" s="185">
        <f t="shared" si="13"/>
        <v>0</v>
      </c>
    </row>
    <row r="172" spans="1:13" x14ac:dyDescent="0.3">
      <c r="A172" s="22">
        <v>2</v>
      </c>
      <c r="B172" s="171" t="s">
        <v>428</v>
      </c>
      <c r="C172" s="171" t="s">
        <v>429</v>
      </c>
      <c r="D172" s="171" t="s">
        <v>430</v>
      </c>
      <c r="E172" s="21"/>
      <c r="F172" s="119">
        <f>IFERROR(VLOOKUP(B172,'Them gio'!$B$5:$H$38,3,0),0)</f>
        <v>0</v>
      </c>
      <c r="G172" s="119">
        <f>IFERROR(VLOOKUP(B172,'Them gio'!$B$5:$H$38,7,0),0)</f>
        <v>0</v>
      </c>
      <c r="H172" s="119"/>
      <c r="I172" s="21"/>
      <c r="J172" s="120">
        <f t="shared" si="11"/>
        <v>0</v>
      </c>
      <c r="K172" s="181">
        <f t="shared" si="12"/>
        <v>0</v>
      </c>
      <c r="L172" s="21"/>
      <c r="M172" s="185">
        <f t="shared" si="13"/>
        <v>0</v>
      </c>
    </row>
    <row r="173" spans="1:13" x14ac:dyDescent="0.3">
      <c r="A173" s="22">
        <v>3</v>
      </c>
      <c r="B173" s="171" t="s">
        <v>382</v>
      </c>
      <c r="C173" s="171" t="s">
        <v>383</v>
      </c>
      <c r="D173" s="171" t="s">
        <v>217</v>
      </c>
      <c r="E173" s="21">
        <v>5000000</v>
      </c>
      <c r="F173" s="119">
        <f>IFERROR(VLOOKUP(B173,'Them gio'!$B$5:$H$38,3,0),0)</f>
        <v>0</v>
      </c>
      <c r="G173" s="119">
        <f>IFERROR(VLOOKUP(B173,'Them gio'!$B$5:$H$38,7,0),0)</f>
        <v>0</v>
      </c>
      <c r="H173" s="119"/>
      <c r="I173" s="21"/>
      <c r="J173" s="120">
        <f t="shared" si="11"/>
        <v>5000000</v>
      </c>
      <c r="K173" s="181">
        <f t="shared" si="12"/>
        <v>0</v>
      </c>
      <c r="L173" s="21"/>
      <c r="M173" s="185">
        <f t="shared" si="13"/>
        <v>5000000</v>
      </c>
    </row>
    <row r="174" spans="1:13" x14ac:dyDescent="0.3">
      <c r="A174" s="22">
        <v>4</v>
      </c>
      <c r="B174" s="171" t="s">
        <v>394</v>
      </c>
      <c r="C174" s="171" t="s">
        <v>395</v>
      </c>
      <c r="D174" s="171" t="s">
        <v>217</v>
      </c>
      <c r="E174" s="21"/>
      <c r="F174" s="119">
        <f>IFERROR(VLOOKUP(B174,'Them gio'!$B$5:$H$38,3,0),0)</f>
        <v>0</v>
      </c>
      <c r="G174" s="119">
        <f>IFERROR(VLOOKUP(B174,'Them gio'!$B$5:$H$38,7,0),0)</f>
        <v>0</v>
      </c>
      <c r="H174" s="119"/>
      <c r="I174" s="21"/>
      <c r="J174" s="120">
        <f t="shared" si="11"/>
        <v>0</v>
      </c>
      <c r="K174" s="181">
        <f t="shared" si="12"/>
        <v>0</v>
      </c>
      <c r="L174" s="21"/>
      <c r="M174" s="185">
        <f t="shared" si="13"/>
        <v>0</v>
      </c>
    </row>
    <row r="175" spans="1:13" x14ac:dyDescent="0.3">
      <c r="A175" s="22">
        <v>5</v>
      </c>
      <c r="B175" s="171" t="s">
        <v>380</v>
      </c>
      <c r="C175" s="171" t="s">
        <v>381</v>
      </c>
      <c r="D175" s="171" t="s">
        <v>217</v>
      </c>
      <c r="E175" s="21"/>
      <c r="F175" s="119">
        <f>IFERROR(VLOOKUP(B175,'Them gio'!$B$5:$H$38,3,0),0)</f>
        <v>0</v>
      </c>
      <c r="G175" s="119">
        <f>IFERROR(VLOOKUP(B175,'Them gio'!$B$5:$H$38,7,0),0)</f>
        <v>0</v>
      </c>
      <c r="H175" s="119"/>
      <c r="I175" s="21"/>
      <c r="J175" s="120">
        <f t="shared" si="11"/>
        <v>0</v>
      </c>
      <c r="K175" s="181">
        <f t="shared" si="12"/>
        <v>0</v>
      </c>
      <c r="L175" s="21"/>
      <c r="M175" s="185">
        <f t="shared" si="13"/>
        <v>0</v>
      </c>
    </row>
    <row r="176" spans="1:13" x14ac:dyDescent="0.3">
      <c r="A176" s="22">
        <v>6</v>
      </c>
      <c r="B176" s="171" t="s">
        <v>413</v>
      </c>
      <c r="C176" s="171" t="s">
        <v>414</v>
      </c>
      <c r="D176" s="171" t="s">
        <v>66</v>
      </c>
      <c r="E176" s="21"/>
      <c r="F176" s="119">
        <f>IFERROR(VLOOKUP(B176,'Them gio'!$B$5:$H$38,3,0),0)</f>
        <v>0</v>
      </c>
      <c r="G176" s="119">
        <f>IFERROR(VLOOKUP(B176,'Them gio'!$B$5:$H$38,7,0),0)</f>
        <v>0</v>
      </c>
      <c r="H176" s="119"/>
      <c r="I176" s="21"/>
      <c r="J176" s="120">
        <f t="shared" si="11"/>
        <v>0</v>
      </c>
      <c r="K176" s="181">
        <f t="shared" si="12"/>
        <v>0</v>
      </c>
      <c r="L176" s="21"/>
      <c r="M176" s="185">
        <f t="shared" si="13"/>
        <v>0</v>
      </c>
    </row>
    <row r="177" spans="1:13" x14ac:dyDescent="0.3">
      <c r="A177" s="22">
        <v>7</v>
      </c>
      <c r="B177" s="171" t="s">
        <v>388</v>
      </c>
      <c r="C177" s="171" t="s">
        <v>389</v>
      </c>
      <c r="D177" s="171" t="s">
        <v>66</v>
      </c>
      <c r="E177" s="21"/>
      <c r="F177" s="119">
        <f>IFERROR(VLOOKUP(B177,'Them gio'!$B$5:$H$38,3,0),0)</f>
        <v>0</v>
      </c>
      <c r="G177" s="119">
        <f>IFERROR(VLOOKUP(B177,'Them gio'!$B$5:$H$38,7,0),0)</f>
        <v>0</v>
      </c>
      <c r="H177" s="119"/>
      <c r="I177" s="21"/>
      <c r="J177" s="120">
        <f t="shared" si="11"/>
        <v>0</v>
      </c>
      <c r="K177" s="181">
        <f t="shared" si="12"/>
        <v>0</v>
      </c>
      <c r="L177" s="21"/>
      <c r="M177" s="185">
        <f t="shared" si="13"/>
        <v>0</v>
      </c>
    </row>
    <row r="178" spans="1:13" x14ac:dyDescent="0.3">
      <c r="A178" s="22">
        <v>8</v>
      </c>
      <c r="B178" s="171" t="s">
        <v>384</v>
      </c>
      <c r="C178" s="171" t="s">
        <v>385</v>
      </c>
      <c r="D178" s="171" t="s">
        <v>66</v>
      </c>
      <c r="E178" s="21"/>
      <c r="F178" s="119">
        <f>IFERROR(VLOOKUP(B178,'Them gio'!$B$5:$H$38,3,0),0)</f>
        <v>0</v>
      </c>
      <c r="G178" s="119">
        <f>IFERROR(VLOOKUP(B178,'Them gio'!$B$5:$H$38,7,0),0)</f>
        <v>0</v>
      </c>
      <c r="H178" s="119"/>
      <c r="I178" s="21"/>
      <c r="J178" s="120">
        <f t="shared" si="11"/>
        <v>0</v>
      </c>
      <c r="K178" s="181">
        <f t="shared" si="12"/>
        <v>0</v>
      </c>
      <c r="L178" s="21"/>
      <c r="M178" s="185">
        <f t="shared" si="13"/>
        <v>0</v>
      </c>
    </row>
    <row r="179" spans="1:13" x14ac:dyDescent="0.3">
      <c r="A179" s="22">
        <v>9</v>
      </c>
      <c r="B179" s="171" t="s">
        <v>386</v>
      </c>
      <c r="C179" s="171" t="s">
        <v>387</v>
      </c>
      <c r="D179" s="171" t="s">
        <v>66</v>
      </c>
      <c r="E179" s="21"/>
      <c r="F179" s="119">
        <f>IFERROR(VLOOKUP(B179,'Them gio'!$B$5:$H$38,3,0),0)</f>
        <v>0</v>
      </c>
      <c r="G179" s="119">
        <f>IFERROR(VLOOKUP(B179,'Them gio'!$B$5:$H$38,7,0),0)</f>
        <v>0</v>
      </c>
      <c r="H179" s="119"/>
      <c r="I179" s="21"/>
      <c r="J179" s="120">
        <f t="shared" si="11"/>
        <v>0</v>
      </c>
      <c r="K179" s="181">
        <f t="shared" si="12"/>
        <v>0</v>
      </c>
      <c r="L179" s="21"/>
      <c r="M179" s="185">
        <f t="shared" si="13"/>
        <v>0</v>
      </c>
    </row>
    <row r="180" spans="1:13" x14ac:dyDescent="0.3">
      <c r="A180" s="22">
        <v>10</v>
      </c>
      <c r="B180" s="171" t="s">
        <v>397</v>
      </c>
      <c r="C180" s="171" t="s">
        <v>398</v>
      </c>
      <c r="D180" s="171" t="s">
        <v>66</v>
      </c>
      <c r="E180" s="21"/>
      <c r="F180" s="119">
        <f>IFERROR(VLOOKUP(B180,'Them gio'!$B$5:$H$38,3,0),0)</f>
        <v>0</v>
      </c>
      <c r="G180" s="119">
        <f>IFERROR(VLOOKUP(B180,'Them gio'!$B$5:$H$38,7,0),0)</f>
        <v>0</v>
      </c>
      <c r="H180" s="119"/>
      <c r="I180" s="21"/>
      <c r="J180" s="120">
        <f t="shared" si="11"/>
        <v>0</v>
      </c>
      <c r="K180" s="181">
        <f t="shared" si="12"/>
        <v>0</v>
      </c>
      <c r="L180" s="21"/>
      <c r="M180" s="185">
        <f t="shared" si="13"/>
        <v>0</v>
      </c>
    </row>
    <row r="181" spans="1:13" x14ac:dyDescent="0.3">
      <c r="A181" s="180">
        <v>11</v>
      </c>
      <c r="B181" s="171" t="s">
        <v>401</v>
      </c>
      <c r="C181" s="171" t="s">
        <v>402</v>
      </c>
      <c r="D181" s="171" t="s">
        <v>66</v>
      </c>
      <c r="E181" s="186"/>
      <c r="F181" s="119">
        <f>IFERROR(VLOOKUP(B181,'Them gio'!$B$5:$H$38,3,0),0)</f>
        <v>0</v>
      </c>
      <c r="G181" s="119">
        <f>IFERROR(VLOOKUP(B181,'Them gio'!$B$5:$H$38,7,0),0)</f>
        <v>0</v>
      </c>
      <c r="H181" s="119"/>
      <c r="I181" s="21"/>
      <c r="J181" s="120">
        <f t="shared" si="11"/>
        <v>0</v>
      </c>
      <c r="K181" s="181">
        <f t="shared" si="12"/>
        <v>0</v>
      </c>
      <c r="L181" s="186"/>
      <c r="M181" s="185">
        <f t="shared" si="13"/>
        <v>0</v>
      </c>
    </row>
    <row r="182" spans="1:13" x14ac:dyDescent="0.3">
      <c r="A182" s="29">
        <v>12</v>
      </c>
      <c r="B182" s="171" t="s">
        <v>403</v>
      </c>
      <c r="C182" s="171" t="s">
        <v>404</v>
      </c>
      <c r="D182" s="171" t="s">
        <v>66</v>
      </c>
      <c r="E182" s="30"/>
      <c r="F182" s="119">
        <f>IFERROR(VLOOKUP(B182,'Them gio'!$B$5:$H$38,3,0),0)</f>
        <v>0</v>
      </c>
      <c r="G182" s="119">
        <f>IFERROR(VLOOKUP(B182,'Them gio'!$B$5:$H$38,7,0),0)</f>
        <v>0</v>
      </c>
      <c r="H182" s="30">
        <f t="shared" ref="H182" si="14">SUM(H8:H181)</f>
        <v>0</v>
      </c>
      <c r="J182" s="120">
        <f t="shared" si="11"/>
        <v>0</v>
      </c>
      <c r="K182" s="181">
        <f t="shared" si="12"/>
        <v>0</v>
      </c>
      <c r="M182" s="185">
        <f t="shared" si="13"/>
        <v>0</v>
      </c>
    </row>
    <row r="183" spans="1:13" x14ac:dyDescent="0.3">
      <c r="A183" s="29">
        <v>13</v>
      </c>
      <c r="B183" s="171" t="s">
        <v>392</v>
      </c>
      <c r="C183" s="171" t="s">
        <v>393</v>
      </c>
      <c r="D183" s="171" t="s">
        <v>66</v>
      </c>
      <c r="E183" s="21">
        <v>5000000</v>
      </c>
      <c r="F183" s="119">
        <f>IFERROR(VLOOKUP(B183,'Them gio'!$B$5:$H$38,3,0),0)</f>
        <v>0</v>
      </c>
      <c r="G183" s="119">
        <f>IFERROR(VLOOKUP(B183,'Them gio'!$B$5:$H$38,7,0),0)</f>
        <v>0</v>
      </c>
      <c r="J183" s="120">
        <f t="shared" si="11"/>
        <v>5000000</v>
      </c>
      <c r="K183" s="181">
        <f t="shared" si="12"/>
        <v>0</v>
      </c>
      <c r="M183" s="185">
        <f t="shared" si="13"/>
        <v>5000000</v>
      </c>
    </row>
    <row r="184" spans="1:13" x14ac:dyDescent="0.3">
      <c r="A184" s="29">
        <v>14</v>
      </c>
      <c r="B184" s="171" t="s">
        <v>390</v>
      </c>
      <c r="C184" s="171" t="s">
        <v>391</v>
      </c>
      <c r="D184" s="171" t="s">
        <v>66</v>
      </c>
      <c r="E184" s="23">
        <v>5000000</v>
      </c>
      <c r="F184" s="119">
        <f>IFERROR(VLOOKUP(B184,'Them gio'!$B$5:$H$38,3,0),0)</f>
        <v>930801</v>
      </c>
      <c r="G184" s="119">
        <f>IFERROR(VLOOKUP(B184,'Them gio'!$B$5:$H$38,7,0),0)</f>
        <v>664858</v>
      </c>
      <c r="J184" s="120">
        <f t="shared" si="11"/>
        <v>5930801</v>
      </c>
      <c r="K184" s="181">
        <f t="shared" si="12"/>
        <v>664858</v>
      </c>
      <c r="M184" s="185">
        <f t="shared" si="13"/>
        <v>5000000</v>
      </c>
    </row>
    <row r="185" spans="1:13" x14ac:dyDescent="0.3">
      <c r="A185" s="29">
        <v>15</v>
      </c>
      <c r="B185" s="171" t="s">
        <v>405</v>
      </c>
      <c r="C185" s="171" t="s">
        <v>406</v>
      </c>
      <c r="D185" s="171" t="s">
        <v>66</v>
      </c>
      <c r="F185" s="119">
        <f>IFERROR(VLOOKUP(B185,'Them gio'!$B$5:$H$38,3,0),0)</f>
        <v>0</v>
      </c>
      <c r="G185" s="119">
        <f>IFERROR(VLOOKUP(B185,'Them gio'!$B$5:$H$38,7,0),0)</f>
        <v>0</v>
      </c>
      <c r="J185" s="120">
        <f t="shared" si="11"/>
        <v>0</v>
      </c>
      <c r="K185" s="181">
        <f t="shared" si="12"/>
        <v>0</v>
      </c>
      <c r="M185" s="185">
        <f t="shared" si="13"/>
        <v>0</v>
      </c>
    </row>
    <row r="186" spans="1:13" x14ac:dyDescent="0.3">
      <c r="A186" s="29">
        <v>16</v>
      </c>
      <c r="B186" s="171" t="s">
        <v>407</v>
      </c>
      <c r="C186" s="171" t="s">
        <v>408</v>
      </c>
      <c r="D186" s="171" t="s">
        <v>66</v>
      </c>
      <c r="E186" s="23">
        <v>1000000</v>
      </c>
      <c r="F186" s="119">
        <f>IFERROR(VLOOKUP(B186,'Them gio'!$B$5:$H$38,3,0),0)</f>
        <v>956983</v>
      </c>
      <c r="G186" s="119">
        <f>IFERROR(VLOOKUP(B186,'Them gio'!$B$5:$H$38,7,0),0)</f>
        <v>665728</v>
      </c>
      <c r="J186" s="120">
        <f t="shared" si="11"/>
        <v>1956983</v>
      </c>
      <c r="K186" s="181">
        <f t="shared" si="12"/>
        <v>665728</v>
      </c>
      <c r="M186" s="185">
        <f t="shared" si="13"/>
        <v>1000000</v>
      </c>
    </row>
    <row r="187" spans="1:13" x14ac:dyDescent="0.3">
      <c r="A187" s="29">
        <v>17</v>
      </c>
      <c r="B187" s="171" t="s">
        <v>409</v>
      </c>
      <c r="C187" s="171" t="s">
        <v>410</v>
      </c>
      <c r="D187" s="171" t="s">
        <v>238</v>
      </c>
      <c r="F187" s="119">
        <f>IFERROR(VLOOKUP(B187,'Them gio'!$B$5:$H$38,3,0),0)</f>
        <v>956983</v>
      </c>
      <c r="G187" s="119">
        <f>IFERROR(VLOOKUP(B187,'Them gio'!$B$5:$H$38,7,0),0)</f>
        <v>665728</v>
      </c>
      <c r="J187" s="120">
        <f t="shared" si="11"/>
        <v>956983</v>
      </c>
      <c r="K187" s="181">
        <f t="shared" si="12"/>
        <v>665728</v>
      </c>
      <c r="M187" s="185">
        <f t="shared" si="13"/>
        <v>0</v>
      </c>
    </row>
    <row r="188" spans="1:13" x14ac:dyDescent="0.3">
      <c r="A188" s="29">
        <v>18</v>
      </c>
      <c r="B188" s="171" t="s">
        <v>411</v>
      </c>
      <c r="C188" s="171" t="s">
        <v>412</v>
      </c>
      <c r="D188" s="171" t="s">
        <v>200</v>
      </c>
      <c r="F188" s="119">
        <f>IFERROR(VLOOKUP(B188,'Them gio'!$B$5:$H$38,3,0),0)</f>
        <v>0</v>
      </c>
      <c r="G188" s="119">
        <f>IFERROR(VLOOKUP(B188,'Them gio'!$B$5:$H$38,7,0),0)</f>
        <v>0</v>
      </c>
      <c r="J188" s="120">
        <f t="shared" si="11"/>
        <v>0</v>
      </c>
      <c r="K188" s="181">
        <f t="shared" si="12"/>
        <v>0</v>
      </c>
      <c r="M188" s="185">
        <f t="shared" si="13"/>
        <v>0</v>
      </c>
    </row>
    <row r="189" spans="1:13" x14ac:dyDescent="0.3">
      <c r="E189" s="185">
        <f>SUM(E2:E188)</f>
        <v>212000000</v>
      </c>
      <c r="F189" s="185">
        <f t="shared" ref="F189:G189" si="15">SUM(F2:F188)</f>
        <v>37691569</v>
      </c>
      <c r="G189" s="185">
        <f t="shared" si="15"/>
        <v>27412338</v>
      </c>
      <c r="H189" s="185">
        <f t="shared" ref="H189" si="16">SUM(H2:H188)</f>
        <v>0</v>
      </c>
      <c r="I189" s="185">
        <f t="shared" ref="I189" si="17">SUM(I2:I188)</f>
        <v>0</v>
      </c>
      <c r="J189" s="185">
        <f t="shared" ref="J189" si="18">SUM(J2:J188)</f>
        <v>249691569</v>
      </c>
      <c r="K189" s="185">
        <f t="shared" ref="K189" si="19">SUM(K2:K188)</f>
        <v>29200338</v>
      </c>
      <c r="L189" s="185">
        <f t="shared" ref="L189:M189" si="20">SUM(L2:L188)</f>
        <v>0</v>
      </c>
      <c r="M189" s="185">
        <f t="shared" si="20"/>
        <v>212000000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5"/>
  <sheetViews>
    <sheetView topLeftCell="B1" workbookViewId="0">
      <selection activeCell="E11" sqref="E11"/>
    </sheetView>
  </sheetViews>
  <sheetFormatPr defaultColWidth="9.109375" defaultRowHeight="16.8" x14ac:dyDescent="0.3"/>
  <cols>
    <col min="1" max="1" width="6.6640625" style="29" customWidth="1"/>
    <col min="2" max="2" width="16.33203125" style="23" customWidth="1"/>
    <col min="3" max="3" width="32.88671875" style="23" customWidth="1"/>
    <col min="4" max="4" width="14.33203125" style="23" customWidth="1"/>
    <col min="5" max="5" width="18.44140625" style="23" customWidth="1"/>
    <col min="6" max="8" width="19.33203125" style="23" customWidth="1"/>
    <col min="9" max="9" width="14.5546875" style="23" bestFit="1" customWidth="1"/>
    <col min="10" max="10" width="18.44140625" style="30" customWidth="1"/>
    <col min="11" max="16384" width="9.109375" style="23"/>
  </cols>
  <sheetData>
    <row r="1" spans="1:10" s="19" customFormat="1" x14ac:dyDescent="0.3">
      <c r="A1" s="17" t="s">
        <v>431</v>
      </c>
      <c r="B1" s="18" t="s">
        <v>432</v>
      </c>
      <c r="C1" s="18" t="s">
        <v>422</v>
      </c>
      <c r="D1" s="268" t="s">
        <v>832</v>
      </c>
      <c r="E1" s="271" t="s">
        <v>833</v>
      </c>
      <c r="F1" s="272"/>
      <c r="G1" s="272"/>
      <c r="H1" s="273"/>
      <c r="I1" s="27"/>
      <c r="J1" s="18"/>
    </row>
    <row r="2" spans="1:10" s="19" customFormat="1" x14ac:dyDescent="0.3">
      <c r="A2" s="17"/>
      <c r="B2" s="18"/>
      <c r="C2" s="18"/>
      <c r="D2" s="268"/>
      <c r="E2" s="274"/>
      <c r="F2" s="275"/>
      <c r="G2" s="275"/>
      <c r="H2" s="276"/>
      <c r="I2" s="27"/>
      <c r="J2" s="18"/>
    </row>
    <row r="3" spans="1:10" s="19" customFormat="1" x14ac:dyDescent="0.3">
      <c r="A3" s="17"/>
      <c r="B3" s="18"/>
      <c r="C3" s="18"/>
      <c r="D3" s="268"/>
      <c r="E3" s="268" t="s">
        <v>834</v>
      </c>
      <c r="F3" s="268" t="s">
        <v>835</v>
      </c>
      <c r="G3" s="268" t="s">
        <v>836</v>
      </c>
      <c r="H3" s="269" t="s">
        <v>801</v>
      </c>
      <c r="I3" s="27"/>
      <c r="J3" s="18"/>
    </row>
    <row r="4" spans="1:10" s="19" customFormat="1" x14ac:dyDescent="0.3">
      <c r="A4" s="17"/>
      <c r="B4" s="18"/>
      <c r="C4" s="18"/>
      <c r="D4" s="268"/>
      <c r="E4" s="268"/>
      <c r="F4" s="268"/>
      <c r="G4" s="268"/>
      <c r="H4" s="270"/>
      <c r="I4" s="27"/>
      <c r="J4" s="18"/>
    </row>
    <row r="5" spans="1:10" s="19" customFormat="1" ht="18" x14ac:dyDescent="0.3">
      <c r="A5" s="17"/>
      <c r="B5" s="165" t="s">
        <v>177</v>
      </c>
      <c r="C5" s="166" t="s">
        <v>178</v>
      </c>
      <c r="D5" s="125">
        <v>1702994</v>
      </c>
      <c r="E5" s="129">
        <v>400705</v>
      </c>
      <c r="F5" s="27">
        <v>901585</v>
      </c>
      <c r="G5" s="27">
        <v>0</v>
      </c>
      <c r="H5" s="27">
        <v>1302290</v>
      </c>
      <c r="I5" s="120">
        <f t="shared" ref="I5:I37" si="0">SUM(E5:H5)</f>
        <v>2604580</v>
      </c>
      <c r="J5" s="18"/>
    </row>
    <row r="6" spans="1:10" ht="18" customHeight="1" x14ac:dyDescent="0.3">
      <c r="A6" s="22"/>
      <c r="B6" s="167" t="s">
        <v>59</v>
      </c>
      <c r="C6" s="166" t="s">
        <v>466</v>
      </c>
      <c r="D6" s="125">
        <v>682955</v>
      </c>
      <c r="E6" s="21">
        <v>341477</v>
      </c>
      <c r="F6" s="119">
        <v>0</v>
      </c>
      <c r="G6" s="119">
        <v>0</v>
      </c>
      <c r="H6" s="119">
        <v>341477</v>
      </c>
      <c r="I6" s="120">
        <f t="shared" si="0"/>
        <v>682954</v>
      </c>
      <c r="J6" s="21"/>
    </row>
    <row r="7" spans="1:10" ht="18" customHeight="1" x14ac:dyDescent="0.3">
      <c r="A7" s="22"/>
      <c r="B7" s="167" t="s">
        <v>62</v>
      </c>
      <c r="C7" s="168" t="s">
        <v>461</v>
      </c>
      <c r="D7" s="125">
        <v>1557580</v>
      </c>
      <c r="E7" s="21">
        <v>445023</v>
      </c>
      <c r="F7" s="119">
        <v>667534</v>
      </c>
      <c r="G7" s="119">
        <v>0</v>
      </c>
      <c r="H7" s="119">
        <v>1112557</v>
      </c>
      <c r="I7" s="120">
        <f t="shared" si="0"/>
        <v>2225114</v>
      </c>
      <c r="J7" s="21"/>
    </row>
    <row r="8" spans="1:10" ht="18" customHeight="1" x14ac:dyDescent="0.3">
      <c r="A8" s="22"/>
      <c r="B8" s="167" t="s">
        <v>164</v>
      </c>
      <c r="C8" s="166" t="s">
        <v>165</v>
      </c>
      <c r="D8" s="125">
        <v>2029750</v>
      </c>
      <c r="E8" s="21">
        <v>184523</v>
      </c>
      <c r="F8" s="119">
        <v>1660705</v>
      </c>
      <c r="G8" s="119">
        <v>0</v>
      </c>
      <c r="H8" s="119">
        <v>1845228</v>
      </c>
      <c r="I8" s="120">
        <f t="shared" si="0"/>
        <v>3690456</v>
      </c>
      <c r="J8" s="21"/>
    </row>
    <row r="9" spans="1:10" ht="18" customHeight="1" x14ac:dyDescent="0.3">
      <c r="A9" s="22"/>
      <c r="B9" s="167" t="s">
        <v>166</v>
      </c>
      <c r="C9" s="166" t="s">
        <v>167</v>
      </c>
      <c r="D9" s="125">
        <v>956136</v>
      </c>
      <c r="E9" s="21">
        <v>478068</v>
      </c>
      <c r="F9" s="119">
        <v>0</v>
      </c>
      <c r="G9" s="119">
        <v>0</v>
      </c>
      <c r="H9" s="119">
        <v>478068</v>
      </c>
      <c r="I9" s="120">
        <f t="shared" si="0"/>
        <v>956136</v>
      </c>
      <c r="J9" s="21"/>
    </row>
    <row r="10" spans="1:10" s="24" customFormat="1" ht="18" customHeight="1" x14ac:dyDescent="0.3">
      <c r="A10" s="22"/>
      <c r="B10" s="165" t="s">
        <v>56</v>
      </c>
      <c r="C10" s="166" t="s">
        <v>57</v>
      </c>
      <c r="D10" s="125">
        <v>1291659</v>
      </c>
      <c r="E10" s="21">
        <v>369045</v>
      </c>
      <c r="F10" s="119">
        <v>553568</v>
      </c>
      <c r="G10" s="119">
        <v>0</v>
      </c>
      <c r="H10" s="119">
        <v>922613</v>
      </c>
      <c r="I10" s="120">
        <f t="shared" si="0"/>
        <v>1845226</v>
      </c>
      <c r="J10" s="21"/>
    </row>
    <row r="11" spans="1:10" s="19" customFormat="1" ht="18" customHeight="1" x14ac:dyDescent="0.3">
      <c r="A11" s="22"/>
      <c r="B11" s="167" t="s">
        <v>182</v>
      </c>
      <c r="C11" s="168" t="s">
        <v>183</v>
      </c>
      <c r="D11" s="125">
        <v>682955</v>
      </c>
      <c r="E11" s="21">
        <v>136591</v>
      </c>
      <c r="F11" s="119">
        <v>409773</v>
      </c>
      <c r="G11" s="119">
        <v>0</v>
      </c>
      <c r="H11" s="119">
        <v>546364</v>
      </c>
      <c r="I11" s="120">
        <f t="shared" si="0"/>
        <v>1092728</v>
      </c>
      <c r="J11" s="21"/>
    </row>
    <row r="12" spans="1:10" ht="18" customHeight="1" x14ac:dyDescent="0.3">
      <c r="A12" s="22"/>
      <c r="B12" s="167" t="s">
        <v>184</v>
      </c>
      <c r="C12" s="168" t="s">
        <v>617</v>
      </c>
      <c r="D12" s="125">
        <v>1229318</v>
      </c>
      <c r="E12" s="21">
        <v>409773</v>
      </c>
      <c r="F12" s="119">
        <v>409773</v>
      </c>
      <c r="G12" s="119">
        <v>0</v>
      </c>
      <c r="H12" s="119">
        <v>819546</v>
      </c>
      <c r="I12" s="120">
        <f t="shared" si="0"/>
        <v>1639092</v>
      </c>
      <c r="J12" s="21"/>
    </row>
    <row r="13" spans="1:10" ht="18" customHeight="1" x14ac:dyDescent="0.3">
      <c r="A13" s="22"/>
      <c r="B13" s="167" t="s">
        <v>179</v>
      </c>
      <c r="C13" s="166" t="s">
        <v>180</v>
      </c>
      <c r="D13" s="125">
        <v>1631750</v>
      </c>
      <c r="E13" s="21">
        <v>593364</v>
      </c>
      <c r="F13" s="119">
        <v>445023</v>
      </c>
      <c r="G13" s="119">
        <v>0</v>
      </c>
      <c r="H13" s="119">
        <v>1038387</v>
      </c>
      <c r="I13" s="120">
        <f t="shared" si="0"/>
        <v>2076774</v>
      </c>
      <c r="J13" s="21"/>
    </row>
    <row r="14" spans="1:10" ht="18" customHeight="1" x14ac:dyDescent="0.3">
      <c r="A14" s="22"/>
      <c r="B14" s="167" t="s">
        <v>95</v>
      </c>
      <c r="C14" s="166" t="s">
        <v>505</v>
      </c>
      <c r="D14" s="125">
        <v>1557580</v>
      </c>
      <c r="E14" s="21">
        <v>445023</v>
      </c>
      <c r="F14" s="119">
        <v>667534</v>
      </c>
      <c r="G14" s="119">
        <v>0</v>
      </c>
      <c r="H14" s="119">
        <v>1112557</v>
      </c>
      <c r="I14" s="120">
        <f t="shared" si="0"/>
        <v>2225114</v>
      </c>
      <c r="J14" s="21"/>
    </row>
    <row r="15" spans="1:10" ht="18" x14ac:dyDescent="0.3">
      <c r="A15" s="22"/>
      <c r="B15" s="167" t="s">
        <v>113</v>
      </c>
      <c r="C15" s="166" t="s">
        <v>114</v>
      </c>
      <c r="D15" s="126">
        <v>1602818</v>
      </c>
      <c r="E15" s="21">
        <v>500881</v>
      </c>
      <c r="F15" s="119">
        <v>601057</v>
      </c>
      <c r="G15" s="119">
        <v>0</v>
      </c>
      <c r="H15" s="119">
        <v>1101938</v>
      </c>
      <c r="I15" s="120">
        <f t="shared" si="0"/>
        <v>2203876</v>
      </c>
      <c r="J15" s="21"/>
    </row>
    <row r="16" spans="1:10" s="19" customFormat="1" ht="18" customHeight="1" x14ac:dyDescent="0.3">
      <c r="A16" s="20"/>
      <c r="B16" s="167" t="s">
        <v>116</v>
      </c>
      <c r="C16" s="166" t="s">
        <v>117</v>
      </c>
      <c r="D16" s="125">
        <v>1024432</v>
      </c>
      <c r="E16" s="21">
        <v>409773</v>
      </c>
      <c r="F16" s="27">
        <v>204886</v>
      </c>
      <c r="G16" s="27">
        <v>0</v>
      </c>
      <c r="H16" s="27">
        <v>614659</v>
      </c>
      <c r="I16" s="120">
        <f t="shared" si="0"/>
        <v>1229318</v>
      </c>
      <c r="J16" s="21"/>
    </row>
    <row r="17" spans="1:10" ht="18" customHeight="1" x14ac:dyDescent="0.3">
      <c r="A17" s="22"/>
      <c r="B17" s="167" t="s">
        <v>132</v>
      </c>
      <c r="C17" s="168" t="s">
        <v>133</v>
      </c>
      <c r="D17" s="125">
        <v>1291659</v>
      </c>
      <c r="E17" s="21">
        <v>369045</v>
      </c>
      <c r="F17" s="119">
        <v>553568</v>
      </c>
      <c r="G17" s="119">
        <v>0</v>
      </c>
      <c r="H17" s="119">
        <v>922613</v>
      </c>
      <c r="I17" s="120">
        <f t="shared" si="0"/>
        <v>1845226</v>
      </c>
      <c r="J17" s="21"/>
    </row>
    <row r="18" spans="1:10" s="19" customFormat="1" ht="18" x14ac:dyDescent="0.3">
      <c r="A18" s="22"/>
      <c r="B18" s="167" t="s">
        <v>134</v>
      </c>
      <c r="C18" s="166" t="s">
        <v>135</v>
      </c>
      <c r="D18" s="125">
        <v>1434205</v>
      </c>
      <c r="E18" s="21">
        <v>409773</v>
      </c>
      <c r="F18" s="119">
        <v>614659</v>
      </c>
      <c r="G18" s="119">
        <v>0</v>
      </c>
      <c r="H18" s="119">
        <v>1024432</v>
      </c>
      <c r="I18" s="120">
        <f t="shared" si="0"/>
        <v>2048864</v>
      </c>
      <c r="J18" s="21"/>
    </row>
    <row r="19" spans="1:10" ht="18" customHeight="1" x14ac:dyDescent="0.3">
      <c r="A19" s="22"/>
      <c r="B19" s="167" t="s">
        <v>80</v>
      </c>
      <c r="C19" s="166" t="s">
        <v>81</v>
      </c>
      <c r="D19" s="125">
        <v>1024432</v>
      </c>
      <c r="E19" s="21">
        <v>204886</v>
      </c>
      <c r="F19" s="119">
        <v>614659</v>
      </c>
      <c r="G19" s="119">
        <v>0</v>
      </c>
      <c r="H19" s="119">
        <v>819545</v>
      </c>
      <c r="I19" s="120">
        <f t="shared" si="0"/>
        <v>1639090</v>
      </c>
      <c r="J19" s="21"/>
    </row>
    <row r="20" spans="1:10" ht="18" customHeight="1" x14ac:dyDescent="0.3">
      <c r="A20" s="22"/>
      <c r="B20" s="167" t="s">
        <v>82</v>
      </c>
      <c r="C20" s="166" t="s">
        <v>83</v>
      </c>
      <c r="D20" s="125">
        <v>1229318</v>
      </c>
      <c r="E20" s="21">
        <v>409773</v>
      </c>
      <c r="F20" s="119">
        <v>409773</v>
      </c>
      <c r="G20" s="119">
        <v>0</v>
      </c>
      <c r="H20" s="119">
        <v>819546</v>
      </c>
      <c r="I20" s="120">
        <f t="shared" si="0"/>
        <v>1639092</v>
      </c>
      <c r="J20" s="21"/>
    </row>
    <row r="21" spans="1:10" s="19" customFormat="1" ht="18" customHeight="1" x14ac:dyDescent="0.3">
      <c r="A21" s="20"/>
      <c r="B21" s="233" t="s">
        <v>145</v>
      </c>
      <c r="C21" s="128" t="s">
        <v>146</v>
      </c>
      <c r="D21" s="169">
        <v>2214273</v>
      </c>
      <c r="E21" s="21">
        <v>553568</v>
      </c>
      <c r="F21" s="27">
        <v>1107136</v>
      </c>
      <c r="G21" s="27">
        <v>0</v>
      </c>
      <c r="H21" s="27">
        <v>1660704</v>
      </c>
      <c r="I21" s="120">
        <f t="shared" si="0"/>
        <v>3321408</v>
      </c>
      <c r="J21" s="21"/>
    </row>
    <row r="22" spans="1:10" s="19" customFormat="1" ht="18" customHeight="1" x14ac:dyDescent="0.3">
      <c r="A22" s="22"/>
      <c r="B22" s="233" t="s">
        <v>147</v>
      </c>
      <c r="C22" s="234" t="s">
        <v>148</v>
      </c>
      <c r="D22" s="169">
        <v>1483409</v>
      </c>
      <c r="E22" s="21">
        <v>519193</v>
      </c>
      <c r="F22" s="119">
        <v>445023</v>
      </c>
      <c r="G22" s="119">
        <v>0</v>
      </c>
      <c r="H22" s="119">
        <v>964216</v>
      </c>
      <c r="I22" s="120">
        <f t="shared" si="0"/>
        <v>1928432</v>
      </c>
      <c r="J22" s="21"/>
    </row>
    <row r="23" spans="1:10" ht="18" customHeight="1" x14ac:dyDescent="0.3">
      <c r="A23" s="22"/>
      <c r="B23" s="233" t="s">
        <v>149</v>
      </c>
      <c r="C23" s="234" t="s">
        <v>150</v>
      </c>
      <c r="D23" s="169">
        <v>1019449</v>
      </c>
      <c r="E23" s="21">
        <v>310267</v>
      </c>
      <c r="F23" s="119">
        <v>398915</v>
      </c>
      <c r="G23" s="119">
        <v>0</v>
      </c>
      <c r="H23" s="119">
        <v>709182</v>
      </c>
      <c r="I23" s="120">
        <f t="shared" si="0"/>
        <v>1418364</v>
      </c>
      <c r="J23" s="21"/>
    </row>
    <row r="24" spans="1:10" ht="18" customHeight="1" x14ac:dyDescent="0.3">
      <c r="A24" s="22"/>
      <c r="B24" s="233" t="s">
        <v>153</v>
      </c>
      <c r="C24" s="234" t="s">
        <v>154</v>
      </c>
      <c r="D24" s="169">
        <v>1701409</v>
      </c>
      <c r="E24" s="21">
        <v>567136</v>
      </c>
      <c r="F24" s="21">
        <v>567136</v>
      </c>
      <c r="G24" s="119">
        <v>0</v>
      </c>
      <c r="H24" s="119">
        <v>1134272</v>
      </c>
      <c r="I24" s="120">
        <f t="shared" si="0"/>
        <v>2268544</v>
      </c>
      <c r="J24" s="21"/>
    </row>
    <row r="25" spans="1:10" ht="18" customHeight="1" x14ac:dyDescent="0.3">
      <c r="A25" s="22"/>
      <c r="B25" s="233" t="s">
        <v>157</v>
      </c>
      <c r="C25" s="234" t="s">
        <v>158</v>
      </c>
      <c r="D25" s="169">
        <v>1289847</v>
      </c>
      <c r="E25" s="21">
        <v>332864</v>
      </c>
      <c r="F25" s="119">
        <v>624119</v>
      </c>
      <c r="G25" s="119">
        <v>0</v>
      </c>
      <c r="H25" s="119">
        <v>956983</v>
      </c>
      <c r="I25" s="120">
        <f t="shared" si="0"/>
        <v>1913966</v>
      </c>
      <c r="J25" s="21"/>
    </row>
    <row r="26" spans="1:10" s="24" customFormat="1" ht="18" customHeight="1" x14ac:dyDescent="0.3">
      <c r="A26" s="22"/>
      <c r="B26" s="233" t="s">
        <v>161</v>
      </c>
      <c r="C26" s="234" t="s">
        <v>162</v>
      </c>
      <c r="D26" s="169">
        <v>667534</v>
      </c>
      <c r="E26" s="21">
        <v>0</v>
      </c>
      <c r="F26" s="119">
        <v>667534</v>
      </c>
      <c r="G26" s="119">
        <v>0</v>
      </c>
      <c r="H26" s="119">
        <v>667534</v>
      </c>
      <c r="I26" s="120">
        <f t="shared" si="0"/>
        <v>1335068</v>
      </c>
      <c r="J26" s="21"/>
    </row>
    <row r="27" spans="1:10" ht="18" customHeight="1" x14ac:dyDescent="0.3">
      <c r="A27" s="22"/>
      <c r="B27" s="233" t="s">
        <v>159</v>
      </c>
      <c r="C27" s="128" t="s">
        <v>160</v>
      </c>
      <c r="D27" s="169">
        <v>627528</v>
      </c>
      <c r="E27" s="21">
        <v>0</v>
      </c>
      <c r="F27" s="119">
        <v>627528</v>
      </c>
      <c r="G27" s="119">
        <v>0</v>
      </c>
      <c r="H27" s="119">
        <v>627528</v>
      </c>
      <c r="I27" s="120">
        <f t="shared" si="0"/>
        <v>1255056</v>
      </c>
      <c r="J27" s="21"/>
    </row>
    <row r="28" spans="1:10" ht="18" customHeight="1" x14ac:dyDescent="0.3">
      <c r="A28" s="22"/>
      <c r="B28" s="233" t="s">
        <v>151</v>
      </c>
      <c r="C28" s="128" t="s">
        <v>152</v>
      </c>
      <c r="D28" s="169">
        <v>567136</v>
      </c>
      <c r="E28" s="21">
        <v>0</v>
      </c>
      <c r="F28" s="119">
        <v>567136</v>
      </c>
      <c r="G28" s="119">
        <v>0</v>
      </c>
      <c r="H28" s="119">
        <v>567136</v>
      </c>
      <c r="I28" s="120">
        <f t="shared" si="0"/>
        <v>1134272</v>
      </c>
      <c r="J28" s="21"/>
    </row>
    <row r="29" spans="1:10" ht="18" customHeight="1" x14ac:dyDescent="0.3">
      <c r="A29" s="22"/>
      <c r="B29" s="233" t="s">
        <v>155</v>
      </c>
      <c r="C29" s="234" t="s">
        <v>156</v>
      </c>
      <c r="D29" s="169">
        <v>400960</v>
      </c>
      <c r="E29" s="21">
        <v>0</v>
      </c>
      <c r="F29" s="119">
        <v>400960</v>
      </c>
      <c r="G29" s="119">
        <v>0</v>
      </c>
      <c r="H29" s="119">
        <v>400960</v>
      </c>
      <c r="I29" s="120">
        <f t="shared" si="0"/>
        <v>801920</v>
      </c>
      <c r="J29" s="21"/>
    </row>
    <row r="30" spans="1:10" s="19" customFormat="1" ht="18" customHeight="1" x14ac:dyDescent="0.3">
      <c r="A30" s="20"/>
      <c r="B30" s="233" t="s">
        <v>136</v>
      </c>
      <c r="C30" s="234" t="s">
        <v>137</v>
      </c>
      <c r="D30" s="169">
        <v>878540</v>
      </c>
      <c r="E30" s="21">
        <v>125506</v>
      </c>
      <c r="F30" s="27">
        <v>627528</v>
      </c>
      <c r="G30" s="27">
        <v>0</v>
      </c>
      <c r="H30" s="27">
        <v>753034</v>
      </c>
      <c r="I30" s="120">
        <f t="shared" si="0"/>
        <v>1506068</v>
      </c>
      <c r="J30" s="21"/>
    </row>
    <row r="31" spans="1:10" ht="18" customHeight="1" x14ac:dyDescent="0.3">
      <c r="A31" s="22"/>
      <c r="B31" s="233" t="s">
        <v>86</v>
      </c>
      <c r="C31" s="234" t="s">
        <v>87</v>
      </c>
      <c r="D31" s="169">
        <v>801920</v>
      </c>
      <c r="E31" s="21">
        <v>267307</v>
      </c>
      <c r="F31" s="27">
        <v>267307</v>
      </c>
      <c r="G31" s="121">
        <v>0</v>
      </c>
      <c r="H31" s="121">
        <v>534614</v>
      </c>
      <c r="I31" s="120">
        <f t="shared" si="0"/>
        <v>1069228</v>
      </c>
      <c r="J31" s="21"/>
    </row>
    <row r="32" spans="1:10" s="19" customFormat="1" ht="18" customHeight="1" x14ac:dyDescent="0.3">
      <c r="A32" s="22"/>
      <c r="B32" s="233" t="s">
        <v>90</v>
      </c>
      <c r="C32" s="234" t="s">
        <v>91</v>
      </c>
      <c r="D32" s="169">
        <v>712818</v>
      </c>
      <c r="E32" s="21">
        <v>222756</v>
      </c>
      <c r="F32" s="27">
        <v>267307</v>
      </c>
      <c r="G32" s="27">
        <v>0</v>
      </c>
      <c r="H32" s="27">
        <v>490063</v>
      </c>
      <c r="I32" s="120">
        <f t="shared" si="0"/>
        <v>980126</v>
      </c>
      <c r="J32" s="21"/>
    </row>
    <row r="33" spans="1:10" ht="18" customHeight="1" x14ac:dyDescent="0.3">
      <c r="A33" s="22"/>
      <c r="B33" s="233" t="s">
        <v>92</v>
      </c>
      <c r="C33" s="234" t="s">
        <v>93</v>
      </c>
      <c r="D33" s="169">
        <v>846472</v>
      </c>
      <c r="E33" s="21">
        <v>222756</v>
      </c>
      <c r="F33" s="27">
        <v>400960</v>
      </c>
      <c r="G33" s="27">
        <v>0</v>
      </c>
      <c r="H33" s="121">
        <v>623716</v>
      </c>
      <c r="I33" s="120">
        <f t="shared" si="0"/>
        <v>1247432</v>
      </c>
      <c r="J33" s="21"/>
    </row>
    <row r="34" spans="1:10" ht="18" customHeight="1" x14ac:dyDescent="0.3">
      <c r="A34" s="22"/>
      <c r="B34" s="233" t="s">
        <v>84</v>
      </c>
      <c r="C34" s="234" t="s">
        <v>85</v>
      </c>
      <c r="D34" s="169">
        <v>705966</v>
      </c>
      <c r="E34" s="21">
        <v>201705</v>
      </c>
      <c r="F34" s="27">
        <v>302557</v>
      </c>
      <c r="G34" s="27">
        <v>0</v>
      </c>
      <c r="H34" s="121">
        <v>504262</v>
      </c>
      <c r="I34" s="120">
        <f t="shared" si="0"/>
        <v>1008524</v>
      </c>
      <c r="J34" s="21"/>
    </row>
    <row r="35" spans="1:10" ht="18" customHeight="1" x14ac:dyDescent="0.3">
      <c r="A35" s="22"/>
      <c r="B35" s="233" t="s">
        <v>390</v>
      </c>
      <c r="C35" s="128" t="s">
        <v>391</v>
      </c>
      <c r="D35" s="169">
        <v>930801</v>
      </c>
      <c r="E35" s="21">
        <v>265943</v>
      </c>
      <c r="F35" s="27">
        <v>398915</v>
      </c>
      <c r="G35" s="27">
        <v>0</v>
      </c>
      <c r="H35" s="121">
        <v>664858</v>
      </c>
      <c r="I35" s="120">
        <f t="shared" si="0"/>
        <v>1329716</v>
      </c>
      <c r="J35" s="21"/>
    </row>
    <row r="36" spans="1:10" s="24" customFormat="1" ht="18" customHeight="1" x14ac:dyDescent="0.3">
      <c r="A36" s="25"/>
      <c r="B36" s="233" t="s">
        <v>409</v>
      </c>
      <c r="C36" s="234" t="s">
        <v>410</v>
      </c>
      <c r="D36" s="169">
        <v>956983</v>
      </c>
      <c r="E36" s="21">
        <v>291256</v>
      </c>
      <c r="F36" s="27">
        <v>374472</v>
      </c>
      <c r="G36" s="27">
        <v>0</v>
      </c>
      <c r="H36" s="122">
        <v>665728</v>
      </c>
      <c r="I36" s="120">
        <f t="shared" si="0"/>
        <v>1331456</v>
      </c>
      <c r="J36" s="21"/>
    </row>
    <row r="37" spans="1:10" s="24" customFormat="1" ht="18" customHeight="1" x14ac:dyDescent="0.3">
      <c r="A37" s="25"/>
      <c r="B37" s="233" t="s">
        <v>407</v>
      </c>
      <c r="C37" s="234" t="s">
        <v>408</v>
      </c>
      <c r="D37" s="169">
        <v>956983</v>
      </c>
      <c r="E37" s="21">
        <v>291256</v>
      </c>
      <c r="F37" s="27">
        <v>374472</v>
      </c>
      <c r="G37" s="27">
        <v>0</v>
      </c>
      <c r="H37" s="122">
        <v>665728</v>
      </c>
      <c r="I37" s="120">
        <f t="shared" si="0"/>
        <v>1331456</v>
      </c>
      <c r="J37" s="21"/>
    </row>
    <row r="38" spans="1:10" ht="18" customHeight="1" x14ac:dyDescent="0.3">
      <c r="A38" s="22"/>
      <c r="B38" s="125"/>
      <c r="C38" s="125"/>
      <c r="D38" s="125"/>
      <c r="E38" s="21"/>
      <c r="F38" s="121"/>
      <c r="G38" s="121"/>
      <c r="H38" s="121"/>
      <c r="I38" s="120"/>
      <c r="J38" s="21"/>
    </row>
    <row r="39" spans="1:10" ht="18" customHeight="1" x14ac:dyDescent="0.3">
      <c r="A39" s="22"/>
      <c r="B39" s="127"/>
      <c r="C39" s="127"/>
      <c r="D39" s="127"/>
      <c r="E39" s="21"/>
      <c r="F39" s="119"/>
      <c r="G39" s="119"/>
      <c r="H39" s="119"/>
      <c r="I39" s="120"/>
      <c r="J39" s="21"/>
    </row>
    <row r="40" spans="1:10" s="24" customFormat="1" ht="18" customHeight="1" x14ac:dyDescent="0.3">
      <c r="A40" s="22"/>
      <c r="B40" s="125"/>
      <c r="C40" s="125"/>
      <c r="D40" s="125"/>
      <c r="E40" s="21"/>
      <c r="F40" s="21"/>
      <c r="G40" s="119"/>
      <c r="H40" s="119"/>
      <c r="I40" s="120"/>
      <c r="J40" s="21"/>
    </row>
    <row r="41" spans="1:10" ht="18" customHeight="1" x14ac:dyDescent="0.3">
      <c r="A41" s="22"/>
      <c r="B41" s="125"/>
      <c r="C41" s="125"/>
      <c r="D41" s="125"/>
      <c r="E41" s="21"/>
      <c r="F41" s="119"/>
      <c r="G41" s="119"/>
      <c r="H41" s="119"/>
      <c r="I41" s="120"/>
      <c r="J41" s="21"/>
    </row>
    <row r="42" spans="1:10" ht="18" customHeight="1" x14ac:dyDescent="0.3">
      <c r="A42" s="22"/>
      <c r="B42" s="125"/>
      <c r="C42" s="125"/>
      <c r="D42" s="125"/>
      <c r="E42" s="21"/>
      <c r="F42" s="119"/>
      <c r="G42" s="119"/>
      <c r="H42" s="119"/>
      <c r="I42" s="120"/>
      <c r="J42" s="21"/>
    </row>
    <row r="43" spans="1:10" ht="18" customHeight="1" x14ac:dyDescent="0.3">
      <c r="A43" s="22"/>
      <c r="B43" s="125"/>
      <c r="C43" s="125"/>
      <c r="D43" s="125"/>
      <c r="E43" s="21"/>
      <c r="F43" s="119"/>
      <c r="G43" s="119"/>
      <c r="H43" s="119"/>
      <c r="I43" s="120"/>
      <c r="J43" s="21"/>
    </row>
    <row r="44" spans="1:10" s="19" customFormat="1" ht="18" customHeight="1" x14ac:dyDescent="0.3">
      <c r="A44" s="22"/>
      <c r="B44" s="125"/>
      <c r="C44" s="126"/>
      <c r="D44" s="126"/>
      <c r="E44" s="21"/>
      <c r="F44" s="119"/>
      <c r="G44" s="119"/>
      <c r="H44" s="119"/>
      <c r="I44" s="120"/>
      <c r="J44" s="21"/>
    </row>
    <row r="45" spans="1:10" s="19" customFormat="1" ht="18" customHeight="1" x14ac:dyDescent="0.3">
      <c r="A45" s="22"/>
      <c r="B45" s="125"/>
      <c r="C45" s="125"/>
      <c r="D45" s="125"/>
      <c r="E45" s="21"/>
      <c r="F45" s="123"/>
      <c r="G45" s="119"/>
      <c r="H45" s="119"/>
      <c r="I45" s="120"/>
      <c r="J45" s="21"/>
    </row>
    <row r="46" spans="1:10" s="19" customFormat="1" ht="18" customHeight="1" x14ac:dyDescent="0.3">
      <c r="A46" s="20"/>
      <c r="B46" s="125"/>
      <c r="C46" s="125"/>
      <c r="D46" s="125"/>
      <c r="E46" s="21"/>
      <c r="F46" s="123"/>
      <c r="G46" s="27"/>
      <c r="H46" s="27"/>
      <c r="I46" s="120"/>
      <c r="J46" s="21"/>
    </row>
    <row r="47" spans="1:10" ht="18" customHeight="1" x14ac:dyDescent="0.3">
      <c r="A47" s="22"/>
      <c r="B47" s="125"/>
      <c r="C47" s="125"/>
      <c r="D47" s="125"/>
      <c r="E47" s="21"/>
      <c r="F47" s="123"/>
      <c r="G47" s="119"/>
      <c r="H47" s="119"/>
      <c r="I47" s="120"/>
      <c r="J47" s="21"/>
    </row>
    <row r="48" spans="1:10" ht="18" customHeight="1" x14ac:dyDescent="0.3">
      <c r="A48" s="22"/>
      <c r="B48" s="125"/>
      <c r="C48" s="125"/>
      <c r="D48" s="125"/>
      <c r="E48" s="21"/>
      <c r="F48" s="123"/>
      <c r="G48" s="119"/>
      <c r="H48" s="119"/>
      <c r="I48" s="120"/>
      <c r="J48" s="21"/>
    </row>
    <row r="49" spans="1:10" ht="18" customHeight="1" x14ac:dyDescent="0.3">
      <c r="A49" s="22"/>
      <c r="B49" s="125"/>
      <c r="C49" s="125"/>
      <c r="D49" s="125"/>
      <c r="E49" s="21"/>
      <c r="F49" s="123"/>
      <c r="G49" s="119"/>
      <c r="H49" s="119"/>
      <c r="I49" s="120"/>
      <c r="J49" s="21"/>
    </row>
    <row r="50" spans="1:10" ht="18" customHeight="1" x14ac:dyDescent="0.3">
      <c r="A50" s="22"/>
      <c r="B50" s="125"/>
      <c r="C50" s="125"/>
      <c r="D50" s="125"/>
      <c r="E50" s="21"/>
      <c r="F50" s="123"/>
      <c r="G50" s="119"/>
      <c r="H50" s="119"/>
      <c r="I50" s="120"/>
      <c r="J50" s="21"/>
    </row>
    <row r="51" spans="1:10" ht="18" customHeight="1" x14ac:dyDescent="0.3">
      <c r="A51" s="22"/>
      <c r="B51" s="125"/>
      <c r="C51" s="125"/>
      <c r="D51" s="125"/>
      <c r="E51" s="21"/>
      <c r="F51" s="123"/>
      <c r="G51" s="119"/>
      <c r="H51" s="119"/>
      <c r="I51" s="120"/>
      <c r="J51" s="21"/>
    </row>
    <row r="52" spans="1:10" ht="18" customHeight="1" x14ac:dyDescent="0.3">
      <c r="A52" s="22"/>
      <c r="B52" s="125"/>
      <c r="C52" s="125"/>
      <c r="D52" s="125"/>
      <c r="E52" s="21"/>
      <c r="F52" s="123"/>
      <c r="G52" s="119"/>
      <c r="H52" s="119"/>
      <c r="I52" s="120"/>
      <c r="J52" s="21"/>
    </row>
    <row r="53" spans="1:10" ht="18" customHeight="1" x14ac:dyDescent="0.3">
      <c r="A53" s="22"/>
      <c r="B53" s="125"/>
      <c r="C53" s="125"/>
      <c r="D53" s="125"/>
      <c r="E53" s="21"/>
      <c r="F53" s="123"/>
      <c r="G53" s="119"/>
      <c r="H53" s="119"/>
      <c r="I53" s="120"/>
      <c r="J53" s="21"/>
    </row>
    <row r="54" spans="1:10" ht="18" customHeight="1" x14ac:dyDescent="0.3">
      <c r="A54" s="22"/>
      <c r="B54" s="125"/>
      <c r="C54" s="126"/>
      <c r="D54" s="126"/>
      <c r="E54" s="21"/>
      <c r="F54" s="119"/>
      <c r="G54" s="119"/>
      <c r="H54" s="119"/>
      <c r="I54" s="120"/>
      <c r="J54" s="21"/>
    </row>
    <row r="55" spans="1:10" s="19" customFormat="1" ht="18" customHeight="1" x14ac:dyDescent="0.3">
      <c r="A55" s="22"/>
      <c r="B55" s="125"/>
      <c r="C55" s="125"/>
      <c r="D55" s="125"/>
      <c r="E55" s="21"/>
      <c r="F55" s="119"/>
      <c r="G55" s="119"/>
      <c r="H55" s="119"/>
      <c r="I55" s="120"/>
      <c r="J55" s="21"/>
    </row>
    <row r="56" spans="1:10" ht="18" customHeight="1" x14ac:dyDescent="0.3">
      <c r="A56" s="22"/>
      <c r="B56" s="125"/>
      <c r="C56" s="125"/>
      <c r="D56" s="125"/>
      <c r="E56" s="21"/>
      <c r="F56" s="121"/>
      <c r="G56" s="121"/>
      <c r="H56" s="121"/>
      <c r="I56" s="120"/>
      <c r="J56" s="21"/>
    </row>
    <row r="57" spans="1:10" ht="18" customHeight="1" x14ac:dyDescent="0.3">
      <c r="A57" s="22"/>
      <c r="B57" s="125"/>
      <c r="C57" s="125"/>
      <c r="D57" s="125"/>
      <c r="E57" s="21"/>
      <c r="F57" s="21"/>
      <c r="G57" s="121"/>
      <c r="H57" s="121"/>
      <c r="I57" s="120"/>
      <c r="J57" s="21"/>
    </row>
    <row r="58" spans="1:10" s="19" customFormat="1" ht="18" customHeight="1" x14ac:dyDescent="0.3">
      <c r="A58" s="22"/>
      <c r="B58" s="125"/>
      <c r="C58" s="125"/>
      <c r="D58" s="125"/>
      <c r="E58" s="21"/>
      <c r="F58" s="121"/>
      <c r="G58" s="27"/>
      <c r="H58" s="27"/>
      <c r="I58" s="120"/>
      <c r="J58" s="21"/>
    </row>
    <row r="59" spans="1:10" ht="18" customHeight="1" x14ac:dyDescent="0.3">
      <c r="A59" s="22"/>
      <c r="B59" s="125"/>
      <c r="C59" s="125"/>
      <c r="D59" s="125"/>
      <c r="E59" s="21"/>
      <c r="F59" s="121"/>
      <c r="G59" s="121"/>
      <c r="H59" s="121"/>
      <c r="I59" s="120"/>
      <c r="J59" s="21"/>
    </row>
    <row r="60" spans="1:10" ht="18" customHeight="1" x14ac:dyDescent="0.3">
      <c r="A60" s="22"/>
      <c r="B60" s="125"/>
      <c r="C60" s="126"/>
      <c r="D60" s="126"/>
      <c r="E60" s="21"/>
      <c r="F60" s="121"/>
      <c r="G60" s="121"/>
      <c r="H60" s="121"/>
      <c r="I60" s="120"/>
      <c r="J60" s="21"/>
    </row>
    <row r="61" spans="1:10" ht="18" customHeight="1" x14ac:dyDescent="0.3">
      <c r="A61" s="22"/>
      <c r="B61" s="125"/>
      <c r="C61" s="125"/>
      <c r="D61" s="125"/>
      <c r="E61" s="21"/>
      <c r="F61" s="121"/>
      <c r="G61" s="119"/>
      <c r="H61" s="119"/>
      <c r="I61" s="120"/>
      <c r="J61" s="21"/>
    </row>
    <row r="62" spans="1:10" s="19" customFormat="1" ht="18" customHeight="1" x14ac:dyDescent="0.3">
      <c r="A62" s="20"/>
      <c r="B62" s="125"/>
      <c r="C62" s="125"/>
      <c r="D62" s="125"/>
      <c r="E62" s="21"/>
      <c r="F62" s="21"/>
      <c r="G62" s="27"/>
      <c r="H62" s="27"/>
      <c r="I62" s="120"/>
      <c r="J62" s="21"/>
    </row>
    <row r="63" spans="1:10" s="19" customFormat="1" ht="18" customHeight="1" x14ac:dyDescent="0.3">
      <c r="A63" s="22"/>
      <c r="B63" s="125"/>
      <c r="C63" s="125"/>
      <c r="D63" s="125"/>
      <c r="E63" s="21"/>
      <c r="F63" s="21"/>
      <c r="G63" s="119"/>
      <c r="H63" s="119"/>
      <c r="I63" s="120"/>
      <c r="J63" s="21"/>
    </row>
    <row r="64" spans="1:10" ht="18" customHeight="1" x14ac:dyDescent="0.3">
      <c r="A64" s="22"/>
      <c r="B64" s="125"/>
      <c r="C64" s="125"/>
      <c r="D64" s="125"/>
      <c r="E64" s="21"/>
      <c r="F64" s="119"/>
      <c r="G64" s="119"/>
      <c r="H64" s="119"/>
      <c r="I64" s="120"/>
      <c r="J64" s="21"/>
    </row>
    <row r="65" spans="1:10" ht="18" customHeight="1" x14ac:dyDescent="0.3">
      <c r="A65" s="22"/>
      <c r="B65" s="125"/>
      <c r="C65" s="125"/>
      <c r="D65" s="125"/>
      <c r="E65" s="21"/>
      <c r="F65" s="21"/>
      <c r="G65" s="119"/>
      <c r="H65" s="119"/>
      <c r="I65" s="120"/>
      <c r="J65" s="21"/>
    </row>
    <row r="66" spans="1:10" ht="18" customHeight="1" x14ac:dyDescent="0.3">
      <c r="A66" s="22"/>
      <c r="B66" s="127"/>
      <c r="C66" s="127"/>
      <c r="D66" s="127"/>
      <c r="E66" s="21"/>
      <c r="F66" s="119"/>
      <c r="G66" s="119"/>
      <c r="H66" s="119"/>
      <c r="I66" s="120"/>
      <c r="J66" s="21"/>
    </row>
    <row r="67" spans="1:10" s="19" customFormat="1" ht="18" customHeight="1" x14ac:dyDescent="0.3">
      <c r="A67" s="22"/>
      <c r="B67" s="125"/>
      <c r="C67" s="125"/>
      <c r="D67" s="125"/>
      <c r="E67" s="21"/>
      <c r="F67" s="119"/>
      <c r="G67" s="119"/>
      <c r="H67" s="119"/>
      <c r="I67" s="120"/>
      <c r="J67" s="21"/>
    </row>
    <row r="68" spans="1:10" s="24" customFormat="1" ht="18" customHeight="1" x14ac:dyDescent="0.3">
      <c r="A68" s="22"/>
      <c r="B68" s="125"/>
      <c r="C68" s="125"/>
      <c r="D68" s="125"/>
      <c r="E68" s="21"/>
      <c r="F68" s="119"/>
      <c r="G68" s="119"/>
      <c r="H68" s="119"/>
      <c r="I68" s="120"/>
      <c r="J68" s="21"/>
    </row>
    <row r="69" spans="1:10" ht="18" customHeight="1" x14ac:dyDescent="0.3">
      <c r="A69" s="22"/>
      <c r="B69" s="125"/>
      <c r="C69" s="125"/>
      <c r="D69" s="125"/>
      <c r="E69" s="21"/>
      <c r="F69" s="119"/>
      <c r="G69" s="119"/>
      <c r="H69" s="119"/>
      <c r="I69" s="120"/>
      <c r="J69" s="21"/>
    </row>
    <row r="70" spans="1:10" ht="18" customHeight="1" x14ac:dyDescent="0.3">
      <c r="A70" s="22"/>
      <c r="B70" s="125"/>
      <c r="C70" s="125"/>
      <c r="D70" s="125"/>
      <c r="E70" s="21"/>
      <c r="F70" s="119"/>
      <c r="G70" s="119"/>
      <c r="H70" s="119"/>
      <c r="I70" s="120"/>
      <c r="J70" s="21"/>
    </row>
    <row r="71" spans="1:10" ht="18" customHeight="1" x14ac:dyDescent="0.3">
      <c r="A71" s="22"/>
      <c r="B71" s="125"/>
      <c r="C71" s="125"/>
      <c r="D71" s="125"/>
      <c r="E71" s="21"/>
      <c r="F71" s="119"/>
      <c r="G71" s="119"/>
      <c r="H71" s="119"/>
      <c r="I71" s="120"/>
      <c r="J71" s="21"/>
    </row>
    <row r="72" spans="1:10" ht="18" customHeight="1" x14ac:dyDescent="0.3">
      <c r="A72" s="22"/>
      <c r="B72" s="125"/>
      <c r="C72" s="125"/>
      <c r="D72" s="125"/>
      <c r="E72" s="21"/>
      <c r="F72" s="119"/>
      <c r="G72" s="119"/>
      <c r="H72" s="119"/>
      <c r="I72" s="120"/>
      <c r="J72" s="21"/>
    </row>
    <row r="73" spans="1:10" ht="18" customHeight="1" x14ac:dyDescent="0.3">
      <c r="A73" s="22"/>
      <c r="B73" s="128"/>
      <c r="C73" s="128"/>
      <c r="D73" s="128"/>
      <c r="E73" s="21"/>
      <c r="F73" s="119"/>
      <c r="G73" s="119"/>
      <c r="H73" s="119"/>
      <c r="I73" s="120"/>
      <c r="J73" s="21"/>
    </row>
    <row r="74" spans="1:10" ht="18" customHeight="1" x14ac:dyDescent="0.3">
      <c r="A74" s="22"/>
      <c r="B74" s="125"/>
      <c r="C74" s="125"/>
      <c r="D74" s="125"/>
      <c r="E74" s="21"/>
      <c r="F74" s="119"/>
      <c r="G74" s="119"/>
      <c r="H74" s="119"/>
      <c r="I74" s="120"/>
      <c r="J74" s="21"/>
    </row>
    <row r="75" spans="1:10" ht="18" customHeight="1" x14ac:dyDescent="0.3">
      <c r="A75" s="22"/>
      <c r="B75" s="125"/>
      <c r="C75" s="126"/>
      <c r="D75" s="126"/>
      <c r="E75" s="21"/>
      <c r="F75" s="119"/>
      <c r="G75" s="119"/>
      <c r="H75" s="119"/>
      <c r="I75" s="120"/>
      <c r="J75" s="21"/>
    </row>
    <row r="76" spans="1:10" s="19" customFormat="1" ht="18" customHeight="1" x14ac:dyDescent="0.3">
      <c r="A76" s="22"/>
      <c r="B76" s="125"/>
      <c r="C76" s="125"/>
      <c r="D76" s="125"/>
      <c r="E76" s="21"/>
      <c r="F76" s="119"/>
      <c r="G76" s="119"/>
      <c r="H76" s="119"/>
      <c r="I76" s="120"/>
      <c r="J76" s="21"/>
    </row>
    <row r="77" spans="1:10" ht="18" customHeight="1" x14ac:dyDescent="0.3">
      <c r="A77" s="22"/>
      <c r="B77" s="125"/>
      <c r="C77" s="125"/>
      <c r="D77" s="125"/>
      <c r="E77" s="21"/>
      <c r="F77" s="119"/>
      <c r="G77" s="119"/>
      <c r="H77" s="119"/>
      <c r="I77" s="120"/>
      <c r="J77" s="21"/>
    </row>
    <row r="78" spans="1:10" s="19" customFormat="1" ht="18" customHeight="1" x14ac:dyDescent="0.3">
      <c r="A78" s="20"/>
      <c r="B78" s="125"/>
      <c r="C78" s="125"/>
      <c r="D78" s="125"/>
      <c r="E78" s="21"/>
      <c r="F78" s="123"/>
      <c r="G78" s="123"/>
      <c r="H78" s="123"/>
      <c r="I78" s="120"/>
      <c r="J78" s="21"/>
    </row>
    <row r="79" spans="1:10" ht="18" customHeight="1" x14ac:dyDescent="0.3">
      <c r="A79" s="22"/>
      <c r="B79" s="125"/>
      <c r="C79" s="125"/>
      <c r="D79" s="125"/>
      <c r="E79" s="21"/>
      <c r="F79" s="119"/>
      <c r="G79" s="119"/>
      <c r="H79" s="119"/>
      <c r="I79" s="120"/>
      <c r="J79" s="21"/>
    </row>
    <row r="80" spans="1:10" ht="18" customHeight="1" x14ac:dyDescent="0.3">
      <c r="A80" s="22"/>
      <c r="B80" s="125"/>
      <c r="C80" s="125"/>
      <c r="D80" s="125"/>
      <c r="E80" s="21"/>
      <c r="F80" s="119"/>
      <c r="G80" s="119"/>
      <c r="H80" s="119"/>
      <c r="I80" s="120"/>
      <c r="J80" s="21"/>
    </row>
    <row r="81" spans="1:10" s="24" customFormat="1" ht="18" customHeight="1" x14ac:dyDescent="0.3">
      <c r="A81" s="22"/>
      <c r="B81" s="125"/>
      <c r="C81" s="125"/>
      <c r="D81" s="125"/>
      <c r="E81" s="21"/>
      <c r="F81" s="119"/>
      <c r="G81" s="119"/>
      <c r="H81" s="119"/>
      <c r="I81" s="120"/>
      <c r="J81" s="21"/>
    </row>
    <row r="82" spans="1:10" ht="18" customHeight="1" x14ac:dyDescent="0.3">
      <c r="A82" s="22"/>
      <c r="B82" s="125"/>
      <c r="C82" s="125"/>
      <c r="D82" s="125"/>
      <c r="E82" s="21"/>
      <c r="F82" s="119"/>
      <c r="G82" s="119"/>
      <c r="H82" s="119"/>
      <c r="I82" s="120"/>
      <c r="J82" s="21"/>
    </row>
    <row r="83" spans="1:10" s="19" customFormat="1" ht="18" customHeight="1" x14ac:dyDescent="0.3">
      <c r="A83" s="22"/>
      <c r="B83" s="125"/>
      <c r="C83" s="125"/>
      <c r="D83" s="125"/>
      <c r="E83" s="21"/>
      <c r="F83" s="119"/>
      <c r="G83" s="119"/>
      <c r="H83" s="119"/>
      <c r="I83" s="120"/>
      <c r="J83" s="21"/>
    </row>
    <row r="84" spans="1:10" ht="18" customHeight="1" x14ac:dyDescent="0.3">
      <c r="A84" s="22"/>
      <c r="B84" s="125"/>
      <c r="C84" s="125"/>
      <c r="D84" s="125"/>
      <c r="E84" s="21"/>
      <c r="F84" s="119"/>
      <c r="G84" s="119"/>
      <c r="H84" s="119"/>
      <c r="I84" s="120"/>
      <c r="J84" s="21"/>
    </row>
    <row r="85" spans="1:10" ht="18" customHeight="1" x14ac:dyDescent="0.3">
      <c r="A85" s="22"/>
      <c r="B85" s="125"/>
      <c r="C85" s="125"/>
      <c r="D85" s="125"/>
      <c r="E85" s="21"/>
      <c r="F85" s="119"/>
      <c r="G85" s="119"/>
      <c r="H85" s="119"/>
      <c r="I85" s="120"/>
      <c r="J85" s="21"/>
    </row>
    <row r="86" spans="1:10" ht="18" customHeight="1" x14ac:dyDescent="0.3">
      <c r="A86" s="22"/>
      <c r="B86" s="127"/>
      <c r="C86" s="127"/>
      <c r="D86" s="127"/>
      <c r="E86" s="21"/>
      <c r="F86" s="21"/>
      <c r="G86" s="119"/>
      <c r="H86" s="119"/>
      <c r="I86" s="120"/>
      <c r="J86" s="21"/>
    </row>
    <row r="87" spans="1:10" s="24" customFormat="1" ht="18" customHeight="1" x14ac:dyDescent="0.3">
      <c r="A87" s="25"/>
      <c r="B87" s="125"/>
      <c r="C87" s="125"/>
      <c r="D87" s="125"/>
      <c r="E87" s="21"/>
      <c r="F87" s="21"/>
      <c r="G87" s="119"/>
      <c r="H87" s="119"/>
      <c r="I87" s="120"/>
      <c r="J87" s="21"/>
    </row>
    <row r="88" spans="1:10" ht="18" customHeight="1" x14ac:dyDescent="0.3">
      <c r="A88" s="22"/>
      <c r="B88" s="125"/>
      <c r="C88" s="125"/>
      <c r="D88" s="125"/>
      <c r="E88" s="21"/>
      <c r="F88" s="119"/>
      <c r="G88" s="119"/>
      <c r="H88" s="119"/>
      <c r="I88" s="120"/>
      <c r="J88" s="21"/>
    </row>
    <row r="89" spans="1:10" ht="18" customHeight="1" x14ac:dyDescent="0.3">
      <c r="A89" s="22"/>
      <c r="B89" s="125"/>
      <c r="C89" s="125"/>
      <c r="D89" s="125"/>
      <c r="E89" s="21"/>
      <c r="F89" s="119"/>
      <c r="G89" s="119"/>
      <c r="H89" s="119"/>
      <c r="I89" s="120"/>
      <c r="J89" s="21"/>
    </row>
    <row r="90" spans="1:10" ht="18" customHeight="1" x14ac:dyDescent="0.3">
      <c r="A90" s="22"/>
      <c r="B90" s="125"/>
      <c r="C90" s="125"/>
      <c r="D90" s="125"/>
      <c r="E90" s="21"/>
      <c r="F90" s="119"/>
      <c r="G90" s="119"/>
      <c r="H90" s="119"/>
      <c r="I90" s="120"/>
      <c r="J90" s="21"/>
    </row>
    <row r="91" spans="1:10" ht="18" customHeight="1" x14ac:dyDescent="0.3">
      <c r="A91" s="22"/>
      <c r="B91" s="125"/>
      <c r="C91" s="125"/>
      <c r="D91" s="125"/>
      <c r="E91" s="21"/>
      <c r="F91" s="119"/>
      <c r="G91" s="119"/>
      <c r="H91" s="119"/>
      <c r="I91" s="120"/>
      <c r="J91" s="21"/>
    </row>
    <row r="92" spans="1:10" s="19" customFormat="1" ht="18" customHeight="1" x14ac:dyDescent="0.3">
      <c r="A92" s="22"/>
      <c r="B92" s="125"/>
      <c r="C92" s="126"/>
      <c r="D92" s="126"/>
      <c r="E92" s="21"/>
      <c r="F92" s="119"/>
      <c r="G92" s="119"/>
      <c r="H92" s="119"/>
      <c r="I92" s="120"/>
      <c r="J92" s="21"/>
    </row>
    <row r="93" spans="1:10" s="19" customFormat="1" ht="18" customHeight="1" x14ac:dyDescent="0.3">
      <c r="A93" s="20"/>
      <c r="B93" s="125"/>
      <c r="C93" s="125"/>
      <c r="D93" s="125"/>
      <c r="E93" s="21"/>
      <c r="F93" s="27"/>
      <c r="G93" s="27"/>
      <c r="H93" s="27"/>
      <c r="I93" s="120"/>
      <c r="J93" s="21"/>
    </row>
    <row r="94" spans="1:10" ht="18" customHeight="1" x14ac:dyDescent="0.3">
      <c r="A94" s="22"/>
      <c r="B94" s="125"/>
      <c r="C94" s="125"/>
      <c r="D94" s="125"/>
      <c r="E94" s="21"/>
      <c r="F94" s="119"/>
      <c r="G94" s="119"/>
      <c r="H94" s="119"/>
      <c r="I94" s="120"/>
      <c r="J94" s="21"/>
    </row>
    <row r="95" spans="1:10" s="19" customFormat="1" ht="18" customHeight="1" x14ac:dyDescent="0.3">
      <c r="A95" s="20"/>
      <c r="B95" s="125"/>
      <c r="C95" s="125"/>
      <c r="D95" s="125"/>
      <c r="E95" s="21"/>
      <c r="F95" s="123"/>
      <c r="G95" s="123"/>
      <c r="H95" s="123"/>
      <c r="I95" s="120"/>
      <c r="J95" s="21"/>
    </row>
    <row r="96" spans="1:10" s="24" customFormat="1" ht="18" customHeight="1" x14ac:dyDescent="0.3">
      <c r="A96" s="25"/>
      <c r="B96" s="125"/>
      <c r="C96" s="125"/>
      <c r="D96" s="125"/>
      <c r="E96" s="26"/>
      <c r="F96" s="124"/>
      <c r="G96" s="124"/>
      <c r="H96" s="124"/>
      <c r="I96" s="120"/>
      <c r="J96" s="26"/>
    </row>
    <row r="97" spans="1:10" s="24" customFormat="1" ht="18" customHeight="1" x14ac:dyDescent="0.3">
      <c r="A97" s="25"/>
      <c r="B97" s="125"/>
      <c r="C97" s="125"/>
      <c r="D97" s="125"/>
      <c r="E97" s="26"/>
      <c r="F97" s="124"/>
      <c r="G97" s="124"/>
      <c r="H97" s="124"/>
      <c r="I97" s="120"/>
      <c r="J97" s="26"/>
    </row>
    <row r="98" spans="1:10" s="24" customFormat="1" ht="18" customHeight="1" x14ac:dyDescent="0.3">
      <c r="A98" s="25"/>
      <c r="B98" s="125"/>
      <c r="C98" s="125"/>
      <c r="D98" s="125"/>
      <c r="E98" s="26"/>
      <c r="F98" s="124"/>
      <c r="G98" s="124"/>
      <c r="H98" s="124"/>
      <c r="I98" s="120"/>
      <c r="J98" s="26"/>
    </row>
    <row r="99" spans="1:10" s="24" customFormat="1" ht="18" customHeight="1" x14ac:dyDescent="0.3">
      <c r="A99" s="25"/>
      <c r="B99" s="125"/>
      <c r="C99" s="125"/>
      <c r="D99" s="125"/>
      <c r="E99" s="26"/>
      <c r="F99" s="124"/>
      <c r="G99" s="124"/>
      <c r="H99" s="124"/>
      <c r="I99" s="120"/>
      <c r="J99" s="26"/>
    </row>
    <row r="100" spans="1:10" s="24" customFormat="1" ht="18" customHeight="1" x14ac:dyDescent="0.3">
      <c r="A100" s="25"/>
      <c r="B100" s="125"/>
      <c r="C100" s="125"/>
      <c r="D100" s="125"/>
      <c r="E100" s="26"/>
      <c r="F100" s="124"/>
      <c r="G100" s="124"/>
      <c r="H100" s="124"/>
      <c r="I100" s="120"/>
      <c r="J100" s="26"/>
    </row>
    <row r="101" spans="1:10" s="24" customFormat="1" ht="18" customHeight="1" x14ac:dyDescent="0.3">
      <c r="A101" s="25"/>
      <c r="B101" s="125"/>
      <c r="C101" s="125"/>
      <c r="D101" s="125"/>
      <c r="E101" s="26"/>
      <c r="F101" s="124"/>
      <c r="G101" s="124"/>
      <c r="H101" s="124"/>
      <c r="I101" s="120"/>
      <c r="J101" s="26"/>
    </row>
    <row r="102" spans="1:10" s="117" customFormat="1" ht="18" customHeight="1" x14ac:dyDescent="0.3">
      <c r="A102" s="25"/>
      <c r="B102" s="125"/>
      <c r="C102" s="125"/>
      <c r="D102" s="125"/>
      <c r="E102" s="26"/>
      <c r="F102" s="124"/>
      <c r="G102" s="124"/>
      <c r="H102" s="124"/>
      <c r="I102" s="120"/>
      <c r="J102" s="26"/>
    </row>
    <row r="103" spans="1:10" s="24" customFormat="1" ht="18" customHeight="1" x14ac:dyDescent="0.3">
      <c r="A103" s="25"/>
      <c r="B103" s="125"/>
      <c r="C103" s="125"/>
      <c r="D103" s="125"/>
      <c r="E103" s="26"/>
      <c r="F103" s="124"/>
      <c r="G103" s="124"/>
      <c r="H103" s="124"/>
      <c r="I103" s="120"/>
      <c r="J103" s="26"/>
    </row>
    <row r="104" spans="1:10" s="24" customFormat="1" ht="18" customHeight="1" x14ac:dyDescent="0.3">
      <c r="A104" s="25"/>
      <c r="B104" s="125"/>
      <c r="C104" s="125"/>
      <c r="D104" s="125"/>
      <c r="E104" s="26"/>
      <c r="F104" s="21"/>
      <c r="G104" s="124"/>
      <c r="H104" s="124"/>
      <c r="I104" s="120"/>
      <c r="J104" s="26"/>
    </row>
    <row r="105" spans="1:10" s="24" customFormat="1" ht="18" customHeight="1" x14ac:dyDescent="0.3">
      <c r="A105" s="25"/>
      <c r="B105" s="125"/>
      <c r="C105" s="125"/>
      <c r="D105" s="125"/>
      <c r="E105" s="26"/>
      <c r="F105" s="21"/>
      <c r="G105" s="124"/>
      <c r="H105" s="124"/>
      <c r="I105" s="120"/>
      <c r="J105" s="26"/>
    </row>
    <row r="106" spans="1:10" s="24" customFormat="1" ht="18" customHeight="1" x14ac:dyDescent="0.3">
      <c r="A106" s="25"/>
      <c r="B106" s="125"/>
      <c r="C106" s="125"/>
      <c r="D106" s="125"/>
      <c r="E106" s="26"/>
      <c r="F106" s="21"/>
      <c r="G106" s="124"/>
      <c r="H106" s="124"/>
      <c r="I106" s="120"/>
      <c r="J106" s="26"/>
    </row>
    <row r="107" spans="1:10" s="24" customFormat="1" ht="18" customHeight="1" x14ac:dyDescent="0.3">
      <c r="A107" s="25"/>
      <c r="B107" s="125"/>
      <c r="C107" s="125"/>
      <c r="D107" s="125"/>
      <c r="E107" s="26"/>
      <c r="F107" s="124"/>
      <c r="G107" s="124"/>
      <c r="H107" s="124"/>
      <c r="I107" s="120"/>
      <c r="J107" s="26"/>
    </row>
    <row r="108" spans="1:10" s="24" customFormat="1" ht="18" customHeight="1" x14ac:dyDescent="0.3">
      <c r="A108" s="25"/>
      <c r="B108" s="125"/>
      <c r="C108" s="125"/>
      <c r="D108" s="125"/>
      <c r="E108" s="26"/>
      <c r="F108" s="124"/>
      <c r="G108" s="124"/>
      <c r="H108" s="124"/>
      <c r="I108" s="120"/>
      <c r="J108" s="26"/>
    </row>
    <row r="109" spans="1:10" s="24" customFormat="1" ht="18" customHeight="1" x14ac:dyDescent="0.3">
      <c r="A109" s="25"/>
      <c r="B109" s="125"/>
      <c r="C109" s="125"/>
      <c r="D109" s="125"/>
      <c r="E109" s="26"/>
      <c r="F109" s="124"/>
      <c r="G109" s="124"/>
      <c r="H109" s="124"/>
      <c r="I109" s="120"/>
      <c r="J109" s="26"/>
    </row>
    <row r="110" spans="1:10" s="24" customFormat="1" ht="18" customHeight="1" x14ac:dyDescent="0.3">
      <c r="A110" s="25"/>
      <c r="B110" s="125"/>
      <c r="C110" s="125"/>
      <c r="D110" s="125"/>
      <c r="E110" s="26"/>
      <c r="F110" s="124"/>
      <c r="G110" s="124"/>
      <c r="H110" s="124"/>
      <c r="I110" s="120"/>
      <c r="J110" s="26"/>
    </row>
    <row r="111" spans="1:10" s="24" customFormat="1" ht="18" customHeight="1" x14ac:dyDescent="0.3">
      <c r="A111" s="25"/>
      <c r="B111" s="125"/>
      <c r="C111" s="126"/>
      <c r="D111" s="126"/>
      <c r="E111" s="26"/>
      <c r="F111" s="124"/>
      <c r="G111" s="124"/>
      <c r="H111" s="124"/>
      <c r="I111" s="120"/>
      <c r="J111" s="26"/>
    </row>
    <row r="112" spans="1:10" s="24" customFormat="1" ht="18" customHeight="1" x14ac:dyDescent="0.3">
      <c r="A112" s="25"/>
      <c r="B112" s="125"/>
      <c r="C112" s="125"/>
      <c r="D112" s="125"/>
      <c r="E112" s="26"/>
      <c r="F112" s="124"/>
      <c r="G112" s="124"/>
      <c r="H112" s="124"/>
      <c r="I112" s="120"/>
      <c r="J112" s="26"/>
    </row>
    <row r="113" spans="1:10" s="117" customFormat="1" ht="18" customHeight="1" x14ac:dyDescent="0.3">
      <c r="A113" s="116"/>
      <c r="B113" s="125"/>
      <c r="C113" s="125"/>
      <c r="D113" s="125"/>
      <c r="E113" s="26"/>
      <c r="F113" s="124"/>
      <c r="G113" s="124"/>
      <c r="H113" s="124"/>
      <c r="I113" s="120"/>
      <c r="J113" s="26"/>
    </row>
    <row r="114" spans="1:10" s="117" customFormat="1" ht="18" customHeight="1" x14ac:dyDescent="0.3">
      <c r="A114" s="118"/>
      <c r="B114" s="125"/>
      <c r="C114" s="125"/>
      <c r="D114" s="125"/>
      <c r="E114" s="26"/>
      <c r="F114" s="124"/>
      <c r="G114" s="124"/>
      <c r="H114" s="124"/>
      <c r="I114" s="120"/>
      <c r="J114" s="26"/>
    </row>
    <row r="115" spans="1:10" s="19" customFormat="1" ht="18" customHeight="1" x14ac:dyDescent="0.3">
      <c r="A115" s="22"/>
      <c r="B115" s="127"/>
      <c r="C115" s="127"/>
      <c r="D115" s="127"/>
      <c r="E115" s="21"/>
      <c r="F115" s="119"/>
      <c r="G115" s="119"/>
      <c r="H115" s="119"/>
      <c r="I115" s="120"/>
      <c r="J115" s="21"/>
    </row>
    <row r="116" spans="1:10" ht="18" customHeight="1" x14ac:dyDescent="0.3">
      <c r="A116" s="22"/>
      <c r="B116" s="125"/>
      <c r="C116" s="125"/>
      <c r="D116" s="125"/>
      <c r="E116" s="21"/>
      <c r="F116" s="119"/>
      <c r="G116" s="119"/>
      <c r="H116" s="119"/>
      <c r="I116" s="120"/>
      <c r="J116" s="21"/>
    </row>
    <row r="117" spans="1:10" s="24" customFormat="1" ht="18" customHeight="1" x14ac:dyDescent="0.3">
      <c r="A117" s="22"/>
      <c r="B117" s="125"/>
      <c r="C117" s="125"/>
      <c r="D117" s="125"/>
      <c r="E117" s="21"/>
      <c r="F117" s="21"/>
      <c r="G117" s="119"/>
      <c r="H117" s="119"/>
      <c r="I117" s="120"/>
      <c r="J117" s="21"/>
    </row>
    <row r="118" spans="1:10" s="24" customFormat="1" ht="18" customHeight="1" x14ac:dyDescent="0.3">
      <c r="A118" s="25"/>
      <c r="B118" s="125"/>
      <c r="C118" s="125"/>
      <c r="D118" s="125"/>
      <c r="E118" s="21"/>
      <c r="F118" s="119"/>
      <c r="G118" s="119"/>
      <c r="H118" s="119"/>
      <c r="I118" s="120"/>
      <c r="J118" s="21"/>
    </row>
    <row r="119" spans="1:10" s="24" customFormat="1" ht="18" customHeight="1" x14ac:dyDescent="0.3">
      <c r="A119" s="22"/>
      <c r="B119" s="125"/>
      <c r="C119" s="125"/>
      <c r="D119" s="125"/>
      <c r="E119" s="21"/>
      <c r="F119" s="119"/>
      <c r="G119" s="119"/>
      <c r="H119" s="119"/>
      <c r="I119" s="120"/>
      <c r="J119" s="21"/>
    </row>
    <row r="120" spans="1:10" ht="18" customHeight="1" x14ac:dyDescent="0.3">
      <c r="A120" s="22"/>
      <c r="B120" s="125"/>
      <c r="C120" s="125"/>
      <c r="D120" s="125"/>
      <c r="E120" s="21"/>
      <c r="F120" s="119"/>
      <c r="G120" s="119"/>
      <c r="H120" s="119"/>
      <c r="I120" s="120"/>
      <c r="J120" s="21"/>
    </row>
    <row r="121" spans="1:10" s="19" customFormat="1" ht="18" customHeight="1" x14ac:dyDescent="0.3">
      <c r="A121" s="22"/>
      <c r="B121" s="125"/>
      <c r="C121" s="125"/>
      <c r="D121" s="125"/>
      <c r="E121" s="21"/>
      <c r="F121" s="119"/>
      <c r="G121" s="119"/>
      <c r="H121" s="119"/>
      <c r="I121" s="120"/>
      <c r="J121" s="21"/>
    </row>
    <row r="122" spans="1:10" ht="18" customHeight="1" x14ac:dyDescent="0.3">
      <c r="A122" s="22"/>
      <c r="B122" s="125"/>
      <c r="C122" s="125"/>
      <c r="D122" s="125"/>
      <c r="E122" s="21"/>
      <c r="F122" s="119"/>
      <c r="G122" s="119"/>
      <c r="H122" s="119"/>
      <c r="I122" s="120"/>
      <c r="J122" s="21"/>
    </row>
    <row r="123" spans="1:10" ht="18" customHeight="1" x14ac:dyDescent="0.3">
      <c r="A123" s="22"/>
      <c r="B123" s="125"/>
      <c r="C123" s="125"/>
      <c r="D123" s="125"/>
      <c r="E123" s="21"/>
      <c r="F123" s="119"/>
      <c r="G123" s="119"/>
      <c r="H123" s="119"/>
      <c r="I123" s="120"/>
      <c r="J123" s="21"/>
    </row>
    <row r="124" spans="1:10" ht="18" customHeight="1" x14ac:dyDescent="0.3">
      <c r="A124" s="22"/>
      <c r="B124" s="125"/>
      <c r="C124" s="125"/>
      <c r="D124" s="125"/>
      <c r="E124" s="21"/>
      <c r="F124" s="21"/>
      <c r="G124" s="119"/>
      <c r="H124" s="119"/>
      <c r="I124" s="120"/>
      <c r="J124" s="21"/>
    </row>
    <row r="125" spans="1:10" ht="18" customHeight="1" x14ac:dyDescent="0.3">
      <c r="A125" s="22"/>
      <c r="B125" s="125"/>
      <c r="C125" s="125"/>
      <c r="D125" s="125"/>
      <c r="E125" s="21"/>
      <c r="F125" s="119"/>
      <c r="G125" s="119"/>
      <c r="H125" s="119"/>
      <c r="I125" s="120"/>
      <c r="J125" s="21"/>
    </row>
    <row r="126" spans="1:10" s="19" customFormat="1" x14ac:dyDescent="0.3">
      <c r="A126" s="22"/>
      <c r="B126" s="125"/>
      <c r="C126" s="125"/>
      <c r="D126" s="125"/>
      <c r="E126" s="21"/>
      <c r="F126" s="119"/>
      <c r="G126" s="119"/>
      <c r="H126" s="119"/>
      <c r="I126" s="120"/>
      <c r="J126" s="21"/>
    </row>
    <row r="127" spans="1:10" x14ac:dyDescent="0.3">
      <c r="A127" s="22"/>
      <c r="B127" s="125"/>
      <c r="C127" s="125"/>
      <c r="D127" s="125"/>
      <c r="E127" s="21"/>
      <c r="F127" s="119"/>
      <c r="G127" s="119"/>
      <c r="H127" s="119"/>
      <c r="I127" s="120"/>
      <c r="J127" s="21"/>
    </row>
    <row r="128" spans="1:10" x14ac:dyDescent="0.3">
      <c r="A128" s="22"/>
      <c r="B128" s="125"/>
      <c r="C128" s="125"/>
      <c r="D128" s="125"/>
      <c r="E128" s="21"/>
      <c r="F128" s="119"/>
      <c r="G128" s="119"/>
      <c r="H128" s="119"/>
      <c r="I128" s="120"/>
      <c r="J128" s="21"/>
    </row>
    <row r="129" spans="1:10" x14ac:dyDescent="0.3">
      <c r="A129" s="22"/>
      <c r="B129" s="125"/>
      <c r="C129" s="125"/>
      <c r="D129" s="125"/>
      <c r="E129" s="21"/>
      <c r="F129" s="119"/>
      <c r="G129" s="119"/>
      <c r="H129" s="119"/>
      <c r="I129" s="120"/>
      <c r="J129" s="21"/>
    </row>
    <row r="130" spans="1:10" x14ac:dyDescent="0.3">
      <c r="A130" s="22"/>
      <c r="B130" s="125"/>
      <c r="C130" s="125"/>
      <c r="D130" s="125"/>
      <c r="E130" s="21"/>
      <c r="F130" s="119"/>
      <c r="G130" s="119"/>
      <c r="H130" s="119"/>
      <c r="I130" s="120"/>
      <c r="J130" s="21"/>
    </row>
    <row r="131" spans="1:10" x14ac:dyDescent="0.3">
      <c r="A131" s="22"/>
      <c r="B131" s="125"/>
      <c r="C131" s="125"/>
      <c r="D131" s="125"/>
      <c r="E131" s="21"/>
      <c r="F131" s="119"/>
      <c r="G131" s="119"/>
      <c r="H131" s="119"/>
      <c r="I131" s="120"/>
      <c r="J131" s="21"/>
    </row>
    <row r="132" spans="1:10" x14ac:dyDescent="0.3">
      <c r="A132" s="22"/>
      <c r="B132" s="125"/>
      <c r="C132" s="125"/>
      <c r="D132" s="125"/>
      <c r="E132" s="21"/>
      <c r="F132" s="119"/>
      <c r="G132" s="119"/>
      <c r="H132" s="119"/>
      <c r="I132" s="120"/>
      <c r="J132" s="21"/>
    </row>
    <row r="133" spans="1:10" x14ac:dyDescent="0.3">
      <c r="A133" s="22"/>
      <c r="B133" s="125"/>
      <c r="C133" s="125"/>
      <c r="D133" s="125"/>
      <c r="E133" s="21"/>
      <c r="F133" s="119"/>
      <c r="G133" s="119"/>
      <c r="H133" s="119"/>
      <c r="I133" s="120"/>
      <c r="J133" s="21"/>
    </row>
    <row r="134" spans="1:10" x14ac:dyDescent="0.3">
      <c r="A134" s="22"/>
      <c r="B134" s="125"/>
      <c r="C134" s="125"/>
      <c r="D134" s="125"/>
      <c r="E134" s="21"/>
      <c r="F134" s="119"/>
      <c r="G134" s="119"/>
      <c r="H134" s="119"/>
      <c r="I134" s="120"/>
      <c r="J134" s="21"/>
    </row>
    <row r="135" spans="1:10" x14ac:dyDescent="0.3">
      <c r="A135" s="22"/>
      <c r="B135" s="125"/>
      <c r="C135" s="125"/>
      <c r="D135" s="125"/>
      <c r="E135" s="21"/>
      <c r="F135" s="119"/>
      <c r="G135" s="119"/>
      <c r="H135" s="119"/>
      <c r="I135" s="120"/>
      <c r="J135" s="21"/>
    </row>
    <row r="136" spans="1:10" x14ac:dyDescent="0.3">
      <c r="A136" s="22"/>
      <c r="B136" s="125"/>
      <c r="C136" s="125"/>
      <c r="D136" s="125"/>
      <c r="E136" s="21"/>
      <c r="F136" s="21"/>
      <c r="G136" s="119"/>
      <c r="H136" s="119"/>
      <c r="I136" s="120"/>
      <c r="J136" s="21"/>
    </row>
    <row r="137" spans="1:10" x14ac:dyDescent="0.3">
      <c r="A137" s="22"/>
      <c r="B137" s="125"/>
      <c r="C137" s="126"/>
      <c r="D137" s="126"/>
      <c r="E137" s="21"/>
      <c r="F137" s="119"/>
      <c r="G137" s="119"/>
      <c r="H137" s="119"/>
      <c r="I137" s="120"/>
      <c r="J137" s="21"/>
    </row>
    <row r="138" spans="1:10" x14ac:dyDescent="0.3">
      <c r="A138" s="22"/>
      <c r="B138" s="125"/>
      <c r="C138" s="125"/>
      <c r="D138" s="125"/>
      <c r="E138" s="21"/>
      <c r="F138" s="119"/>
      <c r="G138" s="119"/>
      <c r="H138" s="119"/>
      <c r="I138" s="120"/>
      <c r="J138" s="21"/>
    </row>
    <row r="139" spans="1:10" x14ac:dyDescent="0.3">
      <c r="A139" s="22"/>
      <c r="B139" s="125"/>
      <c r="C139" s="125"/>
      <c r="D139" s="125"/>
      <c r="E139" s="21"/>
      <c r="F139" s="119"/>
      <c r="G139" s="119"/>
      <c r="H139" s="119"/>
      <c r="I139" s="120"/>
      <c r="J139" s="21"/>
    </row>
    <row r="140" spans="1:10" x14ac:dyDescent="0.3">
      <c r="A140" s="22"/>
      <c r="B140" s="125"/>
      <c r="C140" s="125"/>
      <c r="D140" s="125"/>
      <c r="E140" s="21"/>
      <c r="F140" s="119"/>
      <c r="G140" s="119"/>
      <c r="H140" s="119"/>
      <c r="I140" s="120"/>
      <c r="J140" s="21"/>
    </row>
    <row r="141" spans="1:10" x14ac:dyDescent="0.3">
      <c r="A141" s="22"/>
      <c r="B141" s="125"/>
      <c r="C141" s="125"/>
      <c r="D141" s="125"/>
      <c r="E141" s="21"/>
      <c r="F141" s="119"/>
      <c r="G141" s="119"/>
      <c r="H141" s="119"/>
      <c r="I141" s="120"/>
      <c r="J141" s="21"/>
    </row>
    <row r="142" spans="1:10" s="19" customFormat="1" x14ac:dyDescent="0.3">
      <c r="A142" s="20"/>
      <c r="B142" s="125"/>
      <c r="C142" s="125"/>
      <c r="D142" s="125"/>
      <c r="E142" s="21"/>
      <c r="F142" s="27"/>
      <c r="G142" s="27"/>
      <c r="H142" s="27"/>
      <c r="I142" s="120"/>
      <c r="J142" s="21"/>
    </row>
    <row r="143" spans="1:10" x14ac:dyDescent="0.3">
      <c r="A143" s="22"/>
      <c r="B143" s="125"/>
      <c r="C143" s="125"/>
      <c r="D143" s="125"/>
      <c r="E143" s="21"/>
      <c r="F143" s="119"/>
      <c r="G143" s="119"/>
      <c r="H143" s="119"/>
      <c r="I143" s="120"/>
      <c r="J143" s="21"/>
    </row>
    <row r="144" spans="1:10" x14ac:dyDescent="0.3">
      <c r="A144" s="22"/>
      <c r="B144" s="125"/>
      <c r="C144" s="125"/>
      <c r="D144" s="125"/>
      <c r="E144" s="21"/>
      <c r="F144" s="119"/>
      <c r="G144" s="119"/>
      <c r="H144" s="119"/>
      <c r="I144" s="120"/>
      <c r="J144" s="21"/>
    </row>
    <row r="145" spans="1:10" x14ac:dyDescent="0.3">
      <c r="A145" s="22"/>
      <c r="B145" s="125"/>
      <c r="C145" s="125"/>
      <c r="D145" s="125"/>
      <c r="E145" s="21"/>
      <c r="F145" s="119"/>
      <c r="G145" s="119"/>
      <c r="H145" s="119"/>
      <c r="I145" s="120"/>
      <c r="J145" s="21"/>
    </row>
    <row r="146" spans="1:10" x14ac:dyDescent="0.3">
      <c r="A146" s="22"/>
      <c r="B146" s="125"/>
      <c r="C146" s="125"/>
      <c r="D146" s="125"/>
      <c r="E146" s="21"/>
      <c r="F146" s="21"/>
      <c r="G146" s="119"/>
      <c r="H146" s="119"/>
      <c r="I146" s="120"/>
      <c r="J146" s="21"/>
    </row>
    <row r="147" spans="1:10" x14ac:dyDescent="0.3">
      <c r="A147" s="22"/>
      <c r="B147" s="125"/>
      <c r="C147" s="125"/>
      <c r="D147" s="125"/>
      <c r="E147" s="21"/>
      <c r="F147" s="119"/>
      <c r="G147" s="119"/>
      <c r="H147" s="119"/>
      <c r="I147" s="120"/>
      <c r="J147" s="21"/>
    </row>
    <row r="148" spans="1:10" x14ac:dyDescent="0.3">
      <c r="A148" s="22"/>
      <c r="B148" s="125"/>
      <c r="C148" s="125"/>
      <c r="D148" s="125"/>
      <c r="E148" s="21"/>
      <c r="F148" s="119"/>
      <c r="G148" s="119"/>
      <c r="H148" s="119"/>
      <c r="I148" s="120"/>
      <c r="J148" s="21"/>
    </row>
    <row r="149" spans="1:10" x14ac:dyDescent="0.3">
      <c r="A149" s="22"/>
      <c r="B149" s="125"/>
      <c r="C149" s="125"/>
      <c r="D149" s="125"/>
      <c r="E149" s="21"/>
      <c r="F149" s="21"/>
      <c r="G149" s="119"/>
      <c r="H149" s="119"/>
      <c r="I149" s="120"/>
      <c r="J149" s="21"/>
    </row>
    <row r="150" spans="1:10" x14ac:dyDescent="0.3">
      <c r="A150" s="22"/>
      <c r="B150" s="125"/>
      <c r="C150" s="125"/>
      <c r="D150" s="125"/>
      <c r="E150" s="21"/>
      <c r="F150" s="119"/>
      <c r="G150" s="119"/>
      <c r="H150" s="119"/>
      <c r="I150" s="120"/>
      <c r="J150" s="21"/>
    </row>
    <row r="151" spans="1:10" x14ac:dyDescent="0.3">
      <c r="A151" s="22"/>
      <c r="B151" s="125"/>
      <c r="C151" s="125"/>
      <c r="D151" s="125"/>
      <c r="E151" s="21"/>
      <c r="F151" s="21"/>
      <c r="G151" s="119"/>
      <c r="H151" s="119"/>
      <c r="I151" s="120"/>
      <c r="J151" s="21"/>
    </row>
    <row r="152" spans="1:10" s="24" customFormat="1" x14ac:dyDescent="0.3">
      <c r="A152" s="25"/>
      <c r="B152" s="125"/>
      <c r="C152" s="125"/>
      <c r="D152" s="125"/>
      <c r="E152" s="21"/>
      <c r="F152" s="119"/>
      <c r="G152" s="119"/>
      <c r="H152" s="119"/>
      <c r="I152" s="120"/>
      <c r="J152" s="21"/>
    </row>
    <row r="153" spans="1:10" x14ac:dyDescent="0.3">
      <c r="A153" s="22"/>
      <c r="B153" s="125"/>
      <c r="C153" s="125"/>
      <c r="D153" s="125"/>
      <c r="E153" s="21"/>
      <c r="F153" s="119"/>
      <c r="G153" s="119"/>
      <c r="H153" s="119"/>
      <c r="I153" s="120"/>
      <c r="J153" s="21"/>
    </row>
    <row r="154" spans="1:10" x14ac:dyDescent="0.3">
      <c r="A154" s="22"/>
      <c r="B154" s="125"/>
      <c r="C154" s="125"/>
      <c r="D154" s="125"/>
      <c r="E154" s="21"/>
      <c r="F154" s="119"/>
      <c r="G154" s="119"/>
      <c r="H154" s="119"/>
      <c r="I154" s="120"/>
      <c r="J154" s="21"/>
    </row>
    <row r="155" spans="1:10" x14ac:dyDescent="0.3">
      <c r="A155" s="22"/>
      <c r="B155" s="125"/>
      <c r="C155" s="126"/>
      <c r="D155" s="126"/>
      <c r="E155" s="21"/>
      <c r="F155" s="119"/>
      <c r="G155" s="119"/>
      <c r="H155" s="119"/>
      <c r="I155" s="120"/>
      <c r="J155" s="21"/>
    </row>
    <row r="156" spans="1:10" x14ac:dyDescent="0.3">
      <c r="A156" s="22"/>
      <c r="B156" s="125"/>
      <c r="C156" s="125"/>
      <c r="D156" s="125"/>
      <c r="E156" s="21"/>
      <c r="F156" s="119"/>
      <c r="G156" s="119"/>
      <c r="H156" s="119"/>
      <c r="I156" s="120"/>
      <c r="J156" s="21"/>
    </row>
    <row r="157" spans="1:10" x14ac:dyDescent="0.3">
      <c r="A157" s="22"/>
      <c r="B157" s="127"/>
      <c r="C157" s="127"/>
      <c r="D157" s="127"/>
      <c r="E157" s="21"/>
      <c r="F157" s="119"/>
      <c r="G157" s="119"/>
      <c r="H157" s="119"/>
      <c r="I157" s="120"/>
      <c r="J157" s="21"/>
    </row>
    <row r="158" spans="1:10" x14ac:dyDescent="0.3">
      <c r="A158" s="22"/>
      <c r="B158" s="125"/>
      <c r="C158" s="125"/>
      <c r="D158" s="125"/>
      <c r="E158" s="21"/>
      <c r="F158" s="119"/>
      <c r="G158" s="119"/>
      <c r="H158" s="119"/>
      <c r="I158" s="120"/>
      <c r="J158" s="21"/>
    </row>
    <row r="159" spans="1:10" x14ac:dyDescent="0.3">
      <c r="A159" s="22"/>
      <c r="B159" s="125"/>
      <c r="C159" s="125"/>
      <c r="D159" s="125"/>
      <c r="E159" s="21"/>
      <c r="F159" s="119"/>
      <c r="G159" s="119"/>
      <c r="H159" s="119"/>
      <c r="I159" s="120"/>
      <c r="J159" s="21"/>
    </row>
    <row r="160" spans="1:10" s="19" customFormat="1" x14ac:dyDescent="0.3">
      <c r="A160" s="20"/>
      <c r="B160" s="125"/>
      <c r="C160" s="125"/>
      <c r="D160" s="125"/>
      <c r="E160" s="21"/>
      <c r="F160" s="21"/>
      <c r="G160" s="27"/>
      <c r="H160" s="27"/>
      <c r="I160" s="120"/>
      <c r="J160" s="21"/>
    </row>
    <row r="161" spans="1:10" x14ac:dyDescent="0.3">
      <c r="A161" s="22"/>
      <c r="B161" s="125"/>
      <c r="C161" s="125"/>
      <c r="D161" s="125"/>
      <c r="E161" s="21"/>
      <c r="F161" s="119"/>
      <c r="G161" s="119"/>
      <c r="H161" s="119"/>
      <c r="I161" s="120"/>
      <c r="J161" s="21"/>
    </row>
    <row r="162" spans="1:10" s="24" customFormat="1" x14ac:dyDescent="0.3">
      <c r="A162" s="25"/>
      <c r="B162" s="125"/>
      <c r="C162" s="125"/>
      <c r="D162" s="125"/>
      <c r="E162" s="21"/>
      <c r="F162" s="119"/>
      <c r="G162" s="119"/>
      <c r="H162" s="119"/>
      <c r="I162" s="120"/>
      <c r="J162" s="21"/>
    </row>
    <row r="163" spans="1:10" x14ac:dyDescent="0.3">
      <c r="A163" s="22"/>
      <c r="B163" s="125"/>
      <c r="C163" s="125"/>
      <c r="D163" s="125"/>
      <c r="E163" s="21"/>
      <c r="F163" s="119"/>
      <c r="G163" s="119"/>
      <c r="H163" s="119"/>
      <c r="I163" s="120"/>
      <c r="J163" s="21"/>
    </row>
    <row r="164" spans="1:10" x14ac:dyDescent="0.3">
      <c r="A164" s="22"/>
      <c r="B164" s="125"/>
      <c r="C164" s="125"/>
      <c r="D164" s="125"/>
      <c r="E164" s="21"/>
      <c r="F164" s="119"/>
      <c r="G164" s="119"/>
      <c r="H164" s="119"/>
      <c r="I164" s="120"/>
      <c r="J164" s="21"/>
    </row>
    <row r="165" spans="1:10" x14ac:dyDescent="0.3">
      <c r="A165" s="22"/>
      <c r="B165" s="125"/>
      <c r="C165" s="125"/>
      <c r="D165" s="125"/>
      <c r="E165" s="21"/>
      <c r="F165" s="119"/>
      <c r="G165" s="119"/>
      <c r="H165" s="119"/>
      <c r="I165" s="120"/>
      <c r="J165" s="21"/>
    </row>
    <row r="166" spans="1:10" x14ac:dyDescent="0.3">
      <c r="A166" s="22"/>
      <c r="B166" s="125"/>
      <c r="C166" s="125"/>
      <c r="D166" s="125"/>
      <c r="E166" s="21"/>
      <c r="F166" s="119"/>
      <c r="G166" s="119"/>
      <c r="H166" s="119"/>
      <c r="I166" s="120"/>
      <c r="J166" s="21"/>
    </row>
    <row r="167" spans="1:10" x14ac:dyDescent="0.3">
      <c r="A167" s="22"/>
      <c r="B167" s="125"/>
      <c r="C167" s="125"/>
      <c r="D167" s="125"/>
      <c r="E167" s="21"/>
      <c r="F167" s="21"/>
      <c r="G167" s="119"/>
      <c r="H167" s="119"/>
      <c r="I167" s="120"/>
      <c r="J167" s="21"/>
    </row>
    <row r="168" spans="1:10" x14ac:dyDescent="0.3">
      <c r="A168" s="22"/>
      <c r="B168" s="125"/>
      <c r="C168" s="125"/>
      <c r="D168" s="125"/>
      <c r="E168" s="21"/>
      <c r="F168" s="119"/>
      <c r="G168" s="119"/>
      <c r="H168" s="119"/>
      <c r="I168" s="120"/>
      <c r="J168" s="21"/>
    </row>
    <row r="169" spans="1:10" x14ac:dyDescent="0.3">
      <c r="A169" s="22"/>
      <c r="B169" s="127"/>
      <c r="C169" s="127"/>
      <c r="D169" s="127"/>
      <c r="E169" s="21"/>
      <c r="F169" s="119"/>
      <c r="G169" s="119"/>
      <c r="H169" s="119"/>
      <c r="I169" s="120"/>
      <c r="J169" s="21"/>
    </row>
    <row r="170" spans="1:10" x14ac:dyDescent="0.3">
      <c r="A170" s="22"/>
      <c r="B170" s="125"/>
      <c r="C170" s="125"/>
      <c r="D170" s="125"/>
      <c r="E170" s="21"/>
      <c r="F170" s="119"/>
      <c r="G170" s="119"/>
      <c r="H170" s="119"/>
      <c r="I170" s="120"/>
      <c r="J170" s="21"/>
    </row>
    <row r="171" spans="1:10" x14ac:dyDescent="0.3">
      <c r="A171" s="22"/>
      <c r="B171" s="125"/>
      <c r="C171" s="125"/>
      <c r="D171" s="125"/>
      <c r="E171" s="21"/>
      <c r="F171" s="119"/>
      <c r="G171" s="119"/>
      <c r="H171" s="119"/>
      <c r="I171" s="120"/>
      <c r="J171" s="21"/>
    </row>
    <row r="172" spans="1:10" x14ac:dyDescent="0.3">
      <c r="A172" s="22"/>
      <c r="B172" s="125"/>
      <c r="C172" s="125"/>
      <c r="D172" s="125"/>
      <c r="E172" s="21"/>
      <c r="F172" s="119"/>
      <c r="G172" s="119"/>
      <c r="H172" s="119"/>
      <c r="I172" s="120"/>
      <c r="J172" s="21"/>
    </row>
    <row r="173" spans="1:10" x14ac:dyDescent="0.3">
      <c r="A173" s="22"/>
      <c r="B173" s="125"/>
      <c r="C173" s="125"/>
      <c r="D173" s="125"/>
      <c r="E173" s="21"/>
      <c r="F173" s="119"/>
      <c r="G173" s="119"/>
      <c r="H173" s="119"/>
      <c r="I173" s="120"/>
      <c r="J173" s="21"/>
    </row>
    <row r="174" spans="1:10" s="19" customFormat="1" x14ac:dyDescent="0.3">
      <c r="A174" s="17"/>
      <c r="B174" s="27"/>
      <c r="C174" s="27"/>
      <c r="D174" s="27"/>
      <c r="E174" s="28">
        <f>SUM(E5:E173)</f>
        <v>10279236</v>
      </c>
      <c r="F174" s="28">
        <f>SUM(F5:F173)</f>
        <v>17133102</v>
      </c>
      <c r="G174" s="28"/>
      <c r="H174" s="28"/>
      <c r="I174" s="28">
        <f>SUM(I5:I173)</f>
        <v>54824676</v>
      </c>
      <c r="J174" s="28">
        <f>SUM(J6:J173)</f>
        <v>0</v>
      </c>
    </row>
    <row r="175" spans="1:10" x14ac:dyDescent="0.3">
      <c r="I175" s="30"/>
    </row>
  </sheetData>
  <mergeCells count="6">
    <mergeCell ref="D1:D4"/>
    <mergeCell ref="E1:H2"/>
    <mergeCell ref="E3:E4"/>
    <mergeCell ref="F3:F4"/>
    <mergeCell ref="G3:G4"/>
    <mergeCell ref="H3:H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P192"/>
  <sheetViews>
    <sheetView topLeftCell="C88" workbookViewId="0">
      <selection activeCell="K96" sqref="K96"/>
    </sheetView>
  </sheetViews>
  <sheetFormatPr defaultRowHeight="15.6" x14ac:dyDescent="0.3"/>
  <cols>
    <col min="1" max="1" width="1.5546875" customWidth="1"/>
    <col min="2" max="2" width="6" style="31" customWidth="1"/>
    <col min="3" max="3" width="7.109375" style="31" customWidth="1"/>
    <col min="4" max="4" width="8.109375" style="31" customWidth="1"/>
    <col min="5" max="5" width="23.33203125" style="114" customWidth="1"/>
    <col min="6" max="6" width="36" style="108" customWidth="1"/>
    <col min="7" max="7" width="27.88671875" style="36" customWidth="1"/>
    <col min="8" max="8" width="9.109375" style="36"/>
    <col min="9" max="9" width="9" style="36" customWidth="1"/>
    <col min="10" max="10" width="7.109375" style="36" customWidth="1"/>
    <col min="11" max="11" width="15.109375" style="36" customWidth="1"/>
    <col min="12" max="12" width="8.109375" style="41" customWidth="1"/>
    <col min="13" max="13" width="11.6640625" style="42" customWidth="1"/>
    <col min="14" max="14" width="12.33203125" style="36" customWidth="1"/>
    <col min="15" max="15" width="9.109375" style="37"/>
    <col min="18" max="18" width="11" customWidth="1"/>
    <col min="22" max="22" width="21.109375" customWidth="1"/>
  </cols>
  <sheetData>
    <row r="1" spans="2:16" ht="39.75" customHeight="1" x14ac:dyDescent="0.3">
      <c r="C1" s="32"/>
      <c r="D1" s="32"/>
      <c r="E1" s="33"/>
      <c r="F1" s="33"/>
      <c r="G1" s="34" t="s">
        <v>437</v>
      </c>
      <c r="H1" s="33"/>
      <c r="I1" s="33"/>
      <c r="J1" s="33"/>
      <c r="K1" s="33"/>
      <c r="L1" s="35"/>
      <c r="M1" s="35"/>
    </row>
    <row r="2" spans="2:16" ht="24" customHeight="1" x14ac:dyDescent="0.3">
      <c r="C2" s="32"/>
      <c r="D2" s="32"/>
      <c r="E2" s="35"/>
      <c r="F2" s="35"/>
      <c r="G2" s="38" t="s">
        <v>438</v>
      </c>
      <c r="H2" s="35"/>
      <c r="I2" s="35"/>
      <c r="J2" s="35"/>
      <c r="K2" s="35"/>
      <c r="L2" s="35"/>
      <c r="M2" s="35"/>
    </row>
    <row r="3" spans="2:16" ht="9" customHeight="1" x14ac:dyDescent="0.3">
      <c r="E3" s="39"/>
      <c r="F3" s="40"/>
    </row>
    <row r="4" spans="2:16" s="44" customFormat="1" ht="20.25" customHeight="1" x14ac:dyDescent="0.25">
      <c r="B4" s="284" t="s">
        <v>439</v>
      </c>
      <c r="C4" s="285"/>
      <c r="D4" s="285"/>
      <c r="E4" s="285"/>
      <c r="F4" s="285"/>
      <c r="G4" s="285"/>
      <c r="H4" s="286" t="s">
        <v>440</v>
      </c>
      <c r="I4" s="287"/>
      <c r="J4" s="287"/>
      <c r="K4" s="287"/>
      <c r="L4" s="287"/>
      <c r="M4" s="288"/>
      <c r="N4" s="43"/>
      <c r="O4" s="43"/>
    </row>
    <row r="5" spans="2:16" s="53" customFormat="1" ht="50.25" customHeight="1" x14ac:dyDescent="0.3">
      <c r="B5" s="45" t="s">
        <v>431</v>
      </c>
      <c r="C5" s="46" t="s">
        <v>441</v>
      </c>
      <c r="D5" s="46" t="s">
        <v>442</v>
      </c>
      <c r="E5" s="47" t="s">
        <v>443</v>
      </c>
      <c r="F5" s="48" t="s">
        <v>444</v>
      </c>
      <c r="G5" s="49" t="s">
        <v>445</v>
      </c>
      <c r="H5" s="50" t="s">
        <v>446</v>
      </c>
      <c r="I5" s="50" t="s">
        <v>447</v>
      </c>
      <c r="J5" s="50" t="s">
        <v>448</v>
      </c>
      <c r="K5" s="50" t="s">
        <v>449</v>
      </c>
      <c r="L5" s="51" t="s">
        <v>450</v>
      </c>
      <c r="M5" s="52" t="s">
        <v>451</v>
      </c>
      <c r="N5" s="50" t="s">
        <v>452</v>
      </c>
      <c r="O5" s="50" t="s">
        <v>453</v>
      </c>
      <c r="P5" s="53" t="s">
        <v>454</v>
      </c>
    </row>
    <row r="6" spans="2:16" s="65" customFormat="1" x14ac:dyDescent="0.3">
      <c r="B6" s="54">
        <v>1</v>
      </c>
      <c r="C6" s="55" t="s">
        <v>56</v>
      </c>
      <c r="D6" s="55" t="s">
        <v>455</v>
      </c>
      <c r="E6" s="56" t="s">
        <v>57</v>
      </c>
      <c r="F6" s="57" t="s">
        <v>456</v>
      </c>
      <c r="G6" s="58" t="s">
        <v>457</v>
      </c>
      <c r="H6" s="59" t="s">
        <v>458</v>
      </c>
      <c r="I6" s="59">
        <v>1</v>
      </c>
      <c r="J6" s="59">
        <v>1.1299999999999999</v>
      </c>
      <c r="K6" s="71">
        <v>16238000</v>
      </c>
      <c r="L6" s="72"/>
      <c r="M6" s="62">
        <v>44896</v>
      </c>
      <c r="N6" s="61">
        <v>0.45</v>
      </c>
      <c r="O6" s="64" t="s">
        <v>459</v>
      </c>
      <c r="P6" s="65" t="s">
        <v>460</v>
      </c>
    </row>
    <row r="7" spans="2:16" s="75" customFormat="1" x14ac:dyDescent="0.3">
      <c r="B7" s="66">
        <v>2</v>
      </c>
      <c r="C7" s="55" t="s">
        <v>62</v>
      </c>
      <c r="D7" s="55" t="s">
        <v>455</v>
      </c>
      <c r="E7" s="67" t="s">
        <v>461</v>
      </c>
      <c r="F7" s="68" t="s">
        <v>462</v>
      </c>
      <c r="G7" s="69" t="s">
        <v>463</v>
      </c>
      <c r="H7" s="70" t="s">
        <v>458</v>
      </c>
      <c r="I7" s="59">
        <v>2</v>
      </c>
      <c r="J7" s="70">
        <v>1.1299999999999999</v>
      </c>
      <c r="K7" s="71">
        <v>13054000</v>
      </c>
      <c r="L7" s="72"/>
      <c r="M7" s="62">
        <v>44562</v>
      </c>
      <c r="N7" s="73">
        <v>0.5</v>
      </c>
      <c r="O7" s="74" t="s">
        <v>464</v>
      </c>
      <c r="P7" s="65" t="s">
        <v>465</v>
      </c>
    </row>
    <row r="8" spans="2:16" s="75" customFormat="1" x14ac:dyDescent="0.3">
      <c r="B8" s="66">
        <v>3</v>
      </c>
      <c r="C8" s="55" t="s">
        <v>59</v>
      </c>
      <c r="D8" s="55" t="s">
        <v>455</v>
      </c>
      <c r="E8" s="67" t="s">
        <v>466</v>
      </c>
      <c r="F8" s="68" t="s">
        <v>462</v>
      </c>
      <c r="G8" s="69" t="s">
        <v>463</v>
      </c>
      <c r="H8" s="70" t="s">
        <v>458</v>
      </c>
      <c r="I8" s="59">
        <v>1</v>
      </c>
      <c r="J8" s="70">
        <v>1.1299999999999999</v>
      </c>
      <c r="K8" s="71">
        <v>12020000</v>
      </c>
      <c r="L8" s="72"/>
      <c r="M8" s="62">
        <v>44531</v>
      </c>
      <c r="N8" s="73">
        <v>0.5</v>
      </c>
      <c r="O8" s="74" t="s">
        <v>464</v>
      </c>
      <c r="P8" s="65" t="s">
        <v>467</v>
      </c>
    </row>
    <row r="9" spans="2:16" s="75" customFormat="1" x14ac:dyDescent="0.3">
      <c r="B9" s="66">
        <v>4</v>
      </c>
      <c r="C9" s="55" t="s">
        <v>75</v>
      </c>
      <c r="D9" s="55" t="s">
        <v>468</v>
      </c>
      <c r="E9" s="67" t="s">
        <v>469</v>
      </c>
      <c r="F9" s="68" t="s">
        <v>470</v>
      </c>
      <c r="G9" s="69" t="s">
        <v>463</v>
      </c>
      <c r="H9" s="70" t="s">
        <v>471</v>
      </c>
      <c r="I9" s="70">
        <v>1</v>
      </c>
      <c r="J9" s="70">
        <v>1.1299999999999999</v>
      </c>
      <c r="K9" s="71">
        <v>7841000</v>
      </c>
      <c r="L9" s="72"/>
      <c r="M9" s="62" t="s">
        <v>472</v>
      </c>
      <c r="N9" s="73">
        <v>0.45</v>
      </c>
      <c r="O9" s="74" t="s">
        <v>464</v>
      </c>
      <c r="P9" s="65" t="s">
        <v>473</v>
      </c>
    </row>
    <row r="10" spans="2:16" s="75" customFormat="1" x14ac:dyDescent="0.3">
      <c r="B10" s="66">
        <v>5</v>
      </c>
      <c r="C10" s="55" t="s">
        <v>64</v>
      </c>
      <c r="D10" s="55" t="s">
        <v>468</v>
      </c>
      <c r="E10" s="67" t="s">
        <v>65</v>
      </c>
      <c r="F10" s="68" t="s">
        <v>470</v>
      </c>
      <c r="G10" s="69" t="s">
        <v>463</v>
      </c>
      <c r="H10" s="70" t="s">
        <v>471</v>
      </c>
      <c r="I10" s="70">
        <v>3</v>
      </c>
      <c r="J10" s="70">
        <v>1.1299999999999999</v>
      </c>
      <c r="K10" s="71">
        <v>8875000</v>
      </c>
      <c r="L10" s="72"/>
      <c r="M10" s="62" t="s">
        <v>472</v>
      </c>
      <c r="N10" s="73">
        <v>0.45</v>
      </c>
      <c r="O10" s="74" t="s">
        <v>464</v>
      </c>
      <c r="P10" s="65" t="s">
        <v>474</v>
      </c>
    </row>
    <row r="11" spans="2:16" s="75" customFormat="1" x14ac:dyDescent="0.3">
      <c r="B11" s="66">
        <v>6</v>
      </c>
      <c r="C11" s="55" t="s">
        <v>73</v>
      </c>
      <c r="D11" s="55" t="s">
        <v>475</v>
      </c>
      <c r="E11" s="67" t="s">
        <v>74</v>
      </c>
      <c r="F11" s="76" t="s">
        <v>476</v>
      </c>
      <c r="G11" s="69" t="s">
        <v>463</v>
      </c>
      <c r="H11" s="70" t="s">
        <v>477</v>
      </c>
      <c r="I11" s="70">
        <v>1</v>
      </c>
      <c r="J11" s="70">
        <v>1.1299999999999999</v>
      </c>
      <c r="K11" s="71">
        <v>7323000</v>
      </c>
      <c r="L11" s="72"/>
      <c r="M11" s="62">
        <v>44044</v>
      </c>
      <c r="N11" s="73">
        <v>0.45</v>
      </c>
      <c r="O11" s="74" t="s">
        <v>464</v>
      </c>
      <c r="P11" s="65" t="s">
        <v>478</v>
      </c>
    </row>
    <row r="12" spans="2:16" s="75" customFormat="1" x14ac:dyDescent="0.3">
      <c r="B12" s="66">
        <v>7</v>
      </c>
      <c r="C12" s="55" t="s">
        <v>67</v>
      </c>
      <c r="D12" s="55" t="s">
        <v>475</v>
      </c>
      <c r="E12" s="77" t="s">
        <v>68</v>
      </c>
      <c r="F12" s="76" t="s">
        <v>476</v>
      </c>
      <c r="G12" s="69" t="s">
        <v>463</v>
      </c>
      <c r="H12" s="70" t="s">
        <v>477</v>
      </c>
      <c r="I12" s="70">
        <v>2</v>
      </c>
      <c r="J12" s="70">
        <v>1.1299999999999999</v>
      </c>
      <c r="K12" s="71">
        <v>7801000</v>
      </c>
      <c r="L12" s="72"/>
      <c r="M12" s="62">
        <v>43845</v>
      </c>
      <c r="N12" s="73">
        <v>0.45</v>
      </c>
      <c r="O12" s="74" t="s">
        <v>464</v>
      </c>
      <c r="P12" s="65" t="s">
        <v>479</v>
      </c>
    </row>
    <row r="13" spans="2:16" s="75" customFormat="1" x14ac:dyDescent="0.3">
      <c r="B13" s="66">
        <v>8</v>
      </c>
      <c r="C13" s="55" t="s">
        <v>69</v>
      </c>
      <c r="D13" s="55" t="s">
        <v>475</v>
      </c>
      <c r="E13" s="77" t="s">
        <v>70</v>
      </c>
      <c r="F13" s="76" t="s">
        <v>476</v>
      </c>
      <c r="G13" s="69" t="s">
        <v>463</v>
      </c>
      <c r="H13" s="70" t="s">
        <v>477</v>
      </c>
      <c r="I13" s="70">
        <v>1</v>
      </c>
      <c r="J13" s="70">
        <v>1.1299999999999999</v>
      </c>
      <c r="K13" s="71">
        <v>7323000</v>
      </c>
      <c r="L13" s="72"/>
      <c r="M13" s="62">
        <v>43883</v>
      </c>
      <c r="N13" s="73">
        <v>0.45</v>
      </c>
      <c r="O13" s="74" t="s">
        <v>464</v>
      </c>
      <c r="P13" s="65" t="s">
        <v>480</v>
      </c>
    </row>
    <row r="14" spans="2:16" s="75" customFormat="1" x14ac:dyDescent="0.3">
      <c r="B14" s="66">
        <v>9</v>
      </c>
      <c r="C14" s="55" t="s">
        <v>71</v>
      </c>
      <c r="D14" s="55" t="s">
        <v>481</v>
      </c>
      <c r="E14" s="77" t="s">
        <v>482</v>
      </c>
      <c r="F14" s="68" t="s">
        <v>483</v>
      </c>
      <c r="G14" s="69" t="s">
        <v>463</v>
      </c>
      <c r="H14" s="70" t="s">
        <v>477</v>
      </c>
      <c r="I14" s="70">
        <v>3</v>
      </c>
      <c r="J14" s="70">
        <v>1.1299999999999999</v>
      </c>
      <c r="K14" s="71">
        <v>8278000</v>
      </c>
      <c r="L14" s="72"/>
      <c r="M14" s="62" t="s">
        <v>472</v>
      </c>
      <c r="N14" s="73">
        <v>0.45</v>
      </c>
      <c r="O14" s="74" t="s">
        <v>464</v>
      </c>
      <c r="P14" s="65" t="s">
        <v>484</v>
      </c>
    </row>
    <row r="15" spans="2:16" s="65" customFormat="1" x14ac:dyDescent="0.3">
      <c r="B15" s="54">
        <v>11</v>
      </c>
      <c r="C15" s="55" t="s">
        <v>80</v>
      </c>
      <c r="D15" s="55" t="s">
        <v>486</v>
      </c>
      <c r="E15" s="67" t="s">
        <v>81</v>
      </c>
      <c r="F15" s="68" t="s">
        <v>462</v>
      </c>
      <c r="G15" s="58" t="s">
        <v>487</v>
      </c>
      <c r="H15" s="59" t="s">
        <v>458</v>
      </c>
      <c r="I15" s="59">
        <v>1</v>
      </c>
      <c r="J15" s="59">
        <v>1.1299999999999999</v>
      </c>
      <c r="K15" s="71">
        <v>12020000</v>
      </c>
      <c r="L15" s="72">
        <v>0.1</v>
      </c>
      <c r="M15" s="62">
        <v>43770</v>
      </c>
      <c r="N15" s="63">
        <v>0.4</v>
      </c>
      <c r="O15" s="64" t="s">
        <v>459</v>
      </c>
      <c r="P15" s="65" t="s">
        <v>488</v>
      </c>
    </row>
    <row r="16" spans="2:16" s="75" customFormat="1" x14ac:dyDescent="0.3">
      <c r="B16" s="66">
        <v>12</v>
      </c>
      <c r="C16" s="55" t="s">
        <v>82</v>
      </c>
      <c r="D16" s="55" t="s">
        <v>486</v>
      </c>
      <c r="E16" s="67" t="s">
        <v>83</v>
      </c>
      <c r="F16" s="68" t="s">
        <v>462</v>
      </c>
      <c r="G16" s="69" t="s">
        <v>487</v>
      </c>
      <c r="H16" s="70" t="s">
        <v>458</v>
      </c>
      <c r="I16" s="59">
        <v>1</v>
      </c>
      <c r="J16" s="70">
        <v>1.1299999999999999</v>
      </c>
      <c r="K16" s="71">
        <v>12020000</v>
      </c>
      <c r="L16" s="72"/>
      <c r="M16" s="62">
        <v>44044</v>
      </c>
      <c r="N16" s="73">
        <v>0.4</v>
      </c>
      <c r="O16" s="74" t="s">
        <v>459</v>
      </c>
      <c r="P16" s="65" t="s">
        <v>489</v>
      </c>
    </row>
    <row r="17" spans="2:16" s="75" customFormat="1" x14ac:dyDescent="0.3">
      <c r="B17" s="66">
        <v>13</v>
      </c>
      <c r="C17" s="55" t="s">
        <v>92</v>
      </c>
      <c r="D17" s="55" t="s">
        <v>490</v>
      </c>
      <c r="E17" s="78" t="s">
        <v>93</v>
      </c>
      <c r="F17" s="68" t="s">
        <v>491</v>
      </c>
      <c r="G17" s="69" t="s">
        <v>487</v>
      </c>
      <c r="H17" s="70" t="s">
        <v>471</v>
      </c>
      <c r="I17" s="70">
        <v>1</v>
      </c>
      <c r="J17" s="70">
        <v>1.1299999999999999</v>
      </c>
      <c r="K17" s="71">
        <v>7841000</v>
      </c>
      <c r="L17" s="72"/>
      <c r="M17" s="62" t="s">
        <v>472</v>
      </c>
      <c r="N17" s="73">
        <v>0.35</v>
      </c>
      <c r="O17" s="74" t="s">
        <v>459</v>
      </c>
      <c r="P17" s="65" t="s">
        <v>492</v>
      </c>
    </row>
    <row r="18" spans="2:16" s="75" customFormat="1" x14ac:dyDescent="0.3">
      <c r="B18" s="66">
        <v>14</v>
      </c>
      <c r="C18" s="55" t="s">
        <v>86</v>
      </c>
      <c r="D18" s="55" t="s">
        <v>490</v>
      </c>
      <c r="E18" s="67" t="s">
        <v>87</v>
      </c>
      <c r="F18" s="68" t="s">
        <v>491</v>
      </c>
      <c r="G18" s="69" t="s">
        <v>487</v>
      </c>
      <c r="H18" s="70" t="s">
        <v>471</v>
      </c>
      <c r="I18" s="70">
        <v>1</v>
      </c>
      <c r="J18" s="70">
        <v>1.1299999999999999</v>
      </c>
      <c r="K18" s="71">
        <v>7841000</v>
      </c>
      <c r="L18" s="72">
        <v>0.1</v>
      </c>
      <c r="M18" s="62">
        <v>44317</v>
      </c>
      <c r="N18" s="73">
        <v>0.35</v>
      </c>
      <c r="O18" s="74" t="s">
        <v>459</v>
      </c>
      <c r="P18" s="65" t="s">
        <v>493</v>
      </c>
    </row>
    <row r="19" spans="2:16" s="80" customFormat="1" x14ac:dyDescent="0.3">
      <c r="B19" s="66">
        <v>15</v>
      </c>
      <c r="C19" s="55" t="s">
        <v>84</v>
      </c>
      <c r="D19" s="55" t="s">
        <v>494</v>
      </c>
      <c r="E19" s="67" t="s">
        <v>85</v>
      </c>
      <c r="F19" s="68" t="s">
        <v>495</v>
      </c>
      <c r="G19" s="79" t="s">
        <v>487</v>
      </c>
      <c r="H19" s="70" t="s">
        <v>471</v>
      </c>
      <c r="I19" s="70">
        <v>3</v>
      </c>
      <c r="J19" s="70">
        <v>1.1299999999999999</v>
      </c>
      <c r="K19" s="71">
        <v>8875000</v>
      </c>
      <c r="L19" s="72"/>
      <c r="M19" s="62">
        <v>44621</v>
      </c>
      <c r="N19" s="73">
        <v>0.35</v>
      </c>
      <c r="O19" s="74" t="s">
        <v>459</v>
      </c>
      <c r="P19" s="65" t="s">
        <v>496</v>
      </c>
    </row>
    <row r="20" spans="2:16" s="75" customFormat="1" x14ac:dyDescent="0.3">
      <c r="B20" s="66">
        <v>16</v>
      </c>
      <c r="C20" s="55" t="s">
        <v>90</v>
      </c>
      <c r="D20" s="55" t="s">
        <v>497</v>
      </c>
      <c r="E20" s="78" t="s">
        <v>91</v>
      </c>
      <c r="F20" s="68" t="s">
        <v>498</v>
      </c>
      <c r="G20" s="69" t="s">
        <v>487</v>
      </c>
      <c r="H20" s="70" t="s">
        <v>471</v>
      </c>
      <c r="I20" s="70">
        <v>1</v>
      </c>
      <c r="J20" s="70">
        <v>1.1299999999999999</v>
      </c>
      <c r="K20" s="71">
        <v>7841000</v>
      </c>
      <c r="L20" s="72"/>
      <c r="M20" s="62" t="s">
        <v>472</v>
      </c>
      <c r="N20" s="73">
        <v>0.35</v>
      </c>
      <c r="O20" s="74" t="s">
        <v>459</v>
      </c>
      <c r="P20" s="65" t="s">
        <v>499</v>
      </c>
    </row>
    <row r="21" spans="2:16" s="75" customFormat="1" x14ac:dyDescent="0.3">
      <c r="B21" s="66">
        <v>17</v>
      </c>
      <c r="C21" s="55" t="s">
        <v>88</v>
      </c>
      <c r="D21" s="55" t="s">
        <v>500</v>
      </c>
      <c r="E21" s="67" t="s">
        <v>89</v>
      </c>
      <c r="F21" s="68" t="s">
        <v>501</v>
      </c>
      <c r="G21" s="69" t="s">
        <v>487</v>
      </c>
      <c r="H21" s="70" t="s">
        <v>502</v>
      </c>
      <c r="I21" s="70">
        <v>3</v>
      </c>
      <c r="J21" s="70">
        <v>1.1299999999999999</v>
      </c>
      <c r="K21" s="71">
        <v>7363000</v>
      </c>
      <c r="L21" s="72"/>
      <c r="M21" s="62">
        <v>43661</v>
      </c>
      <c r="N21" s="73">
        <v>0.35</v>
      </c>
      <c r="O21" s="74" t="s">
        <v>459</v>
      </c>
      <c r="P21" s="65" t="s">
        <v>503</v>
      </c>
    </row>
    <row r="22" spans="2:16" s="75" customFormat="1" x14ac:dyDescent="0.3">
      <c r="B22" s="66">
        <v>18</v>
      </c>
      <c r="C22" s="55" t="s">
        <v>95</v>
      </c>
      <c r="D22" s="55" t="s">
        <v>504</v>
      </c>
      <c r="E22" s="67" t="s">
        <v>505</v>
      </c>
      <c r="F22" s="68" t="s">
        <v>462</v>
      </c>
      <c r="G22" s="69" t="s">
        <v>506</v>
      </c>
      <c r="H22" s="70" t="s">
        <v>458</v>
      </c>
      <c r="I22" s="59">
        <v>2</v>
      </c>
      <c r="J22" s="70">
        <v>1.1299999999999999</v>
      </c>
      <c r="K22" s="71">
        <v>13054000</v>
      </c>
      <c r="L22" s="72"/>
      <c r="M22" s="62">
        <v>44562</v>
      </c>
      <c r="N22" s="73">
        <v>0.4</v>
      </c>
      <c r="O22" s="74" t="s">
        <v>459</v>
      </c>
      <c r="P22" s="65" t="s">
        <v>507</v>
      </c>
    </row>
    <row r="23" spans="2:16" s="80" customFormat="1" x14ac:dyDescent="0.3">
      <c r="B23" s="66">
        <v>19</v>
      </c>
      <c r="C23" s="55" t="s">
        <v>101</v>
      </c>
      <c r="D23" s="55" t="s">
        <v>508</v>
      </c>
      <c r="E23" s="81" t="s">
        <v>102</v>
      </c>
      <c r="F23" s="68" t="s">
        <v>509</v>
      </c>
      <c r="G23" s="79" t="s">
        <v>506</v>
      </c>
      <c r="H23" s="70" t="s">
        <v>471</v>
      </c>
      <c r="I23" s="70">
        <v>2</v>
      </c>
      <c r="J23" s="70">
        <v>1.1299999999999999</v>
      </c>
      <c r="K23" s="71">
        <v>8358000</v>
      </c>
      <c r="L23" s="72"/>
      <c r="M23" s="62" t="s">
        <v>472</v>
      </c>
      <c r="N23" s="73">
        <v>0.35</v>
      </c>
      <c r="O23" s="74" t="s">
        <v>459</v>
      </c>
      <c r="P23" s="65" t="s">
        <v>510</v>
      </c>
    </row>
    <row r="24" spans="2:16" s="75" customFormat="1" ht="31.2" x14ac:dyDescent="0.3">
      <c r="B24" s="66">
        <v>20</v>
      </c>
      <c r="C24" s="55" t="s">
        <v>99</v>
      </c>
      <c r="D24" s="55" t="s">
        <v>511</v>
      </c>
      <c r="E24" s="67" t="s">
        <v>100</v>
      </c>
      <c r="F24" s="68" t="s">
        <v>512</v>
      </c>
      <c r="G24" s="69" t="s">
        <v>506</v>
      </c>
      <c r="H24" s="70" t="s">
        <v>471</v>
      </c>
      <c r="I24" s="70">
        <v>2</v>
      </c>
      <c r="J24" s="70">
        <v>1.1299999999999999</v>
      </c>
      <c r="K24" s="71">
        <v>8358000</v>
      </c>
      <c r="L24" s="72"/>
      <c r="M24" s="62" t="s">
        <v>472</v>
      </c>
      <c r="N24" s="73">
        <v>0.35</v>
      </c>
      <c r="O24" s="74" t="s">
        <v>459</v>
      </c>
      <c r="P24" s="65" t="s">
        <v>513</v>
      </c>
    </row>
    <row r="25" spans="2:16" s="75" customFormat="1" x14ac:dyDescent="0.3">
      <c r="B25" s="66">
        <v>21</v>
      </c>
      <c r="C25" s="55" t="s">
        <v>97</v>
      </c>
      <c r="D25" s="55" t="s">
        <v>514</v>
      </c>
      <c r="E25" s="67" t="s">
        <v>98</v>
      </c>
      <c r="F25" s="68" t="s">
        <v>515</v>
      </c>
      <c r="G25" s="69" t="s">
        <v>506</v>
      </c>
      <c r="H25" s="70" t="s">
        <v>477</v>
      </c>
      <c r="I25" s="70">
        <v>3</v>
      </c>
      <c r="J25" s="70">
        <v>1.1299999999999999</v>
      </c>
      <c r="K25" s="71">
        <v>8278000</v>
      </c>
      <c r="L25" s="72"/>
      <c r="M25" s="62">
        <v>44652</v>
      </c>
      <c r="N25" s="73">
        <v>0.35</v>
      </c>
      <c r="O25" s="74" t="s">
        <v>459</v>
      </c>
      <c r="P25" s="65" t="s">
        <v>516</v>
      </c>
    </row>
    <row r="26" spans="2:16" s="80" customFormat="1" x14ac:dyDescent="0.3">
      <c r="B26" s="66">
        <v>22</v>
      </c>
      <c r="C26" s="55" t="s">
        <v>105</v>
      </c>
      <c r="D26" s="55" t="s">
        <v>517</v>
      </c>
      <c r="E26" s="78" t="s">
        <v>106</v>
      </c>
      <c r="F26" s="76" t="s">
        <v>518</v>
      </c>
      <c r="G26" s="79" t="s">
        <v>506</v>
      </c>
      <c r="H26" s="70" t="s">
        <v>477</v>
      </c>
      <c r="I26" s="70">
        <v>2</v>
      </c>
      <c r="J26" s="70">
        <v>1.1299999999999999</v>
      </c>
      <c r="K26" s="71">
        <v>7801000</v>
      </c>
      <c r="L26" s="72"/>
      <c r="M26" s="62">
        <v>43952</v>
      </c>
      <c r="N26" s="73">
        <v>0.35</v>
      </c>
      <c r="O26" s="74" t="s">
        <v>459</v>
      </c>
      <c r="P26" s="65" t="s">
        <v>519</v>
      </c>
    </row>
    <row r="27" spans="2:16" s="80" customFormat="1" x14ac:dyDescent="0.3">
      <c r="B27" s="66">
        <v>23</v>
      </c>
      <c r="C27" s="55" t="s">
        <v>107</v>
      </c>
      <c r="D27" s="55" t="s">
        <v>520</v>
      </c>
      <c r="E27" s="78" t="s">
        <v>108</v>
      </c>
      <c r="F27" s="76" t="s">
        <v>521</v>
      </c>
      <c r="G27" s="79" t="s">
        <v>506</v>
      </c>
      <c r="H27" s="70" t="s">
        <v>477</v>
      </c>
      <c r="I27" s="70">
        <v>1</v>
      </c>
      <c r="J27" s="70">
        <v>1.1299999999999999</v>
      </c>
      <c r="K27" s="71">
        <v>7323000</v>
      </c>
      <c r="L27" s="72"/>
      <c r="M27" s="62">
        <v>44531</v>
      </c>
      <c r="N27" s="73">
        <v>0.35</v>
      </c>
      <c r="O27" s="74" t="s">
        <v>459</v>
      </c>
      <c r="P27" s="65" t="s">
        <v>522</v>
      </c>
    </row>
    <row r="28" spans="2:16" s="75" customFormat="1" x14ac:dyDescent="0.3">
      <c r="B28" s="66">
        <v>24</v>
      </c>
      <c r="C28" s="55" t="s">
        <v>103</v>
      </c>
      <c r="D28" s="55" t="s">
        <v>523</v>
      </c>
      <c r="E28" s="67" t="s">
        <v>104</v>
      </c>
      <c r="F28" s="68" t="s">
        <v>524</v>
      </c>
      <c r="G28" s="69" t="s">
        <v>506</v>
      </c>
      <c r="H28" s="70" t="s">
        <v>477</v>
      </c>
      <c r="I28" s="70">
        <v>2</v>
      </c>
      <c r="J28" s="70">
        <v>1.1299999999999999</v>
      </c>
      <c r="K28" s="71">
        <v>7801000</v>
      </c>
      <c r="L28" s="72"/>
      <c r="M28" s="62">
        <v>43905</v>
      </c>
      <c r="N28" s="73">
        <v>0.35</v>
      </c>
      <c r="O28" s="74" t="s">
        <v>459</v>
      </c>
      <c r="P28" s="65" t="s">
        <v>525</v>
      </c>
    </row>
    <row r="29" spans="2:16" s="75" customFormat="1" x14ac:dyDescent="0.3">
      <c r="B29" s="66">
        <v>25</v>
      </c>
      <c r="C29" s="55" t="s">
        <v>109</v>
      </c>
      <c r="D29" s="55" t="s">
        <v>526</v>
      </c>
      <c r="E29" s="67" t="s">
        <v>110</v>
      </c>
      <c r="F29" s="68" t="s">
        <v>527</v>
      </c>
      <c r="G29" s="69" t="s">
        <v>506</v>
      </c>
      <c r="H29" s="70" t="s">
        <v>528</v>
      </c>
      <c r="I29" s="70">
        <v>1</v>
      </c>
      <c r="J29" s="70">
        <v>1.1299999999999999</v>
      </c>
      <c r="K29" s="71">
        <v>5134000</v>
      </c>
      <c r="L29" s="72"/>
      <c r="M29" s="62" t="s">
        <v>529</v>
      </c>
      <c r="N29" s="73">
        <v>0.35</v>
      </c>
      <c r="O29" s="74" t="s">
        <v>459</v>
      </c>
      <c r="P29" s="65" t="s">
        <v>530</v>
      </c>
    </row>
    <row r="30" spans="2:16" s="75" customFormat="1" x14ac:dyDescent="0.3">
      <c r="B30" s="66">
        <v>26</v>
      </c>
      <c r="C30" s="55" t="s">
        <v>113</v>
      </c>
      <c r="D30" s="55" t="s">
        <v>531</v>
      </c>
      <c r="E30" s="67" t="s">
        <v>114</v>
      </c>
      <c r="F30" s="68" t="s">
        <v>532</v>
      </c>
      <c r="G30" s="69" t="s">
        <v>533</v>
      </c>
      <c r="H30" s="70" t="s">
        <v>534</v>
      </c>
      <c r="I30" s="59">
        <v>2</v>
      </c>
      <c r="J30" s="70">
        <v>1.1299999999999999</v>
      </c>
      <c r="K30" s="71">
        <v>17631000</v>
      </c>
      <c r="L30" s="72"/>
      <c r="M30" s="62" t="s">
        <v>472</v>
      </c>
      <c r="N30" s="73">
        <v>0.45</v>
      </c>
      <c r="O30" s="74" t="s">
        <v>459</v>
      </c>
      <c r="P30" s="65" t="s">
        <v>535</v>
      </c>
    </row>
    <row r="31" spans="2:16" s="75" customFormat="1" x14ac:dyDescent="0.3">
      <c r="B31" s="66">
        <v>27</v>
      </c>
      <c r="C31" s="55" t="s">
        <v>116</v>
      </c>
      <c r="D31" s="55" t="s">
        <v>536</v>
      </c>
      <c r="E31" s="67" t="s">
        <v>117</v>
      </c>
      <c r="F31" s="68" t="s">
        <v>462</v>
      </c>
      <c r="G31" s="69" t="s">
        <v>533</v>
      </c>
      <c r="H31" s="70" t="s">
        <v>458</v>
      </c>
      <c r="I31" s="59">
        <v>1</v>
      </c>
      <c r="J31" s="70">
        <v>1.1299999999999999</v>
      </c>
      <c r="K31" s="71">
        <v>12020000</v>
      </c>
      <c r="L31" s="72"/>
      <c r="M31" s="62">
        <v>44531</v>
      </c>
      <c r="N31" s="73">
        <v>0.4</v>
      </c>
      <c r="O31" s="74" t="s">
        <v>459</v>
      </c>
      <c r="P31" s="65" t="s">
        <v>537</v>
      </c>
    </row>
    <row r="32" spans="2:16" s="75" customFormat="1" x14ac:dyDescent="0.3">
      <c r="B32" s="66">
        <v>28</v>
      </c>
      <c r="C32" s="55" t="s">
        <v>125</v>
      </c>
      <c r="D32" s="55" t="s">
        <v>538</v>
      </c>
      <c r="E32" s="78" t="s">
        <v>126</v>
      </c>
      <c r="F32" s="68" t="s">
        <v>539</v>
      </c>
      <c r="G32" s="69" t="s">
        <v>533</v>
      </c>
      <c r="H32" s="70" t="s">
        <v>471</v>
      </c>
      <c r="I32" s="70">
        <v>1</v>
      </c>
      <c r="J32" s="70">
        <v>1.1299999999999999</v>
      </c>
      <c r="K32" s="71">
        <v>7841000</v>
      </c>
      <c r="L32" s="72"/>
      <c r="M32" s="62" t="s">
        <v>472</v>
      </c>
      <c r="N32" s="73">
        <v>0.35</v>
      </c>
      <c r="O32" s="74" t="s">
        <v>459</v>
      </c>
      <c r="P32" s="65" t="s">
        <v>540</v>
      </c>
    </row>
    <row r="33" spans="2:16" s="75" customFormat="1" x14ac:dyDescent="0.3">
      <c r="B33" s="66">
        <v>29</v>
      </c>
      <c r="C33" s="55" t="s">
        <v>129</v>
      </c>
      <c r="D33" s="55" t="s">
        <v>538</v>
      </c>
      <c r="E33" s="78" t="s">
        <v>130</v>
      </c>
      <c r="F33" s="68" t="s">
        <v>539</v>
      </c>
      <c r="G33" s="69" t="s">
        <v>533</v>
      </c>
      <c r="H33" s="70" t="s">
        <v>471</v>
      </c>
      <c r="I33" s="70">
        <v>1</v>
      </c>
      <c r="J33" s="70">
        <v>1.1299999999999999</v>
      </c>
      <c r="K33" s="71">
        <v>7841000</v>
      </c>
      <c r="L33" s="72"/>
      <c r="M33" s="62" t="s">
        <v>472</v>
      </c>
      <c r="N33" s="73">
        <v>0.35</v>
      </c>
      <c r="O33" s="74" t="s">
        <v>459</v>
      </c>
      <c r="P33" s="65" t="s">
        <v>541</v>
      </c>
    </row>
    <row r="34" spans="2:16" s="75" customFormat="1" x14ac:dyDescent="0.3">
      <c r="B34" s="66">
        <v>30</v>
      </c>
      <c r="C34" s="55" t="s">
        <v>123</v>
      </c>
      <c r="D34" s="55" t="s">
        <v>542</v>
      </c>
      <c r="E34" s="78" t="s">
        <v>124</v>
      </c>
      <c r="F34" s="68" t="s">
        <v>543</v>
      </c>
      <c r="G34" s="69" t="s">
        <v>533</v>
      </c>
      <c r="H34" s="70" t="s">
        <v>477</v>
      </c>
      <c r="I34" s="70">
        <v>2</v>
      </c>
      <c r="J34" s="70">
        <v>1.1299999999999999</v>
      </c>
      <c r="K34" s="71">
        <v>7801000</v>
      </c>
      <c r="L34" s="72"/>
      <c r="M34" s="62">
        <v>43678</v>
      </c>
      <c r="N34" s="73">
        <v>0.35</v>
      </c>
      <c r="O34" s="74" t="s">
        <v>459</v>
      </c>
      <c r="P34" s="65" t="s">
        <v>544</v>
      </c>
    </row>
    <row r="35" spans="2:16" s="75" customFormat="1" x14ac:dyDescent="0.3">
      <c r="B35" s="66">
        <v>31</v>
      </c>
      <c r="C35" s="55" t="s">
        <v>121</v>
      </c>
      <c r="D35" s="55" t="s">
        <v>545</v>
      </c>
      <c r="E35" s="67" t="s">
        <v>122</v>
      </c>
      <c r="F35" s="68" t="s">
        <v>546</v>
      </c>
      <c r="G35" s="69" t="s">
        <v>533</v>
      </c>
      <c r="H35" s="70" t="s">
        <v>477</v>
      </c>
      <c r="I35" s="70">
        <v>3</v>
      </c>
      <c r="J35" s="70">
        <v>1.1299999999999999</v>
      </c>
      <c r="K35" s="71">
        <v>8278000</v>
      </c>
      <c r="L35" s="72"/>
      <c r="M35" s="62">
        <v>44682</v>
      </c>
      <c r="N35" s="73">
        <v>0.35</v>
      </c>
      <c r="O35" s="74" t="s">
        <v>459</v>
      </c>
      <c r="P35" s="65" t="s">
        <v>547</v>
      </c>
    </row>
    <row r="36" spans="2:16" s="80" customFormat="1" x14ac:dyDescent="0.3">
      <c r="B36" s="66">
        <v>32</v>
      </c>
      <c r="C36" s="55" t="s">
        <v>127</v>
      </c>
      <c r="D36" s="55" t="s">
        <v>545</v>
      </c>
      <c r="E36" s="67" t="s">
        <v>128</v>
      </c>
      <c r="F36" s="68" t="s">
        <v>546</v>
      </c>
      <c r="G36" s="79" t="s">
        <v>533</v>
      </c>
      <c r="H36" s="70" t="s">
        <v>477</v>
      </c>
      <c r="I36" s="70">
        <v>1</v>
      </c>
      <c r="J36" s="70">
        <v>1.1299999999999999</v>
      </c>
      <c r="K36" s="71">
        <v>7323000</v>
      </c>
      <c r="L36" s="72"/>
      <c r="M36" s="62">
        <v>44197</v>
      </c>
      <c r="N36" s="82">
        <v>0.35</v>
      </c>
      <c r="O36" s="74" t="s">
        <v>459</v>
      </c>
      <c r="P36" s="65" t="s">
        <v>548</v>
      </c>
    </row>
    <row r="37" spans="2:16" s="80" customFormat="1" ht="31.2" x14ac:dyDescent="0.3">
      <c r="B37" s="70">
        <v>33</v>
      </c>
      <c r="C37" s="55" t="s">
        <v>118</v>
      </c>
      <c r="D37" s="55" t="s">
        <v>549</v>
      </c>
      <c r="E37" s="67" t="s">
        <v>119</v>
      </c>
      <c r="F37" s="83" t="s">
        <v>550</v>
      </c>
      <c r="G37" s="79" t="s">
        <v>533</v>
      </c>
      <c r="H37" s="70" t="s">
        <v>502</v>
      </c>
      <c r="I37" s="70">
        <v>7</v>
      </c>
      <c r="J37" s="70">
        <v>1.1299999999999999</v>
      </c>
      <c r="K37" s="71">
        <v>10533600</v>
      </c>
      <c r="L37" s="72"/>
      <c r="M37" s="62"/>
      <c r="N37" s="82">
        <v>0.35</v>
      </c>
      <c r="O37" s="74" t="s">
        <v>459</v>
      </c>
      <c r="P37" s="65" t="s">
        <v>551</v>
      </c>
    </row>
    <row r="38" spans="2:16" s="89" customFormat="1" x14ac:dyDescent="0.3">
      <c r="B38" s="84">
        <v>34</v>
      </c>
      <c r="C38" s="55" t="s">
        <v>132</v>
      </c>
      <c r="D38" s="55" t="s">
        <v>552</v>
      </c>
      <c r="E38" s="67" t="s">
        <v>133</v>
      </c>
      <c r="F38" s="68" t="s">
        <v>553</v>
      </c>
      <c r="G38" s="85" t="s">
        <v>554</v>
      </c>
      <c r="H38" s="86" t="s">
        <v>534</v>
      </c>
      <c r="I38" s="59">
        <v>1</v>
      </c>
      <c r="J38" s="86">
        <v>1.1299999999999999</v>
      </c>
      <c r="K38" s="71">
        <v>16238000</v>
      </c>
      <c r="L38" s="72"/>
      <c r="M38" s="62" t="s">
        <v>472</v>
      </c>
      <c r="N38" s="87">
        <v>0.45</v>
      </c>
      <c r="O38" s="88" t="s">
        <v>459</v>
      </c>
      <c r="P38" s="65" t="s">
        <v>555</v>
      </c>
    </row>
    <row r="39" spans="2:16" s="89" customFormat="1" x14ac:dyDescent="0.3">
      <c r="B39" s="66">
        <v>35</v>
      </c>
      <c r="C39" s="55" t="s">
        <v>134</v>
      </c>
      <c r="D39" s="55" t="s">
        <v>556</v>
      </c>
      <c r="E39" s="67" t="s">
        <v>135</v>
      </c>
      <c r="F39" s="68" t="s">
        <v>462</v>
      </c>
      <c r="G39" s="85" t="s">
        <v>554</v>
      </c>
      <c r="H39" s="86" t="s">
        <v>458</v>
      </c>
      <c r="I39" s="59">
        <v>1</v>
      </c>
      <c r="J39" s="70">
        <v>1.1299999999999999</v>
      </c>
      <c r="K39" s="71">
        <v>12020000</v>
      </c>
      <c r="L39" s="72"/>
      <c r="M39" s="62">
        <v>44044</v>
      </c>
      <c r="N39" s="73">
        <v>0.4</v>
      </c>
      <c r="O39" s="74" t="s">
        <v>459</v>
      </c>
      <c r="P39" s="65" t="s">
        <v>557</v>
      </c>
    </row>
    <row r="40" spans="2:16" s="75" customFormat="1" x14ac:dyDescent="0.3">
      <c r="B40" s="66">
        <v>36</v>
      </c>
      <c r="C40" s="55" t="s">
        <v>142</v>
      </c>
      <c r="D40" s="55" t="s">
        <v>558</v>
      </c>
      <c r="E40" s="77" t="s">
        <v>143</v>
      </c>
      <c r="F40" s="68" t="s">
        <v>559</v>
      </c>
      <c r="G40" s="69" t="s">
        <v>554</v>
      </c>
      <c r="H40" s="70" t="s">
        <v>471</v>
      </c>
      <c r="I40" s="70">
        <v>1</v>
      </c>
      <c r="J40" s="70">
        <v>1.1299999999999999</v>
      </c>
      <c r="K40" s="71">
        <v>7841000</v>
      </c>
      <c r="L40" s="72"/>
      <c r="M40" s="62" t="s">
        <v>472</v>
      </c>
      <c r="N40" s="73">
        <v>0.35</v>
      </c>
      <c r="O40" s="74" t="s">
        <v>459</v>
      </c>
      <c r="P40" s="65" t="s">
        <v>40</v>
      </c>
    </row>
    <row r="41" spans="2:16" s="91" customFormat="1" x14ac:dyDescent="0.3">
      <c r="B41" s="54">
        <v>37</v>
      </c>
      <c r="C41" s="55" t="s">
        <v>174</v>
      </c>
      <c r="D41" s="55" t="s">
        <v>558</v>
      </c>
      <c r="E41" s="56" t="s">
        <v>175</v>
      </c>
      <c r="F41" s="68" t="s">
        <v>559</v>
      </c>
      <c r="G41" s="90" t="s">
        <v>554</v>
      </c>
      <c r="H41" s="59" t="s">
        <v>471</v>
      </c>
      <c r="I41" s="59">
        <v>1</v>
      </c>
      <c r="J41" s="59">
        <v>1.1299999999999999</v>
      </c>
      <c r="K41" s="60">
        <v>7841000</v>
      </c>
      <c r="L41" s="61"/>
      <c r="M41" s="62" t="s">
        <v>472</v>
      </c>
      <c r="N41" s="63">
        <v>0.35</v>
      </c>
      <c r="O41" s="64" t="s">
        <v>459</v>
      </c>
      <c r="P41" s="65" t="s">
        <v>560</v>
      </c>
    </row>
    <row r="42" spans="2:16" s="75" customFormat="1" x14ac:dyDescent="0.3">
      <c r="B42" s="66">
        <v>38</v>
      </c>
      <c r="C42" s="55" t="s">
        <v>138</v>
      </c>
      <c r="D42" s="55" t="s">
        <v>561</v>
      </c>
      <c r="E42" s="77" t="s">
        <v>139</v>
      </c>
      <c r="F42" s="68" t="s">
        <v>562</v>
      </c>
      <c r="G42" s="69" t="s">
        <v>554</v>
      </c>
      <c r="H42" s="70" t="s">
        <v>477</v>
      </c>
      <c r="I42" s="70">
        <v>1</v>
      </c>
      <c r="J42" s="70">
        <v>1.1299999999999999</v>
      </c>
      <c r="K42" s="71">
        <v>7323000</v>
      </c>
      <c r="L42" s="72"/>
      <c r="M42" s="62">
        <v>43800</v>
      </c>
      <c r="N42" s="73">
        <v>0.35</v>
      </c>
      <c r="O42" s="74" t="s">
        <v>459</v>
      </c>
      <c r="P42" s="65" t="s">
        <v>563</v>
      </c>
    </row>
    <row r="43" spans="2:16" s="75" customFormat="1" x14ac:dyDescent="0.3">
      <c r="B43" s="66">
        <v>39</v>
      </c>
      <c r="C43" s="55" t="s">
        <v>140</v>
      </c>
      <c r="D43" s="55" t="s">
        <v>564</v>
      </c>
      <c r="E43" s="67" t="s">
        <v>141</v>
      </c>
      <c r="F43" s="68" t="s">
        <v>565</v>
      </c>
      <c r="G43" s="69" t="s">
        <v>554</v>
      </c>
      <c r="H43" s="70" t="s">
        <v>502</v>
      </c>
      <c r="I43" s="70">
        <v>3</v>
      </c>
      <c r="J43" s="70">
        <v>1.1299999999999999</v>
      </c>
      <c r="K43" s="71">
        <v>7363000</v>
      </c>
      <c r="L43" s="72"/>
      <c r="M43" s="62">
        <v>44027</v>
      </c>
      <c r="N43" s="73">
        <v>0.35</v>
      </c>
      <c r="O43" s="74" t="s">
        <v>459</v>
      </c>
      <c r="P43" s="65" t="s">
        <v>566</v>
      </c>
    </row>
    <row r="44" spans="2:16" s="75" customFormat="1" x14ac:dyDescent="0.3">
      <c r="B44" s="66">
        <v>40</v>
      </c>
      <c r="C44" s="55" t="s">
        <v>136</v>
      </c>
      <c r="D44" s="55" t="s">
        <v>564</v>
      </c>
      <c r="E44" s="77" t="s">
        <v>137</v>
      </c>
      <c r="F44" s="68" t="s">
        <v>565</v>
      </c>
      <c r="G44" s="69" t="s">
        <v>554</v>
      </c>
      <c r="H44" s="70" t="s">
        <v>502</v>
      </c>
      <c r="I44" s="70">
        <v>3</v>
      </c>
      <c r="J44" s="70">
        <v>1.1299999999999999</v>
      </c>
      <c r="K44" s="71">
        <v>7363000</v>
      </c>
      <c r="L44" s="72"/>
      <c r="M44" s="62">
        <v>43709</v>
      </c>
      <c r="N44" s="73">
        <v>0.35</v>
      </c>
      <c r="O44" s="74" t="s">
        <v>459</v>
      </c>
      <c r="P44" s="65" t="s">
        <v>567</v>
      </c>
    </row>
    <row r="45" spans="2:16" s="136" customFormat="1" ht="31.2" x14ac:dyDescent="0.3">
      <c r="B45" s="130">
        <v>41</v>
      </c>
      <c r="C45" s="96" t="s">
        <v>145</v>
      </c>
      <c r="D45" s="96" t="s">
        <v>568</v>
      </c>
      <c r="E45" s="131" t="s">
        <v>146</v>
      </c>
      <c r="F45" s="131" t="s">
        <v>553</v>
      </c>
      <c r="G45" s="132" t="s">
        <v>569</v>
      </c>
      <c r="H45" s="133" t="s">
        <v>534</v>
      </c>
      <c r="I45" s="130">
        <v>1</v>
      </c>
      <c r="J45" s="133">
        <v>1.1299999999999999</v>
      </c>
      <c r="K45" s="101">
        <v>16238000</v>
      </c>
      <c r="L45" s="102"/>
      <c r="M45" s="103" t="s">
        <v>472</v>
      </c>
      <c r="N45" s="134">
        <v>0.45</v>
      </c>
      <c r="O45" s="135" t="s">
        <v>459</v>
      </c>
      <c r="P45" s="106" t="s">
        <v>570</v>
      </c>
    </row>
    <row r="46" spans="2:16" s="80" customFormat="1" ht="31.2" x14ac:dyDescent="0.3">
      <c r="B46" s="66">
        <v>42</v>
      </c>
      <c r="C46" s="55" t="s">
        <v>147</v>
      </c>
      <c r="D46" s="55" t="s">
        <v>568</v>
      </c>
      <c r="E46" s="67" t="s">
        <v>148</v>
      </c>
      <c r="F46" s="81" t="s">
        <v>462</v>
      </c>
      <c r="G46" s="92" t="s">
        <v>569</v>
      </c>
      <c r="H46" s="70" t="s">
        <v>458</v>
      </c>
      <c r="I46" s="59">
        <v>2</v>
      </c>
      <c r="J46" s="70">
        <v>1.1299999999999999</v>
      </c>
      <c r="K46" s="71">
        <v>13054000</v>
      </c>
      <c r="L46" s="72"/>
      <c r="M46" s="62">
        <v>44562</v>
      </c>
      <c r="N46" s="73">
        <v>0.4</v>
      </c>
      <c r="O46" s="74" t="s">
        <v>459</v>
      </c>
      <c r="P46" s="65" t="s">
        <v>571</v>
      </c>
    </row>
    <row r="47" spans="2:16" s="80" customFormat="1" ht="31.2" x14ac:dyDescent="0.3">
      <c r="B47" s="66">
        <v>43</v>
      </c>
      <c r="C47" s="55" t="s">
        <v>149</v>
      </c>
      <c r="D47" s="55" t="s">
        <v>572</v>
      </c>
      <c r="E47" s="78" t="s">
        <v>150</v>
      </c>
      <c r="F47" s="81" t="s">
        <v>573</v>
      </c>
      <c r="G47" s="92" t="s">
        <v>569</v>
      </c>
      <c r="H47" s="70" t="s">
        <v>477</v>
      </c>
      <c r="I47" s="70">
        <v>2</v>
      </c>
      <c r="J47" s="70">
        <v>1.1299999999999999</v>
      </c>
      <c r="K47" s="71">
        <v>7801000</v>
      </c>
      <c r="L47" s="72"/>
      <c r="M47" s="62">
        <v>44682</v>
      </c>
      <c r="N47" s="73">
        <v>0.35</v>
      </c>
      <c r="O47" s="74" t="s">
        <v>459</v>
      </c>
      <c r="P47" s="65" t="s">
        <v>574</v>
      </c>
    </row>
    <row r="48" spans="2:16" s="80" customFormat="1" ht="31.2" x14ac:dyDescent="0.3">
      <c r="B48" s="66">
        <v>44</v>
      </c>
      <c r="C48" s="55" t="s">
        <v>157</v>
      </c>
      <c r="D48" s="55" t="s">
        <v>572</v>
      </c>
      <c r="E48" s="67" t="s">
        <v>158</v>
      </c>
      <c r="F48" s="81" t="s">
        <v>573</v>
      </c>
      <c r="G48" s="92" t="s">
        <v>569</v>
      </c>
      <c r="H48" s="70" t="s">
        <v>477</v>
      </c>
      <c r="I48" s="70">
        <v>1</v>
      </c>
      <c r="J48" s="70">
        <v>1.1299999999999999</v>
      </c>
      <c r="K48" s="71">
        <v>7323000</v>
      </c>
      <c r="L48" s="72"/>
      <c r="M48" s="62">
        <v>43845</v>
      </c>
      <c r="N48" s="73">
        <v>0.35</v>
      </c>
      <c r="O48" s="74" t="s">
        <v>459</v>
      </c>
      <c r="P48" s="65" t="s">
        <v>575</v>
      </c>
    </row>
    <row r="49" spans="2:16" s="80" customFormat="1" ht="31.2" x14ac:dyDescent="0.3">
      <c r="B49" s="66">
        <v>45</v>
      </c>
      <c r="C49" s="55" t="s">
        <v>151</v>
      </c>
      <c r="D49" s="55" t="s">
        <v>576</v>
      </c>
      <c r="E49" s="67" t="s">
        <v>577</v>
      </c>
      <c r="F49" s="81" t="s">
        <v>578</v>
      </c>
      <c r="G49" s="92" t="s">
        <v>569</v>
      </c>
      <c r="H49" s="70" t="s">
        <v>502</v>
      </c>
      <c r="I49" s="70">
        <v>5</v>
      </c>
      <c r="J49" s="70">
        <v>1.1299999999999999</v>
      </c>
      <c r="K49" s="71">
        <v>8318000</v>
      </c>
      <c r="L49" s="72"/>
      <c r="M49" s="62">
        <v>44621</v>
      </c>
      <c r="N49" s="73">
        <v>0.35</v>
      </c>
      <c r="O49" s="74" t="s">
        <v>459</v>
      </c>
      <c r="P49" s="65" t="s">
        <v>579</v>
      </c>
    </row>
    <row r="50" spans="2:16" s="80" customFormat="1" ht="31.2" x14ac:dyDescent="0.3">
      <c r="B50" s="66">
        <v>46</v>
      </c>
      <c r="C50" s="55" t="s">
        <v>159</v>
      </c>
      <c r="D50" s="55" t="s">
        <v>576</v>
      </c>
      <c r="E50" s="67" t="s">
        <v>160</v>
      </c>
      <c r="F50" s="81" t="s">
        <v>578</v>
      </c>
      <c r="G50" s="92" t="s">
        <v>569</v>
      </c>
      <c r="H50" s="70" t="s">
        <v>502</v>
      </c>
      <c r="I50" s="70">
        <v>3</v>
      </c>
      <c r="J50" s="70">
        <v>1.1299999999999999</v>
      </c>
      <c r="K50" s="71">
        <v>7363000</v>
      </c>
      <c r="L50" s="72"/>
      <c r="M50" s="62">
        <v>44075</v>
      </c>
      <c r="N50" s="73">
        <v>0.35</v>
      </c>
      <c r="O50" s="74" t="s">
        <v>459</v>
      </c>
      <c r="P50" s="65" t="s">
        <v>580</v>
      </c>
    </row>
    <row r="51" spans="2:16" s="80" customFormat="1" ht="31.2" x14ac:dyDescent="0.3">
      <c r="B51" s="66">
        <v>47</v>
      </c>
      <c r="C51" s="55" t="s">
        <v>155</v>
      </c>
      <c r="D51" s="55" t="s">
        <v>576</v>
      </c>
      <c r="E51" s="67" t="s">
        <v>156</v>
      </c>
      <c r="F51" s="81" t="s">
        <v>578</v>
      </c>
      <c r="G51" s="92" t="s">
        <v>569</v>
      </c>
      <c r="H51" s="70" t="s">
        <v>502</v>
      </c>
      <c r="I51" s="70">
        <v>4</v>
      </c>
      <c r="J51" s="70">
        <v>1.1299999999999999</v>
      </c>
      <c r="K51" s="71">
        <v>7841000</v>
      </c>
      <c r="L51" s="72"/>
      <c r="M51" s="62">
        <v>44576</v>
      </c>
      <c r="N51" s="73">
        <v>0.35</v>
      </c>
      <c r="O51" s="74" t="s">
        <v>459</v>
      </c>
      <c r="P51" s="65" t="s">
        <v>581</v>
      </c>
    </row>
    <row r="52" spans="2:16" s="80" customFormat="1" ht="31.2" x14ac:dyDescent="0.3">
      <c r="B52" s="66">
        <v>48</v>
      </c>
      <c r="C52" s="55" t="s">
        <v>161</v>
      </c>
      <c r="D52" s="55" t="s">
        <v>576</v>
      </c>
      <c r="E52" s="67" t="s">
        <v>162</v>
      </c>
      <c r="F52" s="81" t="s">
        <v>578</v>
      </c>
      <c r="G52" s="92" t="s">
        <v>569</v>
      </c>
      <c r="H52" s="70" t="s">
        <v>502</v>
      </c>
      <c r="I52" s="70">
        <v>1</v>
      </c>
      <c r="J52" s="70">
        <v>1.1299999999999999</v>
      </c>
      <c r="K52" s="71">
        <v>6527000</v>
      </c>
      <c r="L52" s="72"/>
      <c r="M52" s="62" t="s">
        <v>472</v>
      </c>
      <c r="N52" s="73">
        <v>0.35</v>
      </c>
      <c r="O52" s="74" t="s">
        <v>459</v>
      </c>
      <c r="P52" s="65" t="s">
        <v>582</v>
      </c>
    </row>
    <row r="53" spans="2:16" s="80" customFormat="1" ht="31.2" x14ac:dyDescent="0.3">
      <c r="B53" s="66">
        <v>49</v>
      </c>
      <c r="C53" s="55" t="s">
        <v>153</v>
      </c>
      <c r="D53" s="55" t="s">
        <v>583</v>
      </c>
      <c r="E53" s="67" t="s">
        <v>154</v>
      </c>
      <c r="F53" s="81" t="s">
        <v>584</v>
      </c>
      <c r="G53" s="92" t="s">
        <v>569</v>
      </c>
      <c r="H53" s="70" t="s">
        <v>502</v>
      </c>
      <c r="I53" s="70">
        <v>5</v>
      </c>
      <c r="J53" s="70">
        <v>1.1299999999999999</v>
      </c>
      <c r="K53" s="71">
        <v>8318000</v>
      </c>
      <c r="L53" s="72"/>
      <c r="M53" s="62" t="s">
        <v>472</v>
      </c>
      <c r="N53" s="73">
        <v>0.35</v>
      </c>
      <c r="O53" s="74" t="s">
        <v>459</v>
      </c>
      <c r="P53" s="65" t="s">
        <v>585</v>
      </c>
    </row>
    <row r="54" spans="2:16" s="91" customFormat="1" ht="31.2" x14ac:dyDescent="0.3">
      <c r="B54" s="54">
        <v>50</v>
      </c>
      <c r="C54" s="55" t="s">
        <v>164</v>
      </c>
      <c r="D54" s="55" t="s">
        <v>586</v>
      </c>
      <c r="E54" s="67" t="s">
        <v>165</v>
      </c>
      <c r="F54" s="81" t="s">
        <v>587</v>
      </c>
      <c r="G54" s="90" t="s">
        <v>588</v>
      </c>
      <c r="H54" s="59" t="s">
        <v>534</v>
      </c>
      <c r="I54" s="59">
        <v>1</v>
      </c>
      <c r="J54" s="59">
        <v>1.1299999999999999</v>
      </c>
      <c r="K54" s="71">
        <v>16238000</v>
      </c>
      <c r="L54" s="72"/>
      <c r="M54" s="62" t="s">
        <v>472</v>
      </c>
      <c r="N54" s="61">
        <v>0.45</v>
      </c>
      <c r="O54" s="64" t="s">
        <v>459</v>
      </c>
      <c r="P54" s="65" t="s">
        <v>589</v>
      </c>
    </row>
    <row r="55" spans="2:16" s="80" customFormat="1" ht="31.2" x14ac:dyDescent="0.3">
      <c r="B55" s="66">
        <v>51</v>
      </c>
      <c r="C55" s="55" t="s">
        <v>166</v>
      </c>
      <c r="D55" s="55" t="s">
        <v>590</v>
      </c>
      <c r="E55" s="78" t="s">
        <v>167</v>
      </c>
      <c r="F55" s="81" t="s">
        <v>462</v>
      </c>
      <c r="G55" s="92" t="s">
        <v>588</v>
      </c>
      <c r="H55" s="70" t="s">
        <v>458</v>
      </c>
      <c r="I55" s="59">
        <v>1</v>
      </c>
      <c r="J55" s="70">
        <v>1.1299999999999999</v>
      </c>
      <c r="K55" s="71">
        <v>12020000</v>
      </c>
      <c r="L55" s="72"/>
      <c r="M55" s="62">
        <v>44166</v>
      </c>
      <c r="N55" s="73">
        <v>0.4</v>
      </c>
      <c r="O55" s="74" t="s">
        <v>459</v>
      </c>
      <c r="P55" s="65" t="s">
        <v>591</v>
      </c>
    </row>
    <row r="56" spans="2:16" s="80" customFormat="1" ht="31.2" x14ac:dyDescent="0.3">
      <c r="B56" s="66">
        <v>52</v>
      </c>
      <c r="C56" s="55" t="s">
        <v>170</v>
      </c>
      <c r="D56" s="55" t="s">
        <v>592</v>
      </c>
      <c r="E56" s="67" t="s">
        <v>171</v>
      </c>
      <c r="F56" s="81" t="s">
        <v>593</v>
      </c>
      <c r="G56" s="92" t="s">
        <v>588</v>
      </c>
      <c r="H56" s="70" t="s">
        <v>477</v>
      </c>
      <c r="I56" s="70">
        <v>1</v>
      </c>
      <c r="J56" s="70">
        <v>1.1299999999999999</v>
      </c>
      <c r="K56" s="71">
        <v>7323000</v>
      </c>
      <c r="L56" s="72"/>
      <c r="M56" s="62">
        <v>43784</v>
      </c>
      <c r="N56" s="73">
        <v>0.35</v>
      </c>
      <c r="O56" s="74" t="s">
        <v>459</v>
      </c>
      <c r="P56" s="65" t="s">
        <v>594</v>
      </c>
    </row>
    <row r="57" spans="2:16" s="80" customFormat="1" ht="31.2" x14ac:dyDescent="0.3">
      <c r="B57" s="66">
        <v>53</v>
      </c>
      <c r="C57" s="55" t="s">
        <v>168</v>
      </c>
      <c r="D57" s="55" t="s">
        <v>595</v>
      </c>
      <c r="E57" s="67" t="s">
        <v>169</v>
      </c>
      <c r="F57" s="81" t="s">
        <v>596</v>
      </c>
      <c r="G57" s="92" t="s">
        <v>588</v>
      </c>
      <c r="H57" s="70" t="s">
        <v>477</v>
      </c>
      <c r="I57" s="70">
        <v>1</v>
      </c>
      <c r="J57" s="70">
        <v>1.1299999999999999</v>
      </c>
      <c r="K57" s="71">
        <v>7323000</v>
      </c>
      <c r="L57" s="72"/>
      <c r="M57" s="62">
        <v>44027</v>
      </c>
      <c r="N57" s="73">
        <v>0.35</v>
      </c>
      <c r="O57" s="74" t="s">
        <v>459</v>
      </c>
      <c r="P57" s="65" t="s">
        <v>597</v>
      </c>
    </row>
    <row r="58" spans="2:16" s="80" customFormat="1" ht="31.2" x14ac:dyDescent="0.3">
      <c r="B58" s="66">
        <v>54</v>
      </c>
      <c r="C58" s="55" t="s">
        <v>172</v>
      </c>
      <c r="D58" s="55" t="s">
        <v>595</v>
      </c>
      <c r="E58" s="77" t="s">
        <v>173</v>
      </c>
      <c r="F58" s="81" t="s">
        <v>596</v>
      </c>
      <c r="G58" s="92" t="s">
        <v>588</v>
      </c>
      <c r="H58" s="70" t="s">
        <v>477</v>
      </c>
      <c r="I58" s="70">
        <v>1</v>
      </c>
      <c r="J58" s="70">
        <v>1.1299999999999999</v>
      </c>
      <c r="K58" s="71">
        <v>7323000</v>
      </c>
      <c r="L58" s="72"/>
      <c r="M58" s="62">
        <v>43661</v>
      </c>
      <c r="N58" s="73">
        <v>0.35</v>
      </c>
      <c r="O58" s="74" t="s">
        <v>459</v>
      </c>
      <c r="P58" s="65" t="s">
        <v>598</v>
      </c>
    </row>
    <row r="59" spans="2:16" s="106" customFormat="1" ht="31.2" x14ac:dyDescent="0.3">
      <c r="B59" s="137">
        <v>55</v>
      </c>
      <c r="C59" s="96" t="s">
        <v>188</v>
      </c>
      <c r="D59" s="96" t="s">
        <v>599</v>
      </c>
      <c r="E59" s="138" t="s">
        <v>600</v>
      </c>
      <c r="F59" s="131" t="s">
        <v>800</v>
      </c>
      <c r="G59" s="139" t="s">
        <v>588</v>
      </c>
      <c r="H59" s="100" t="s">
        <v>458</v>
      </c>
      <c r="I59" s="130">
        <v>1</v>
      </c>
      <c r="J59" s="100">
        <v>1.1299999999999999</v>
      </c>
      <c r="K59" s="101">
        <v>12020000</v>
      </c>
      <c r="L59" s="102"/>
      <c r="M59" s="103">
        <v>44896</v>
      </c>
      <c r="N59" s="140">
        <v>0.35</v>
      </c>
      <c r="O59" s="141" t="s">
        <v>459</v>
      </c>
      <c r="P59" s="106" t="s">
        <v>601</v>
      </c>
    </row>
    <row r="60" spans="2:16" s="65" customFormat="1" x14ac:dyDescent="0.3">
      <c r="B60" s="54">
        <v>56</v>
      </c>
      <c r="C60" s="55" t="s">
        <v>177</v>
      </c>
      <c r="D60" s="55" t="s">
        <v>602</v>
      </c>
      <c r="E60" s="93" t="s">
        <v>178</v>
      </c>
      <c r="F60" s="57" t="s">
        <v>603</v>
      </c>
      <c r="G60" s="58" t="s">
        <v>463</v>
      </c>
      <c r="H60" s="59" t="s">
        <v>534</v>
      </c>
      <c r="I60" s="59">
        <v>2</v>
      </c>
      <c r="J60" s="59">
        <v>1.1299999999999999</v>
      </c>
      <c r="K60" s="60">
        <v>17631000</v>
      </c>
      <c r="L60" s="61"/>
      <c r="M60" s="62" t="s">
        <v>472</v>
      </c>
      <c r="N60" s="63">
        <v>0.55000000000000004</v>
      </c>
      <c r="O60" s="64" t="s">
        <v>459</v>
      </c>
      <c r="P60" s="65" t="s">
        <v>604</v>
      </c>
    </row>
    <row r="61" spans="2:16" s="75" customFormat="1" x14ac:dyDescent="0.3">
      <c r="B61" s="66">
        <v>57</v>
      </c>
      <c r="C61" s="55" t="s">
        <v>179</v>
      </c>
      <c r="D61" s="55" t="s">
        <v>605</v>
      </c>
      <c r="E61" s="67" t="s">
        <v>180</v>
      </c>
      <c r="F61" s="68" t="s">
        <v>456</v>
      </c>
      <c r="G61" s="69" t="s">
        <v>176</v>
      </c>
      <c r="H61" s="70" t="s">
        <v>458</v>
      </c>
      <c r="I61" s="59">
        <v>2</v>
      </c>
      <c r="J61" s="70">
        <v>1.1299999999999999</v>
      </c>
      <c r="K61" s="71">
        <v>13054000</v>
      </c>
      <c r="L61" s="72"/>
      <c r="M61" s="62">
        <v>44593</v>
      </c>
      <c r="N61" s="73">
        <v>0.4</v>
      </c>
      <c r="O61" s="74" t="s">
        <v>459</v>
      </c>
      <c r="P61" s="65" t="s">
        <v>606</v>
      </c>
    </row>
    <row r="62" spans="2:16" s="75" customFormat="1" x14ac:dyDescent="0.3">
      <c r="B62" s="66">
        <v>58</v>
      </c>
      <c r="C62" s="55" t="s">
        <v>182</v>
      </c>
      <c r="D62" s="55" t="s">
        <v>605</v>
      </c>
      <c r="E62" s="67" t="s">
        <v>183</v>
      </c>
      <c r="F62" s="68" t="s">
        <v>456</v>
      </c>
      <c r="G62" s="69" t="s">
        <v>176</v>
      </c>
      <c r="H62" s="70" t="s">
        <v>458</v>
      </c>
      <c r="I62" s="59">
        <v>1</v>
      </c>
      <c r="J62" s="70">
        <v>1.1299999999999999</v>
      </c>
      <c r="K62" s="71">
        <v>12020000</v>
      </c>
      <c r="L62" s="72"/>
      <c r="M62" s="62">
        <v>44348</v>
      </c>
      <c r="N62" s="73">
        <v>0.4</v>
      </c>
      <c r="O62" s="74" t="s">
        <v>459</v>
      </c>
      <c r="P62" s="65" t="s">
        <v>607</v>
      </c>
    </row>
    <row r="63" spans="2:16" s="75" customFormat="1" x14ac:dyDescent="0.3">
      <c r="B63" s="66">
        <v>59</v>
      </c>
      <c r="C63" s="55" t="s">
        <v>186</v>
      </c>
      <c r="D63" s="55" t="s">
        <v>608</v>
      </c>
      <c r="E63" s="94" t="s">
        <v>187</v>
      </c>
      <c r="F63" s="68" t="s">
        <v>609</v>
      </c>
      <c r="G63" s="69" t="s">
        <v>176</v>
      </c>
      <c r="H63" s="70" t="s">
        <v>477</v>
      </c>
      <c r="I63" s="70">
        <v>3</v>
      </c>
      <c r="J63" s="70">
        <v>1.1299999999999999</v>
      </c>
      <c r="K63" s="71">
        <v>8278000</v>
      </c>
      <c r="L63" s="72"/>
      <c r="M63" s="62">
        <v>44682</v>
      </c>
      <c r="N63" s="73">
        <v>0.35</v>
      </c>
      <c r="O63" s="74" t="s">
        <v>459</v>
      </c>
      <c r="P63" s="65" t="s">
        <v>610</v>
      </c>
    </row>
    <row r="64" spans="2:16" s="75" customFormat="1" x14ac:dyDescent="0.3">
      <c r="B64" s="66">
        <v>60</v>
      </c>
      <c r="C64" s="55" t="s">
        <v>194</v>
      </c>
      <c r="D64" s="55" t="s">
        <v>608</v>
      </c>
      <c r="E64" s="77" t="s">
        <v>195</v>
      </c>
      <c r="F64" s="68" t="s">
        <v>609</v>
      </c>
      <c r="G64" s="69" t="s">
        <v>176</v>
      </c>
      <c r="H64" s="70" t="s">
        <v>477</v>
      </c>
      <c r="I64" s="70">
        <v>2</v>
      </c>
      <c r="J64" s="70">
        <v>1.1299999999999999</v>
      </c>
      <c r="K64" s="71">
        <v>7801000</v>
      </c>
      <c r="L64" s="72"/>
      <c r="M64" s="62">
        <v>44027</v>
      </c>
      <c r="N64" s="73">
        <v>0.35</v>
      </c>
      <c r="O64" s="74" t="s">
        <v>459</v>
      </c>
      <c r="P64" s="65" t="s">
        <v>611</v>
      </c>
    </row>
    <row r="65" spans="2:16" s="75" customFormat="1" x14ac:dyDescent="0.3">
      <c r="B65" s="66">
        <v>61</v>
      </c>
      <c r="C65" s="55" t="s">
        <v>190</v>
      </c>
      <c r="D65" s="55" t="s">
        <v>608</v>
      </c>
      <c r="E65" s="78" t="s">
        <v>191</v>
      </c>
      <c r="F65" s="68" t="s">
        <v>609</v>
      </c>
      <c r="G65" s="69" t="s">
        <v>176</v>
      </c>
      <c r="H65" s="70" t="s">
        <v>477</v>
      </c>
      <c r="I65" s="70">
        <v>2</v>
      </c>
      <c r="J65" s="70">
        <v>1.1299999999999999</v>
      </c>
      <c r="K65" s="71">
        <v>7801000</v>
      </c>
      <c r="L65" s="72"/>
      <c r="M65" s="62">
        <v>44696</v>
      </c>
      <c r="N65" s="73">
        <v>0.35</v>
      </c>
      <c r="O65" s="74" t="s">
        <v>459</v>
      </c>
      <c r="P65" s="65" t="s">
        <v>612</v>
      </c>
    </row>
    <row r="66" spans="2:16" s="75" customFormat="1" x14ac:dyDescent="0.3">
      <c r="B66" s="66">
        <v>62</v>
      </c>
      <c r="C66" s="55" t="s">
        <v>196</v>
      </c>
      <c r="D66" s="55" t="s">
        <v>613</v>
      </c>
      <c r="E66" s="78" t="s">
        <v>197</v>
      </c>
      <c r="F66" s="68" t="s">
        <v>614</v>
      </c>
      <c r="G66" s="69" t="s">
        <v>176</v>
      </c>
      <c r="H66" s="70" t="s">
        <v>502</v>
      </c>
      <c r="I66" s="70">
        <v>3</v>
      </c>
      <c r="J66" s="70">
        <v>1.1299999999999999</v>
      </c>
      <c r="K66" s="71">
        <v>7363000</v>
      </c>
      <c r="L66" s="72"/>
      <c r="M66" s="62">
        <v>43800</v>
      </c>
      <c r="N66" s="73">
        <v>0.35</v>
      </c>
      <c r="O66" s="74" t="s">
        <v>459</v>
      </c>
      <c r="P66" s="65" t="s">
        <v>615</v>
      </c>
    </row>
    <row r="67" spans="2:16" s="75" customFormat="1" x14ac:dyDescent="0.3">
      <c r="B67" s="66">
        <v>63</v>
      </c>
      <c r="C67" s="55" t="s">
        <v>184</v>
      </c>
      <c r="D67" s="55" t="s">
        <v>616</v>
      </c>
      <c r="E67" s="77" t="s">
        <v>617</v>
      </c>
      <c r="F67" s="68" t="s">
        <v>456</v>
      </c>
      <c r="G67" s="69" t="s">
        <v>176</v>
      </c>
      <c r="H67" s="70" t="s">
        <v>458</v>
      </c>
      <c r="I67" s="59">
        <v>1</v>
      </c>
      <c r="J67" s="70">
        <v>1.1299999999999999</v>
      </c>
      <c r="K67" s="71">
        <v>12020000</v>
      </c>
      <c r="L67" s="72"/>
      <c r="M67" s="62">
        <v>44896</v>
      </c>
      <c r="N67" s="73">
        <v>0.4</v>
      </c>
      <c r="O67" s="74" t="s">
        <v>459</v>
      </c>
      <c r="P67" s="65" t="s">
        <v>618</v>
      </c>
    </row>
    <row r="68" spans="2:16" s="75" customFormat="1" x14ac:dyDescent="0.3">
      <c r="B68" s="66">
        <v>64</v>
      </c>
      <c r="C68" s="55" t="s">
        <v>192</v>
      </c>
      <c r="D68" s="55" t="s">
        <v>619</v>
      </c>
      <c r="E68" s="67" t="s">
        <v>193</v>
      </c>
      <c r="F68" s="68" t="s">
        <v>620</v>
      </c>
      <c r="G68" s="69" t="s">
        <v>176</v>
      </c>
      <c r="H68" s="70" t="s">
        <v>471</v>
      </c>
      <c r="I68" s="70">
        <v>1</v>
      </c>
      <c r="J68" s="70">
        <v>1.1299999999999999</v>
      </c>
      <c r="K68" s="71">
        <v>7841000</v>
      </c>
      <c r="L68" s="72"/>
      <c r="M68" s="62" t="s">
        <v>472</v>
      </c>
      <c r="N68" s="73">
        <v>0.35</v>
      </c>
      <c r="O68" s="74" t="s">
        <v>459</v>
      </c>
      <c r="P68" s="65" t="s">
        <v>621</v>
      </c>
    </row>
    <row r="69" spans="2:16" s="75" customFormat="1" x14ac:dyDescent="0.3">
      <c r="B69" s="66">
        <v>65</v>
      </c>
      <c r="C69" s="55" t="s">
        <v>203</v>
      </c>
      <c r="D69" s="55" t="s">
        <v>622</v>
      </c>
      <c r="E69" s="67" t="s">
        <v>204</v>
      </c>
      <c r="F69" s="68" t="s">
        <v>623</v>
      </c>
      <c r="G69" s="69" t="s">
        <v>176</v>
      </c>
      <c r="H69" s="70" t="s">
        <v>624</v>
      </c>
      <c r="I69" s="70">
        <v>2</v>
      </c>
      <c r="J69" s="70">
        <v>1.1299999999999999</v>
      </c>
      <c r="K69" s="71">
        <v>4736000</v>
      </c>
      <c r="L69" s="72"/>
      <c r="M69" s="62" t="s">
        <v>529</v>
      </c>
      <c r="N69" s="73">
        <v>0.35</v>
      </c>
      <c r="O69" s="74" t="s">
        <v>459</v>
      </c>
      <c r="P69" s="65" t="s">
        <v>625</v>
      </c>
    </row>
    <row r="70" spans="2:16" s="80" customFormat="1" x14ac:dyDescent="0.3">
      <c r="B70" s="66">
        <v>66</v>
      </c>
      <c r="C70" s="55" t="s">
        <v>201</v>
      </c>
      <c r="D70" s="55" t="s">
        <v>626</v>
      </c>
      <c r="E70" s="67" t="s">
        <v>627</v>
      </c>
      <c r="F70" s="68" t="s">
        <v>628</v>
      </c>
      <c r="G70" s="79" t="s">
        <v>176</v>
      </c>
      <c r="H70" s="70" t="s">
        <v>528</v>
      </c>
      <c r="I70" s="70">
        <v>6</v>
      </c>
      <c r="J70" s="70">
        <v>1.1299999999999999</v>
      </c>
      <c r="K70" s="71">
        <v>6607000</v>
      </c>
      <c r="L70" s="72"/>
      <c r="M70" s="62" t="s">
        <v>529</v>
      </c>
      <c r="N70" s="73">
        <v>0.35</v>
      </c>
      <c r="O70" s="74" t="s">
        <v>459</v>
      </c>
      <c r="P70" s="65" t="s">
        <v>629</v>
      </c>
    </row>
    <row r="71" spans="2:16" s="158" customFormat="1" x14ac:dyDescent="0.3">
      <c r="B71" s="146">
        <v>67</v>
      </c>
      <c r="C71" s="147" t="s">
        <v>198</v>
      </c>
      <c r="D71" s="147" t="s">
        <v>626</v>
      </c>
      <c r="E71" s="148" t="s">
        <v>630</v>
      </c>
      <c r="F71" s="149" t="s">
        <v>628</v>
      </c>
      <c r="G71" s="150" t="s">
        <v>176</v>
      </c>
      <c r="H71" s="151" t="s">
        <v>528</v>
      </c>
      <c r="I71" s="151">
        <v>4</v>
      </c>
      <c r="J71" s="151">
        <v>1.1299999999999999</v>
      </c>
      <c r="K71" s="152">
        <v>5970000</v>
      </c>
      <c r="L71" s="153"/>
      <c r="M71" s="154" t="s">
        <v>529</v>
      </c>
      <c r="N71" s="155">
        <v>0.35</v>
      </c>
      <c r="O71" s="156" t="s">
        <v>459</v>
      </c>
      <c r="P71" s="157" t="s">
        <v>631</v>
      </c>
    </row>
    <row r="72" spans="2:16" s="75" customFormat="1" x14ac:dyDescent="0.3">
      <c r="B72" s="66">
        <v>68</v>
      </c>
      <c r="C72" s="55" t="s">
        <v>209</v>
      </c>
      <c r="D72" s="55" t="s">
        <v>632</v>
      </c>
      <c r="E72" s="67" t="s">
        <v>633</v>
      </c>
      <c r="F72" s="68" t="s">
        <v>634</v>
      </c>
      <c r="G72" s="69" t="s">
        <v>176</v>
      </c>
      <c r="H72" s="70" t="s">
        <v>528</v>
      </c>
      <c r="I72" s="70">
        <v>1</v>
      </c>
      <c r="J72" s="70">
        <v>1.1299999999999999</v>
      </c>
      <c r="K72" s="71">
        <v>5134000</v>
      </c>
      <c r="L72" s="72"/>
      <c r="M72" s="62" t="s">
        <v>529</v>
      </c>
      <c r="N72" s="73">
        <v>0.35</v>
      </c>
      <c r="O72" s="74" t="s">
        <v>459</v>
      </c>
      <c r="P72" s="65" t="s">
        <v>635</v>
      </c>
    </row>
    <row r="73" spans="2:16" s="75" customFormat="1" x14ac:dyDescent="0.3">
      <c r="B73" s="66">
        <v>69</v>
      </c>
      <c r="C73" s="55" t="s">
        <v>206</v>
      </c>
      <c r="D73" s="55" t="s">
        <v>632</v>
      </c>
      <c r="E73" s="67" t="s">
        <v>636</v>
      </c>
      <c r="F73" s="68" t="s">
        <v>634</v>
      </c>
      <c r="G73" s="69" t="s">
        <v>176</v>
      </c>
      <c r="H73" s="70" t="s">
        <v>528</v>
      </c>
      <c r="I73" s="70">
        <v>1</v>
      </c>
      <c r="J73" s="70">
        <v>1.1299999999999999</v>
      </c>
      <c r="K73" s="71">
        <v>5134000</v>
      </c>
      <c r="L73" s="72"/>
      <c r="M73" s="62" t="s">
        <v>529</v>
      </c>
      <c r="N73" s="73">
        <v>0.35</v>
      </c>
      <c r="O73" s="74" t="s">
        <v>459</v>
      </c>
      <c r="P73" s="65" t="s">
        <v>637</v>
      </c>
    </row>
    <row r="74" spans="2:16" s="75" customFormat="1" x14ac:dyDescent="0.3">
      <c r="B74" s="66">
        <v>70</v>
      </c>
      <c r="C74" s="55" t="s">
        <v>378</v>
      </c>
      <c r="D74" s="55" t="s">
        <v>638</v>
      </c>
      <c r="E74" s="67" t="s">
        <v>379</v>
      </c>
      <c r="F74" s="68" t="s">
        <v>639</v>
      </c>
      <c r="G74" s="69" t="s">
        <v>640</v>
      </c>
      <c r="H74" s="70" t="s">
        <v>534</v>
      </c>
      <c r="I74" s="59">
        <v>1</v>
      </c>
      <c r="J74" s="70">
        <v>1.1299999999999999</v>
      </c>
      <c r="K74" s="71">
        <v>16238000</v>
      </c>
      <c r="L74" s="72"/>
      <c r="M74" s="62" t="s">
        <v>472</v>
      </c>
      <c r="N74" s="73">
        <v>0.55000000000000004</v>
      </c>
      <c r="O74" s="74" t="s">
        <v>464</v>
      </c>
      <c r="P74" s="65" t="s">
        <v>641</v>
      </c>
    </row>
    <row r="75" spans="2:16" s="36" customFormat="1" x14ac:dyDescent="0.3">
      <c r="B75" s="31">
        <v>169</v>
      </c>
      <c r="C75" s="11" t="s">
        <v>428</v>
      </c>
      <c r="D75" s="55" t="s">
        <v>486</v>
      </c>
      <c r="E75" s="11" t="s">
        <v>429</v>
      </c>
      <c r="F75" s="108" t="s">
        <v>642</v>
      </c>
      <c r="G75" s="69" t="s">
        <v>640</v>
      </c>
      <c r="H75" s="36" t="s">
        <v>458</v>
      </c>
      <c r="I75" s="36">
        <v>1</v>
      </c>
      <c r="J75" s="36">
        <v>1.1299999999999999</v>
      </c>
      <c r="K75" s="109">
        <v>12020000</v>
      </c>
      <c r="L75" s="41"/>
      <c r="M75" s="62">
        <v>44805</v>
      </c>
      <c r="N75" s="110">
        <v>0.5</v>
      </c>
      <c r="O75" s="74" t="s">
        <v>464</v>
      </c>
      <c r="P75" s="111" t="s">
        <v>643</v>
      </c>
    </row>
    <row r="76" spans="2:16" s="80" customFormat="1" x14ac:dyDescent="0.3">
      <c r="B76" s="70">
        <v>71</v>
      </c>
      <c r="C76" s="55" t="s">
        <v>382</v>
      </c>
      <c r="D76" s="55" t="s">
        <v>644</v>
      </c>
      <c r="E76" s="67" t="s">
        <v>383</v>
      </c>
      <c r="F76" s="68" t="s">
        <v>645</v>
      </c>
      <c r="G76" s="79" t="s">
        <v>640</v>
      </c>
      <c r="H76" s="70" t="s">
        <v>646</v>
      </c>
      <c r="I76" s="59">
        <v>1</v>
      </c>
      <c r="J76" s="70">
        <v>1.1299999999999999</v>
      </c>
      <c r="K76" s="71">
        <v>9035000</v>
      </c>
      <c r="L76" s="72"/>
      <c r="M76" s="62">
        <v>44531</v>
      </c>
      <c r="N76" s="82">
        <v>0.45</v>
      </c>
      <c r="O76" s="74" t="s">
        <v>464</v>
      </c>
      <c r="P76" s="65" t="s">
        <v>647</v>
      </c>
    </row>
    <row r="77" spans="2:16" s="75" customFormat="1" x14ac:dyDescent="0.3">
      <c r="B77" s="66">
        <v>72</v>
      </c>
      <c r="C77" s="55" t="s">
        <v>380</v>
      </c>
      <c r="D77" s="55" t="s">
        <v>648</v>
      </c>
      <c r="E77" s="67" t="s">
        <v>381</v>
      </c>
      <c r="F77" s="68" t="s">
        <v>649</v>
      </c>
      <c r="G77" s="69" t="s">
        <v>640</v>
      </c>
      <c r="H77" s="70" t="s">
        <v>646</v>
      </c>
      <c r="I77" s="59">
        <v>2</v>
      </c>
      <c r="J77" s="70">
        <v>1.1299999999999999</v>
      </c>
      <c r="K77" s="71">
        <v>9831000</v>
      </c>
      <c r="L77" s="72"/>
      <c r="M77" s="62">
        <v>44180</v>
      </c>
      <c r="N77" s="73">
        <v>0.4</v>
      </c>
      <c r="O77" s="74" t="s">
        <v>459</v>
      </c>
      <c r="P77" s="65" t="s">
        <v>650</v>
      </c>
    </row>
    <row r="78" spans="2:16" s="89" customFormat="1" x14ac:dyDescent="0.3">
      <c r="B78" s="66">
        <v>73</v>
      </c>
      <c r="C78" s="55" t="s">
        <v>386</v>
      </c>
      <c r="D78" s="55" t="s">
        <v>651</v>
      </c>
      <c r="E78" s="67" t="s">
        <v>387</v>
      </c>
      <c r="F78" s="68" t="s">
        <v>652</v>
      </c>
      <c r="G78" s="69" t="s">
        <v>640</v>
      </c>
      <c r="H78" s="86" t="s">
        <v>477</v>
      </c>
      <c r="I78" s="70">
        <v>1</v>
      </c>
      <c r="J78" s="70">
        <v>1.1299999999999999</v>
      </c>
      <c r="K78" s="71">
        <v>7323000</v>
      </c>
      <c r="L78" s="72"/>
      <c r="M78" s="62">
        <v>44166</v>
      </c>
      <c r="N78" s="73">
        <v>0.45</v>
      </c>
      <c r="O78" s="88" t="s">
        <v>464</v>
      </c>
      <c r="P78" s="65" t="s">
        <v>653</v>
      </c>
    </row>
    <row r="79" spans="2:16" s="75" customFormat="1" x14ac:dyDescent="0.3">
      <c r="B79" s="66">
        <v>74</v>
      </c>
      <c r="C79" s="55" t="s">
        <v>390</v>
      </c>
      <c r="D79" s="55" t="s">
        <v>654</v>
      </c>
      <c r="E79" s="67" t="s">
        <v>655</v>
      </c>
      <c r="F79" s="68" t="s">
        <v>656</v>
      </c>
      <c r="G79" s="69" t="s">
        <v>640</v>
      </c>
      <c r="H79" s="70" t="s">
        <v>477</v>
      </c>
      <c r="I79" s="70">
        <v>2</v>
      </c>
      <c r="J79" s="70">
        <v>1.1299999999999999</v>
      </c>
      <c r="K79" s="71">
        <v>7801000</v>
      </c>
      <c r="L79" s="72"/>
      <c r="M79" s="62">
        <v>44652</v>
      </c>
      <c r="N79" s="73">
        <v>0.45</v>
      </c>
      <c r="O79" s="74" t="s">
        <v>464</v>
      </c>
      <c r="P79" s="65" t="s">
        <v>657</v>
      </c>
    </row>
    <row r="80" spans="2:16" s="75" customFormat="1" x14ac:dyDescent="0.3">
      <c r="B80" s="66">
        <v>75</v>
      </c>
      <c r="C80" s="55" t="s">
        <v>403</v>
      </c>
      <c r="D80" s="55" t="s">
        <v>654</v>
      </c>
      <c r="E80" s="67" t="s">
        <v>658</v>
      </c>
      <c r="F80" s="68" t="s">
        <v>656</v>
      </c>
      <c r="G80" s="69" t="s">
        <v>640</v>
      </c>
      <c r="H80" s="70" t="s">
        <v>477</v>
      </c>
      <c r="I80" s="70">
        <v>1</v>
      </c>
      <c r="J80" s="70">
        <v>1.1299999999999999</v>
      </c>
      <c r="K80" s="71">
        <v>7323000</v>
      </c>
      <c r="L80" s="72"/>
      <c r="M80" s="62">
        <v>43739</v>
      </c>
      <c r="N80" s="73">
        <v>0.45</v>
      </c>
      <c r="O80" s="74" t="s">
        <v>464</v>
      </c>
      <c r="P80" s="65" t="s">
        <v>659</v>
      </c>
    </row>
    <row r="81" spans="2:16" s="75" customFormat="1" x14ac:dyDescent="0.3">
      <c r="B81" s="66">
        <v>76</v>
      </c>
      <c r="C81" s="55" t="s">
        <v>399</v>
      </c>
      <c r="D81" s="55" t="s">
        <v>654</v>
      </c>
      <c r="E81" s="67" t="s">
        <v>400</v>
      </c>
      <c r="F81" s="68" t="s">
        <v>656</v>
      </c>
      <c r="G81" s="69" t="s">
        <v>640</v>
      </c>
      <c r="H81" s="70" t="s">
        <v>477</v>
      </c>
      <c r="I81" s="70">
        <v>2</v>
      </c>
      <c r="J81" s="70">
        <v>1.1299999999999999</v>
      </c>
      <c r="K81" s="71">
        <v>7801000</v>
      </c>
      <c r="L81" s="72"/>
      <c r="M81" s="62">
        <v>44713</v>
      </c>
      <c r="N81" s="73">
        <v>0.45</v>
      </c>
      <c r="O81" s="74" t="s">
        <v>464</v>
      </c>
      <c r="P81" s="65" t="s">
        <v>660</v>
      </c>
    </row>
    <row r="82" spans="2:16" s="75" customFormat="1" x14ac:dyDescent="0.3">
      <c r="B82" s="66">
        <v>77</v>
      </c>
      <c r="C82" s="55" t="s">
        <v>384</v>
      </c>
      <c r="D82" s="55" t="s">
        <v>654</v>
      </c>
      <c r="E82" s="67" t="s">
        <v>385</v>
      </c>
      <c r="F82" s="68" t="s">
        <v>656</v>
      </c>
      <c r="G82" s="69" t="s">
        <v>640</v>
      </c>
      <c r="H82" s="70" t="s">
        <v>477</v>
      </c>
      <c r="I82" s="70">
        <v>1</v>
      </c>
      <c r="J82" s="70">
        <v>1.1299999999999999</v>
      </c>
      <c r="K82" s="71">
        <v>7323000</v>
      </c>
      <c r="L82" s="72"/>
      <c r="M82" s="62">
        <v>44150</v>
      </c>
      <c r="N82" s="73">
        <v>0.45</v>
      </c>
      <c r="O82" s="74" t="s">
        <v>464</v>
      </c>
      <c r="P82" s="65" t="s">
        <v>661</v>
      </c>
    </row>
    <row r="83" spans="2:16" s="75" customFormat="1" x14ac:dyDescent="0.3">
      <c r="B83" s="66">
        <v>78</v>
      </c>
      <c r="C83" s="55" t="s">
        <v>407</v>
      </c>
      <c r="D83" s="55" t="s">
        <v>654</v>
      </c>
      <c r="E83" s="67" t="s">
        <v>408</v>
      </c>
      <c r="F83" s="68" t="s">
        <v>656</v>
      </c>
      <c r="G83" s="69" t="s">
        <v>640</v>
      </c>
      <c r="H83" s="70" t="s">
        <v>477</v>
      </c>
      <c r="I83" s="70">
        <v>1</v>
      </c>
      <c r="J83" s="70">
        <v>1.1299999999999999</v>
      </c>
      <c r="K83" s="71">
        <v>7323000</v>
      </c>
      <c r="L83" s="72"/>
      <c r="M83" s="62">
        <v>44531</v>
      </c>
      <c r="N83" s="73">
        <v>0.45</v>
      </c>
      <c r="O83" s="74" t="s">
        <v>464</v>
      </c>
      <c r="P83" s="65" t="s">
        <v>662</v>
      </c>
    </row>
    <row r="84" spans="2:16" s="75" customFormat="1" x14ac:dyDescent="0.3">
      <c r="B84" s="66">
        <v>79</v>
      </c>
      <c r="C84" s="55" t="s">
        <v>413</v>
      </c>
      <c r="D84" s="55" t="s">
        <v>654</v>
      </c>
      <c r="E84" s="67" t="s">
        <v>663</v>
      </c>
      <c r="F84" s="68" t="s">
        <v>656</v>
      </c>
      <c r="G84" s="69" t="s">
        <v>640</v>
      </c>
      <c r="H84" s="70" t="s">
        <v>477</v>
      </c>
      <c r="I84" s="70">
        <v>1</v>
      </c>
      <c r="J84" s="70">
        <v>1.1299999999999999</v>
      </c>
      <c r="K84" s="71">
        <v>7323000</v>
      </c>
      <c r="L84" s="72"/>
      <c r="M84" s="62" t="s">
        <v>472</v>
      </c>
      <c r="N84" s="73">
        <v>0.45</v>
      </c>
      <c r="O84" s="74" t="s">
        <v>464</v>
      </c>
      <c r="P84" s="65" t="s">
        <v>664</v>
      </c>
    </row>
    <row r="85" spans="2:16" s="75" customFormat="1" x14ac:dyDescent="0.3">
      <c r="B85" s="66">
        <v>80</v>
      </c>
      <c r="C85" s="55" t="s">
        <v>405</v>
      </c>
      <c r="D85" s="55" t="s">
        <v>654</v>
      </c>
      <c r="E85" s="67" t="s">
        <v>665</v>
      </c>
      <c r="F85" s="68" t="s">
        <v>656</v>
      </c>
      <c r="G85" s="69" t="s">
        <v>640</v>
      </c>
      <c r="H85" s="70" t="s">
        <v>477</v>
      </c>
      <c r="I85" s="70">
        <v>1</v>
      </c>
      <c r="J85" s="70">
        <v>1.1299999999999999</v>
      </c>
      <c r="K85" s="71">
        <v>7323000</v>
      </c>
      <c r="L85" s="72"/>
      <c r="M85" s="62">
        <v>44727</v>
      </c>
      <c r="N85" s="73">
        <v>0.45</v>
      </c>
      <c r="O85" s="74" t="s">
        <v>464</v>
      </c>
      <c r="P85" s="65" t="s">
        <v>666</v>
      </c>
    </row>
    <row r="86" spans="2:16" s="75" customFormat="1" x14ac:dyDescent="0.3">
      <c r="B86" s="66">
        <v>81</v>
      </c>
      <c r="C86" s="55" t="s">
        <v>409</v>
      </c>
      <c r="D86" s="55" t="s">
        <v>654</v>
      </c>
      <c r="E86" s="67" t="s">
        <v>667</v>
      </c>
      <c r="F86" s="68" t="s">
        <v>656</v>
      </c>
      <c r="G86" s="69" t="s">
        <v>640</v>
      </c>
      <c r="H86" s="70" t="s">
        <v>477</v>
      </c>
      <c r="I86" s="70">
        <v>1</v>
      </c>
      <c r="J86" s="70">
        <v>1.1299999999999999</v>
      </c>
      <c r="K86" s="71">
        <v>7323000</v>
      </c>
      <c r="L86" s="72"/>
      <c r="M86" s="62">
        <v>44727</v>
      </c>
      <c r="N86" s="73">
        <v>0.45</v>
      </c>
      <c r="O86" s="74" t="s">
        <v>464</v>
      </c>
      <c r="P86" s="65" t="s">
        <v>668</v>
      </c>
    </row>
    <row r="87" spans="2:16" s="75" customFormat="1" x14ac:dyDescent="0.3">
      <c r="B87" s="66">
        <v>82</v>
      </c>
      <c r="C87" s="55" t="s">
        <v>397</v>
      </c>
      <c r="D87" s="55" t="s">
        <v>669</v>
      </c>
      <c r="E87" s="67" t="s">
        <v>670</v>
      </c>
      <c r="F87" s="68" t="s">
        <v>573</v>
      </c>
      <c r="G87" s="69" t="s">
        <v>640</v>
      </c>
      <c r="H87" s="70" t="s">
        <v>477</v>
      </c>
      <c r="I87" s="70">
        <v>1</v>
      </c>
      <c r="J87" s="70">
        <v>1.1299999999999999</v>
      </c>
      <c r="K87" s="71">
        <v>7323000</v>
      </c>
      <c r="L87" s="72"/>
      <c r="M87" s="62">
        <v>44075</v>
      </c>
      <c r="N87" s="73">
        <v>0.35</v>
      </c>
      <c r="O87" s="74" t="s">
        <v>459</v>
      </c>
      <c r="P87" s="65" t="s">
        <v>671</v>
      </c>
    </row>
    <row r="88" spans="2:16" s="75" customFormat="1" x14ac:dyDescent="0.3">
      <c r="B88" s="66">
        <v>83</v>
      </c>
      <c r="C88" s="55" t="s">
        <v>396</v>
      </c>
      <c r="D88" s="55" t="s">
        <v>669</v>
      </c>
      <c r="E88" s="67" t="s">
        <v>672</v>
      </c>
      <c r="F88" s="68" t="s">
        <v>573</v>
      </c>
      <c r="G88" s="69" t="s">
        <v>640</v>
      </c>
      <c r="H88" s="70" t="s">
        <v>477</v>
      </c>
      <c r="I88" s="70">
        <v>1</v>
      </c>
      <c r="J88" s="70">
        <v>1.1299999999999999</v>
      </c>
      <c r="K88" s="71">
        <v>7323000</v>
      </c>
      <c r="L88" s="72"/>
      <c r="M88" s="62">
        <v>43800</v>
      </c>
      <c r="N88" s="73">
        <v>0.35</v>
      </c>
      <c r="O88" s="74" t="s">
        <v>459</v>
      </c>
      <c r="P88" s="65" t="s">
        <v>673</v>
      </c>
    </row>
    <row r="89" spans="2:16" s="75" customFormat="1" x14ac:dyDescent="0.3">
      <c r="B89" s="66">
        <v>84</v>
      </c>
      <c r="C89" s="55" t="s">
        <v>401</v>
      </c>
      <c r="D89" s="55" t="s">
        <v>674</v>
      </c>
      <c r="E89" s="67" t="s">
        <v>402</v>
      </c>
      <c r="F89" s="68" t="s">
        <v>524</v>
      </c>
      <c r="G89" s="69" t="s">
        <v>640</v>
      </c>
      <c r="H89" s="70" t="s">
        <v>502</v>
      </c>
      <c r="I89" s="70">
        <v>5</v>
      </c>
      <c r="J89" s="70">
        <v>1.1299999999999999</v>
      </c>
      <c r="K89" s="71">
        <v>8318000</v>
      </c>
      <c r="L89" s="72"/>
      <c r="M89" s="62">
        <v>43617</v>
      </c>
      <c r="N89" s="73">
        <v>0.35</v>
      </c>
      <c r="O89" s="74" t="s">
        <v>459</v>
      </c>
      <c r="P89" s="65" t="s">
        <v>675</v>
      </c>
    </row>
    <row r="90" spans="2:16" s="75" customFormat="1" x14ac:dyDescent="0.3">
      <c r="B90" s="66">
        <v>85</v>
      </c>
      <c r="C90" s="55" t="s">
        <v>388</v>
      </c>
      <c r="D90" s="55" t="s">
        <v>676</v>
      </c>
      <c r="E90" s="67" t="s">
        <v>389</v>
      </c>
      <c r="F90" s="68" t="s">
        <v>677</v>
      </c>
      <c r="G90" s="69" t="s">
        <v>640</v>
      </c>
      <c r="H90" s="70" t="s">
        <v>502</v>
      </c>
      <c r="I90" s="70">
        <v>3</v>
      </c>
      <c r="J90" s="70">
        <v>1.1299999999999999</v>
      </c>
      <c r="K90" s="71">
        <v>7363000</v>
      </c>
      <c r="L90" s="72"/>
      <c r="M90" s="62">
        <v>43905</v>
      </c>
      <c r="N90" s="73">
        <v>0.35</v>
      </c>
      <c r="O90" s="74" t="s">
        <v>459</v>
      </c>
      <c r="P90" s="65" t="s">
        <v>678</v>
      </c>
    </row>
    <row r="91" spans="2:16" s="107" customFormat="1" x14ac:dyDescent="0.3">
      <c r="B91" s="95">
        <v>86</v>
      </c>
      <c r="C91" s="96" t="s">
        <v>394</v>
      </c>
      <c r="D91" s="96" t="s">
        <v>679</v>
      </c>
      <c r="E91" s="97" t="s">
        <v>395</v>
      </c>
      <c r="F91" s="98" t="s">
        <v>799</v>
      </c>
      <c r="G91" s="99" t="s">
        <v>640</v>
      </c>
      <c r="H91" s="100" t="s">
        <v>646</v>
      </c>
      <c r="I91" s="130">
        <v>1</v>
      </c>
      <c r="J91" s="100">
        <v>1.1299999999999999</v>
      </c>
      <c r="K91" s="101">
        <v>9035000</v>
      </c>
      <c r="L91" s="102"/>
      <c r="M91" s="103">
        <v>44896</v>
      </c>
      <c r="N91" s="73">
        <v>0.4</v>
      </c>
      <c r="O91" s="105" t="s">
        <v>459</v>
      </c>
      <c r="P91" s="106" t="s">
        <v>681</v>
      </c>
    </row>
    <row r="92" spans="2:16" s="75" customFormat="1" x14ac:dyDescent="0.3">
      <c r="B92" s="66">
        <v>87</v>
      </c>
      <c r="C92" s="55" t="s">
        <v>392</v>
      </c>
      <c r="D92" s="55" t="s">
        <v>682</v>
      </c>
      <c r="E92" s="67" t="s">
        <v>393</v>
      </c>
      <c r="F92" s="68" t="s">
        <v>683</v>
      </c>
      <c r="G92" s="69" t="s">
        <v>640</v>
      </c>
      <c r="H92" s="70" t="s">
        <v>502</v>
      </c>
      <c r="I92" s="70">
        <v>3</v>
      </c>
      <c r="J92" s="70">
        <v>1.1299999999999999</v>
      </c>
      <c r="K92" s="71">
        <v>7363000</v>
      </c>
      <c r="L92" s="72"/>
      <c r="M92" s="62">
        <v>43936</v>
      </c>
      <c r="N92" s="73">
        <v>0.35</v>
      </c>
      <c r="O92" s="74" t="s">
        <v>459</v>
      </c>
      <c r="P92" s="65" t="s">
        <v>684</v>
      </c>
    </row>
    <row r="93" spans="2:16" s="75" customFormat="1" x14ac:dyDescent="0.3">
      <c r="B93" s="66">
        <v>88</v>
      </c>
      <c r="C93" s="55" t="s">
        <v>411</v>
      </c>
      <c r="D93" s="55" t="s">
        <v>685</v>
      </c>
      <c r="E93" s="67" t="s">
        <v>412</v>
      </c>
      <c r="F93" s="68" t="s">
        <v>628</v>
      </c>
      <c r="G93" s="69" t="s">
        <v>640</v>
      </c>
      <c r="H93" s="70" t="s">
        <v>528</v>
      </c>
      <c r="I93" s="70">
        <v>5</v>
      </c>
      <c r="J93" s="70">
        <v>1.1299999999999999</v>
      </c>
      <c r="K93" s="71">
        <v>6288000</v>
      </c>
      <c r="L93" s="72"/>
      <c r="M93" s="62" t="s">
        <v>529</v>
      </c>
      <c r="N93" s="73">
        <v>0.35</v>
      </c>
      <c r="O93" s="74" t="s">
        <v>459</v>
      </c>
      <c r="P93" s="65" t="s">
        <v>686</v>
      </c>
    </row>
    <row r="94" spans="2:16" s="75" customFormat="1" x14ac:dyDescent="0.3">
      <c r="B94" s="66">
        <v>89</v>
      </c>
      <c r="C94" s="55" t="s">
        <v>248</v>
      </c>
      <c r="D94" s="55" t="s">
        <v>638</v>
      </c>
      <c r="E94" s="67" t="s">
        <v>249</v>
      </c>
      <c r="F94" s="68" t="s">
        <v>639</v>
      </c>
      <c r="G94" s="69" t="s">
        <v>247</v>
      </c>
      <c r="H94" s="70" t="s">
        <v>534</v>
      </c>
      <c r="I94" s="59">
        <v>1</v>
      </c>
      <c r="J94" s="70"/>
      <c r="K94" s="71">
        <v>16238000</v>
      </c>
      <c r="L94" s="72"/>
      <c r="M94" s="62">
        <v>44652</v>
      </c>
      <c r="N94" s="73">
        <v>0.55000000000000004</v>
      </c>
      <c r="O94" s="74" t="s">
        <v>464</v>
      </c>
      <c r="P94" s="65" t="s">
        <v>687</v>
      </c>
    </row>
    <row r="95" spans="2:16" s="107" customFormat="1" x14ac:dyDescent="0.3">
      <c r="B95" s="95">
        <v>90</v>
      </c>
      <c r="C95" s="96" t="s">
        <v>252</v>
      </c>
      <c r="D95" s="96" t="s">
        <v>644</v>
      </c>
      <c r="E95" s="97" t="s">
        <v>253</v>
      </c>
      <c r="F95" s="142" t="s">
        <v>642</v>
      </c>
      <c r="G95" s="99" t="s">
        <v>247</v>
      </c>
      <c r="H95" s="107" t="s">
        <v>458</v>
      </c>
      <c r="I95" s="107">
        <v>1</v>
      </c>
      <c r="J95" s="107">
        <v>1.1299999999999999</v>
      </c>
      <c r="K95" s="143">
        <v>12020000</v>
      </c>
      <c r="L95" s="144"/>
      <c r="M95" s="103">
        <v>44896</v>
      </c>
      <c r="N95" s="145">
        <v>0.5</v>
      </c>
      <c r="O95" s="105" t="s">
        <v>464</v>
      </c>
      <c r="P95" s="106" t="s">
        <v>689</v>
      </c>
    </row>
    <row r="96" spans="2:16" s="75" customFormat="1" x14ac:dyDescent="0.3">
      <c r="B96" s="66">
        <v>91</v>
      </c>
      <c r="C96" s="55" t="s">
        <v>250</v>
      </c>
      <c r="D96" s="55" t="s">
        <v>648</v>
      </c>
      <c r="E96" s="67" t="s">
        <v>251</v>
      </c>
      <c r="F96" s="68" t="s">
        <v>649</v>
      </c>
      <c r="G96" s="69" t="s">
        <v>247</v>
      </c>
      <c r="H96" s="70" t="s">
        <v>646</v>
      </c>
      <c r="I96" s="59">
        <v>3</v>
      </c>
      <c r="J96" s="70"/>
      <c r="K96" s="71">
        <v>10666000</v>
      </c>
      <c r="L96" s="72"/>
      <c r="M96" s="62">
        <v>44713</v>
      </c>
      <c r="N96" s="73">
        <v>0.4</v>
      </c>
      <c r="O96" s="74" t="s">
        <v>459</v>
      </c>
      <c r="P96" s="65" t="s">
        <v>690</v>
      </c>
    </row>
    <row r="97" spans="2:16" s="89" customFormat="1" x14ac:dyDescent="0.3">
      <c r="B97" s="66">
        <v>92</v>
      </c>
      <c r="C97" s="55" t="s">
        <v>254</v>
      </c>
      <c r="D97" s="55" t="s">
        <v>691</v>
      </c>
      <c r="E97" s="78" t="s">
        <v>255</v>
      </c>
      <c r="F97" s="68" t="s">
        <v>692</v>
      </c>
      <c r="G97" s="85" t="s">
        <v>693</v>
      </c>
      <c r="H97" s="86" t="s">
        <v>646</v>
      </c>
      <c r="I97" s="59">
        <v>2</v>
      </c>
      <c r="J97" s="70">
        <v>1.1299999999999999</v>
      </c>
      <c r="K97" s="71">
        <v>9831000</v>
      </c>
      <c r="L97" s="72"/>
      <c r="M97" s="62">
        <v>43739</v>
      </c>
      <c r="N97" s="73">
        <v>0.4</v>
      </c>
      <c r="O97" s="88" t="s">
        <v>459</v>
      </c>
      <c r="P97" s="65" t="s">
        <v>694</v>
      </c>
    </row>
    <row r="98" spans="2:16" s="75" customFormat="1" ht="31.2" x14ac:dyDescent="0.3">
      <c r="B98" s="66">
        <v>93</v>
      </c>
      <c r="C98" s="55" t="s">
        <v>272</v>
      </c>
      <c r="D98" s="55" t="s">
        <v>651</v>
      </c>
      <c r="E98" s="67" t="s">
        <v>273</v>
      </c>
      <c r="F98" s="81" t="s">
        <v>652</v>
      </c>
      <c r="G98" s="69" t="s">
        <v>247</v>
      </c>
      <c r="H98" s="70" t="s">
        <v>477</v>
      </c>
      <c r="I98" s="70">
        <v>1</v>
      </c>
      <c r="J98" s="70"/>
      <c r="K98" s="71">
        <v>7323000</v>
      </c>
      <c r="L98" s="72"/>
      <c r="M98" s="62">
        <v>43709</v>
      </c>
      <c r="N98" s="73">
        <v>0.45</v>
      </c>
      <c r="O98" s="74" t="s">
        <v>464</v>
      </c>
      <c r="P98" s="65" t="s">
        <v>695</v>
      </c>
    </row>
    <row r="99" spans="2:16" s="75" customFormat="1" x14ac:dyDescent="0.3">
      <c r="B99" s="66">
        <v>94</v>
      </c>
      <c r="C99" s="55" t="s">
        <v>268</v>
      </c>
      <c r="D99" s="55" t="s">
        <v>654</v>
      </c>
      <c r="E99" s="67" t="s">
        <v>696</v>
      </c>
      <c r="F99" s="68" t="s">
        <v>656</v>
      </c>
      <c r="G99" s="69" t="s">
        <v>247</v>
      </c>
      <c r="H99" s="70" t="s">
        <v>477</v>
      </c>
      <c r="I99" s="70">
        <v>1</v>
      </c>
      <c r="J99" s="70"/>
      <c r="K99" s="71">
        <v>7323000</v>
      </c>
      <c r="L99" s="72"/>
      <c r="M99" s="62">
        <v>43891</v>
      </c>
      <c r="N99" s="73">
        <v>0.45</v>
      </c>
      <c r="O99" s="74" t="s">
        <v>464</v>
      </c>
      <c r="P99" s="65" t="s">
        <v>697</v>
      </c>
    </row>
    <row r="100" spans="2:16" s="75" customFormat="1" x14ac:dyDescent="0.3">
      <c r="B100" s="66">
        <v>95</v>
      </c>
      <c r="C100" s="55" t="s">
        <v>264</v>
      </c>
      <c r="D100" s="55" t="s">
        <v>654</v>
      </c>
      <c r="E100" s="67" t="s">
        <v>265</v>
      </c>
      <c r="F100" s="68" t="s">
        <v>656</v>
      </c>
      <c r="G100" s="69" t="s">
        <v>247</v>
      </c>
      <c r="H100" s="70" t="s">
        <v>477</v>
      </c>
      <c r="I100" s="70">
        <v>2</v>
      </c>
      <c r="J100" s="70"/>
      <c r="K100" s="71">
        <v>7801000</v>
      </c>
      <c r="L100" s="72">
        <v>0.1</v>
      </c>
      <c r="M100" s="62">
        <v>44501</v>
      </c>
      <c r="N100" s="73">
        <v>0.45</v>
      </c>
      <c r="O100" s="74" t="s">
        <v>464</v>
      </c>
      <c r="P100" s="65" t="s">
        <v>698</v>
      </c>
    </row>
    <row r="101" spans="2:16" s="75" customFormat="1" x14ac:dyDescent="0.3">
      <c r="B101" s="66">
        <v>96</v>
      </c>
      <c r="C101" s="55" t="s">
        <v>262</v>
      </c>
      <c r="D101" s="55" t="s">
        <v>654</v>
      </c>
      <c r="E101" s="67" t="s">
        <v>263</v>
      </c>
      <c r="F101" s="68" t="s">
        <v>656</v>
      </c>
      <c r="G101" s="69" t="s">
        <v>247</v>
      </c>
      <c r="H101" s="70" t="s">
        <v>477</v>
      </c>
      <c r="I101" s="70">
        <v>1</v>
      </c>
      <c r="J101" s="70"/>
      <c r="K101" s="71">
        <v>7323000</v>
      </c>
      <c r="L101" s="72"/>
      <c r="M101" s="62">
        <v>43770</v>
      </c>
      <c r="N101" s="73">
        <v>0.45</v>
      </c>
      <c r="O101" s="74" t="s">
        <v>464</v>
      </c>
      <c r="P101" s="65" t="s">
        <v>699</v>
      </c>
    </row>
    <row r="102" spans="2:16" s="75" customFormat="1" x14ac:dyDescent="0.3">
      <c r="B102" s="66">
        <v>97</v>
      </c>
      <c r="C102" s="55" t="s">
        <v>266</v>
      </c>
      <c r="D102" s="55" t="s">
        <v>654</v>
      </c>
      <c r="E102" s="67" t="s">
        <v>267</v>
      </c>
      <c r="F102" s="68" t="s">
        <v>656</v>
      </c>
      <c r="G102" s="69" t="s">
        <v>247</v>
      </c>
      <c r="H102" s="70" t="s">
        <v>477</v>
      </c>
      <c r="I102" s="70">
        <v>1</v>
      </c>
      <c r="J102" s="70"/>
      <c r="K102" s="71">
        <v>7323000</v>
      </c>
      <c r="L102" s="72"/>
      <c r="M102" s="62">
        <v>44075</v>
      </c>
      <c r="N102" s="73">
        <v>0.45</v>
      </c>
      <c r="O102" s="74" t="s">
        <v>464</v>
      </c>
      <c r="P102" s="65" t="s">
        <v>700</v>
      </c>
    </row>
    <row r="103" spans="2:16" s="75" customFormat="1" x14ac:dyDescent="0.3">
      <c r="B103" s="66">
        <v>98</v>
      </c>
      <c r="C103" s="55" t="s">
        <v>274</v>
      </c>
      <c r="D103" s="55" t="s">
        <v>654</v>
      </c>
      <c r="E103" s="67" t="s">
        <v>275</v>
      </c>
      <c r="F103" s="68" t="s">
        <v>656</v>
      </c>
      <c r="G103" s="69" t="s">
        <v>247</v>
      </c>
      <c r="H103" s="70" t="s">
        <v>477</v>
      </c>
      <c r="I103" s="70">
        <v>1</v>
      </c>
      <c r="J103" s="70"/>
      <c r="K103" s="71">
        <v>7323000</v>
      </c>
      <c r="L103" s="72"/>
      <c r="M103" s="62">
        <v>44537</v>
      </c>
      <c r="N103" s="73">
        <v>0.45</v>
      </c>
      <c r="O103" s="74" t="s">
        <v>464</v>
      </c>
      <c r="P103" s="65" t="s">
        <v>40</v>
      </c>
    </row>
    <row r="104" spans="2:16" s="75" customFormat="1" x14ac:dyDescent="0.3">
      <c r="B104" s="66">
        <v>99</v>
      </c>
      <c r="C104" s="55" t="s">
        <v>278</v>
      </c>
      <c r="D104" s="55" t="s">
        <v>654</v>
      </c>
      <c r="E104" s="67" t="s">
        <v>701</v>
      </c>
      <c r="F104" s="68" t="s">
        <v>656</v>
      </c>
      <c r="G104" s="69" t="s">
        <v>247</v>
      </c>
      <c r="H104" s="70" t="s">
        <v>477</v>
      </c>
      <c r="I104" s="70">
        <v>1</v>
      </c>
      <c r="J104" s="70"/>
      <c r="K104" s="71">
        <v>7323000</v>
      </c>
      <c r="L104" s="72"/>
      <c r="M104" s="62" t="s">
        <v>472</v>
      </c>
      <c r="N104" s="73">
        <v>0.45</v>
      </c>
      <c r="O104" s="74" t="s">
        <v>464</v>
      </c>
      <c r="P104" s="65" t="s">
        <v>702</v>
      </c>
    </row>
    <row r="105" spans="2:16" s="75" customFormat="1" x14ac:dyDescent="0.3">
      <c r="B105" s="66">
        <v>100</v>
      </c>
      <c r="C105" s="55" t="s">
        <v>282</v>
      </c>
      <c r="D105" s="55" t="s">
        <v>654</v>
      </c>
      <c r="E105" s="67" t="s">
        <v>703</v>
      </c>
      <c r="F105" s="68" t="s">
        <v>656</v>
      </c>
      <c r="G105" s="69" t="s">
        <v>247</v>
      </c>
      <c r="H105" s="70" t="s">
        <v>477</v>
      </c>
      <c r="I105" s="70">
        <v>1</v>
      </c>
      <c r="J105" s="70"/>
      <c r="K105" s="71">
        <v>7323000</v>
      </c>
      <c r="L105" s="72"/>
      <c r="M105" s="62" t="s">
        <v>472</v>
      </c>
      <c r="N105" s="73">
        <v>0.45</v>
      </c>
      <c r="O105" s="74" t="s">
        <v>464</v>
      </c>
      <c r="P105" s="65" t="s">
        <v>704</v>
      </c>
    </row>
    <row r="106" spans="2:16" s="75" customFormat="1" x14ac:dyDescent="0.3">
      <c r="B106" s="66">
        <v>101</v>
      </c>
      <c r="C106" s="55" t="s">
        <v>280</v>
      </c>
      <c r="D106" s="55" t="s">
        <v>654</v>
      </c>
      <c r="E106" s="67" t="s">
        <v>705</v>
      </c>
      <c r="F106" s="68" t="s">
        <v>656</v>
      </c>
      <c r="G106" s="69" t="s">
        <v>247</v>
      </c>
      <c r="H106" s="70" t="s">
        <v>477</v>
      </c>
      <c r="I106" s="70">
        <v>1</v>
      </c>
      <c r="J106" s="70"/>
      <c r="K106" s="71">
        <v>7323000</v>
      </c>
      <c r="L106" s="72"/>
      <c r="M106" s="62" t="s">
        <v>472</v>
      </c>
      <c r="N106" s="73">
        <v>0.45</v>
      </c>
      <c r="O106" s="74" t="s">
        <v>464</v>
      </c>
      <c r="P106" s="65" t="s">
        <v>706</v>
      </c>
    </row>
    <row r="107" spans="2:16" s="75" customFormat="1" x14ac:dyDescent="0.3">
      <c r="B107" s="66">
        <v>102</v>
      </c>
      <c r="C107" s="55" t="s">
        <v>256</v>
      </c>
      <c r="D107" s="55" t="s">
        <v>669</v>
      </c>
      <c r="E107" s="67" t="s">
        <v>257</v>
      </c>
      <c r="F107" s="68" t="s">
        <v>573</v>
      </c>
      <c r="G107" s="69" t="s">
        <v>247</v>
      </c>
      <c r="H107" s="70" t="s">
        <v>477</v>
      </c>
      <c r="I107" s="70">
        <v>2</v>
      </c>
      <c r="J107" s="70"/>
      <c r="K107" s="71">
        <v>7801000</v>
      </c>
      <c r="L107" s="72"/>
      <c r="M107" s="62">
        <v>43922</v>
      </c>
      <c r="N107" s="73">
        <v>0.35</v>
      </c>
      <c r="O107" s="74" t="s">
        <v>459</v>
      </c>
      <c r="P107" s="65" t="s">
        <v>707</v>
      </c>
    </row>
    <row r="108" spans="2:16" s="75" customFormat="1" x14ac:dyDescent="0.3">
      <c r="B108" s="66">
        <v>103</v>
      </c>
      <c r="C108" s="55" t="s">
        <v>270</v>
      </c>
      <c r="D108" s="55" t="s">
        <v>674</v>
      </c>
      <c r="E108" s="67" t="s">
        <v>271</v>
      </c>
      <c r="F108" s="68" t="s">
        <v>524</v>
      </c>
      <c r="G108" s="69" t="s">
        <v>247</v>
      </c>
      <c r="H108" s="70" t="s">
        <v>502</v>
      </c>
      <c r="I108" s="70">
        <v>4</v>
      </c>
      <c r="J108" s="70"/>
      <c r="K108" s="71">
        <v>7841000</v>
      </c>
      <c r="L108" s="72"/>
      <c r="M108" s="62">
        <v>44440</v>
      </c>
      <c r="N108" s="73">
        <v>0.35</v>
      </c>
      <c r="O108" s="74" t="s">
        <v>459</v>
      </c>
      <c r="P108" s="65" t="s">
        <v>708</v>
      </c>
    </row>
    <row r="109" spans="2:16" s="75" customFormat="1" ht="31.2" x14ac:dyDescent="0.3">
      <c r="B109" s="66">
        <v>104</v>
      </c>
      <c r="C109" s="55" t="s">
        <v>258</v>
      </c>
      <c r="D109" s="55" t="s">
        <v>676</v>
      </c>
      <c r="E109" s="67" t="s">
        <v>259</v>
      </c>
      <c r="F109" s="81" t="s">
        <v>677</v>
      </c>
      <c r="G109" s="69" t="s">
        <v>247</v>
      </c>
      <c r="H109" s="70" t="s">
        <v>502</v>
      </c>
      <c r="I109" s="70">
        <v>4</v>
      </c>
      <c r="J109" s="70"/>
      <c r="K109" s="71">
        <v>7841000</v>
      </c>
      <c r="L109" s="72"/>
      <c r="M109" s="62">
        <v>43800</v>
      </c>
      <c r="N109" s="73">
        <v>0.35</v>
      </c>
      <c r="O109" s="74" t="s">
        <v>459</v>
      </c>
      <c r="P109" s="65" t="s">
        <v>709</v>
      </c>
    </row>
    <row r="110" spans="2:16" s="75" customFormat="1" x14ac:dyDescent="0.3">
      <c r="B110" s="66">
        <v>105</v>
      </c>
      <c r="C110" s="55" t="s">
        <v>260</v>
      </c>
      <c r="D110" s="55" t="s">
        <v>679</v>
      </c>
      <c r="E110" s="112" t="s">
        <v>261</v>
      </c>
      <c r="F110" s="81" t="s">
        <v>680</v>
      </c>
      <c r="G110" s="69" t="s">
        <v>247</v>
      </c>
      <c r="H110" s="70" t="s">
        <v>502</v>
      </c>
      <c r="I110" s="70">
        <v>3</v>
      </c>
      <c r="J110" s="70"/>
      <c r="K110" s="71">
        <v>7363000</v>
      </c>
      <c r="L110" s="72"/>
      <c r="M110" s="62">
        <v>43739</v>
      </c>
      <c r="N110" s="73">
        <v>0.35</v>
      </c>
      <c r="O110" s="74" t="s">
        <v>459</v>
      </c>
      <c r="P110" s="65" t="s">
        <v>710</v>
      </c>
    </row>
    <row r="111" spans="2:16" s="80" customFormat="1" ht="31.2" x14ac:dyDescent="0.3">
      <c r="B111" s="66">
        <v>106</v>
      </c>
      <c r="C111" s="55" t="s">
        <v>284</v>
      </c>
      <c r="D111" s="55" t="s">
        <v>711</v>
      </c>
      <c r="E111" s="67" t="s">
        <v>285</v>
      </c>
      <c r="F111" s="81" t="s">
        <v>712</v>
      </c>
      <c r="G111" s="79" t="s">
        <v>247</v>
      </c>
      <c r="H111" s="70" t="s">
        <v>624</v>
      </c>
      <c r="I111" s="70">
        <v>2</v>
      </c>
      <c r="J111" s="70"/>
      <c r="K111" s="71">
        <v>4736000</v>
      </c>
      <c r="L111" s="72"/>
      <c r="M111" s="62" t="s">
        <v>529</v>
      </c>
      <c r="N111" s="82">
        <v>0.35</v>
      </c>
      <c r="O111" s="74" t="s">
        <v>459</v>
      </c>
      <c r="P111" s="65" t="s">
        <v>713</v>
      </c>
    </row>
    <row r="112" spans="2:16" s="80" customFormat="1" x14ac:dyDescent="0.3">
      <c r="B112" s="70">
        <v>107</v>
      </c>
      <c r="C112" s="55" t="s">
        <v>276</v>
      </c>
      <c r="D112" s="55" t="s">
        <v>685</v>
      </c>
      <c r="E112" s="67" t="s">
        <v>277</v>
      </c>
      <c r="F112" s="68" t="s">
        <v>714</v>
      </c>
      <c r="G112" s="79" t="s">
        <v>247</v>
      </c>
      <c r="H112" s="70" t="s">
        <v>528</v>
      </c>
      <c r="I112" s="70">
        <v>5</v>
      </c>
      <c r="J112" s="70"/>
      <c r="K112" s="71">
        <v>6288000</v>
      </c>
      <c r="L112" s="72"/>
      <c r="M112" s="62" t="s">
        <v>529</v>
      </c>
      <c r="N112" s="82">
        <v>0.35</v>
      </c>
      <c r="O112" s="74" t="s">
        <v>459</v>
      </c>
      <c r="P112" s="65" t="s">
        <v>715</v>
      </c>
    </row>
    <row r="113" spans="2:16" s="75" customFormat="1" x14ac:dyDescent="0.3">
      <c r="B113" s="66">
        <v>108</v>
      </c>
      <c r="C113" s="55" t="s">
        <v>212</v>
      </c>
      <c r="D113" s="55" t="s">
        <v>638</v>
      </c>
      <c r="E113" s="67" t="s">
        <v>213</v>
      </c>
      <c r="F113" s="68" t="s">
        <v>716</v>
      </c>
      <c r="G113" s="69" t="s">
        <v>717</v>
      </c>
      <c r="H113" s="70" t="s">
        <v>534</v>
      </c>
      <c r="I113" s="59">
        <v>1</v>
      </c>
      <c r="J113" s="70"/>
      <c r="K113" s="71">
        <v>16238000</v>
      </c>
      <c r="L113" s="72"/>
      <c r="M113" s="62" t="s">
        <v>472</v>
      </c>
      <c r="N113" s="73">
        <v>0.55000000000000004</v>
      </c>
      <c r="O113" s="74" t="s">
        <v>464</v>
      </c>
      <c r="P113" s="65" t="s">
        <v>718</v>
      </c>
    </row>
    <row r="114" spans="2:16" s="107" customFormat="1" x14ac:dyDescent="0.3">
      <c r="B114" s="95">
        <v>109</v>
      </c>
      <c r="C114" s="96" t="s">
        <v>215</v>
      </c>
      <c r="D114" s="96" t="s">
        <v>644</v>
      </c>
      <c r="E114" s="97" t="s">
        <v>216</v>
      </c>
      <c r="F114" s="142" t="s">
        <v>642</v>
      </c>
      <c r="G114" s="99" t="s">
        <v>717</v>
      </c>
      <c r="H114" s="107" t="s">
        <v>458</v>
      </c>
      <c r="I114" s="107">
        <v>1</v>
      </c>
      <c r="J114" s="107">
        <v>1.1299999999999999</v>
      </c>
      <c r="K114" s="143">
        <v>12020000</v>
      </c>
      <c r="L114" s="144"/>
      <c r="M114" s="103">
        <v>44896</v>
      </c>
      <c r="N114" s="145">
        <v>0.5</v>
      </c>
      <c r="O114" s="105" t="s">
        <v>464</v>
      </c>
      <c r="P114" s="106" t="s">
        <v>719</v>
      </c>
    </row>
    <row r="115" spans="2:16" s="75" customFormat="1" x14ac:dyDescent="0.3">
      <c r="B115" s="66">
        <v>110</v>
      </c>
      <c r="C115" s="55" t="s">
        <v>220</v>
      </c>
      <c r="D115" s="55" t="s">
        <v>648</v>
      </c>
      <c r="E115" s="67" t="s">
        <v>221</v>
      </c>
      <c r="F115" s="68" t="s">
        <v>649</v>
      </c>
      <c r="G115" s="69" t="s">
        <v>717</v>
      </c>
      <c r="H115" s="70" t="s">
        <v>646</v>
      </c>
      <c r="I115" s="59">
        <v>2</v>
      </c>
      <c r="J115" s="70"/>
      <c r="K115" s="71">
        <v>9831000</v>
      </c>
      <c r="L115" s="72"/>
      <c r="M115" s="62">
        <v>43800</v>
      </c>
      <c r="N115" s="73">
        <v>0.4</v>
      </c>
      <c r="O115" s="74" t="s">
        <v>459</v>
      </c>
      <c r="P115" s="65" t="s">
        <v>720</v>
      </c>
    </row>
    <row r="116" spans="2:16" s="113" customFormat="1" x14ac:dyDescent="0.3">
      <c r="B116" s="66">
        <v>111</v>
      </c>
      <c r="C116" s="55" t="s">
        <v>218</v>
      </c>
      <c r="D116" s="55" t="s">
        <v>691</v>
      </c>
      <c r="E116" s="67" t="s">
        <v>219</v>
      </c>
      <c r="F116" s="68" t="s">
        <v>692</v>
      </c>
      <c r="G116" s="77" t="s">
        <v>693</v>
      </c>
      <c r="H116" s="86" t="s">
        <v>646</v>
      </c>
      <c r="I116" s="59">
        <v>2</v>
      </c>
      <c r="J116" s="70">
        <v>1.1299999999999999</v>
      </c>
      <c r="K116" s="71">
        <v>9831000</v>
      </c>
      <c r="L116" s="72"/>
      <c r="M116" s="62">
        <v>43770</v>
      </c>
      <c r="N116" s="73">
        <v>0.4</v>
      </c>
      <c r="O116" s="88" t="s">
        <v>459</v>
      </c>
      <c r="P116" s="65" t="s">
        <v>721</v>
      </c>
    </row>
    <row r="117" spans="2:16" s="75" customFormat="1" x14ac:dyDescent="0.3">
      <c r="B117" s="66">
        <v>112</v>
      </c>
      <c r="C117" s="55" t="s">
        <v>232</v>
      </c>
      <c r="D117" s="55" t="s">
        <v>651</v>
      </c>
      <c r="E117" s="67" t="s">
        <v>722</v>
      </c>
      <c r="F117" s="68" t="s">
        <v>652</v>
      </c>
      <c r="G117" s="69" t="s">
        <v>717</v>
      </c>
      <c r="H117" s="70" t="s">
        <v>477</v>
      </c>
      <c r="I117" s="70">
        <v>1</v>
      </c>
      <c r="J117" s="70"/>
      <c r="K117" s="71">
        <v>7323000</v>
      </c>
      <c r="L117" s="72"/>
      <c r="M117" s="62">
        <v>43845</v>
      </c>
      <c r="N117" s="73">
        <v>0.45</v>
      </c>
      <c r="O117" s="74" t="s">
        <v>464</v>
      </c>
      <c r="P117" s="65" t="s">
        <v>723</v>
      </c>
    </row>
    <row r="118" spans="2:16" s="75" customFormat="1" x14ac:dyDescent="0.3">
      <c r="B118" s="66">
        <v>113</v>
      </c>
      <c r="C118" s="55" t="s">
        <v>222</v>
      </c>
      <c r="D118" s="55" t="s">
        <v>654</v>
      </c>
      <c r="E118" s="67" t="s">
        <v>724</v>
      </c>
      <c r="F118" s="68" t="s">
        <v>656</v>
      </c>
      <c r="G118" s="69" t="s">
        <v>717</v>
      </c>
      <c r="H118" s="70" t="s">
        <v>477</v>
      </c>
      <c r="I118" s="70">
        <v>1</v>
      </c>
      <c r="J118" s="70"/>
      <c r="K118" s="71">
        <v>7323000</v>
      </c>
      <c r="L118" s="72">
        <v>0.1</v>
      </c>
      <c r="M118" s="62">
        <v>44044</v>
      </c>
      <c r="N118" s="73">
        <v>0.45</v>
      </c>
      <c r="O118" s="74" t="s">
        <v>464</v>
      </c>
      <c r="P118" s="65" t="s">
        <v>725</v>
      </c>
    </row>
    <row r="119" spans="2:16" s="75" customFormat="1" x14ac:dyDescent="0.3">
      <c r="B119" s="66">
        <v>114</v>
      </c>
      <c r="C119" s="55" t="s">
        <v>243</v>
      </c>
      <c r="D119" s="55" t="s">
        <v>654</v>
      </c>
      <c r="E119" s="67" t="s">
        <v>726</v>
      </c>
      <c r="F119" s="68" t="s">
        <v>656</v>
      </c>
      <c r="G119" s="69" t="s">
        <v>717</v>
      </c>
      <c r="H119" s="70" t="s">
        <v>477</v>
      </c>
      <c r="I119" s="70">
        <v>1</v>
      </c>
      <c r="J119" s="70"/>
      <c r="K119" s="71">
        <v>7323000</v>
      </c>
      <c r="L119" s="72">
        <v>0.1</v>
      </c>
      <c r="M119" s="62" t="s">
        <v>472</v>
      </c>
      <c r="N119" s="73">
        <v>0.45</v>
      </c>
      <c r="O119" s="74" t="s">
        <v>464</v>
      </c>
      <c r="P119" s="65" t="s">
        <v>727</v>
      </c>
    </row>
    <row r="120" spans="2:16" s="75" customFormat="1" x14ac:dyDescent="0.3">
      <c r="B120" s="66">
        <v>115</v>
      </c>
      <c r="C120" s="55" t="s">
        <v>228</v>
      </c>
      <c r="D120" s="55" t="s">
        <v>654</v>
      </c>
      <c r="E120" s="67" t="s">
        <v>229</v>
      </c>
      <c r="F120" s="68" t="s">
        <v>656</v>
      </c>
      <c r="G120" s="69" t="s">
        <v>717</v>
      </c>
      <c r="H120" s="70" t="s">
        <v>477</v>
      </c>
      <c r="I120" s="70">
        <v>1</v>
      </c>
      <c r="J120" s="70"/>
      <c r="K120" s="71">
        <v>7323000</v>
      </c>
      <c r="L120" s="72">
        <v>0.1</v>
      </c>
      <c r="M120" s="62">
        <v>44166</v>
      </c>
      <c r="N120" s="73">
        <v>0.45</v>
      </c>
      <c r="O120" s="74" t="s">
        <v>464</v>
      </c>
      <c r="P120" s="65" t="s">
        <v>728</v>
      </c>
    </row>
    <row r="121" spans="2:16" s="75" customFormat="1" x14ac:dyDescent="0.3">
      <c r="B121" s="66">
        <v>116</v>
      </c>
      <c r="C121" s="55" t="s">
        <v>239</v>
      </c>
      <c r="D121" s="55" t="s">
        <v>654</v>
      </c>
      <c r="E121" s="67" t="s">
        <v>240</v>
      </c>
      <c r="F121" s="68" t="s">
        <v>656</v>
      </c>
      <c r="G121" s="69" t="s">
        <v>717</v>
      </c>
      <c r="H121" s="70" t="s">
        <v>477</v>
      </c>
      <c r="I121" s="70">
        <v>1</v>
      </c>
      <c r="J121" s="70"/>
      <c r="K121" s="71">
        <v>7323000</v>
      </c>
      <c r="L121" s="72"/>
      <c r="M121" s="62" t="s">
        <v>472</v>
      </c>
      <c r="N121" s="73">
        <v>0.45</v>
      </c>
      <c r="O121" s="74" t="s">
        <v>464</v>
      </c>
      <c r="P121" s="65" t="s">
        <v>729</v>
      </c>
    </row>
    <row r="122" spans="2:16" s="75" customFormat="1" x14ac:dyDescent="0.3">
      <c r="B122" s="66">
        <v>117</v>
      </c>
      <c r="C122" s="55" t="s">
        <v>236</v>
      </c>
      <c r="D122" s="55" t="s">
        <v>654</v>
      </c>
      <c r="E122" s="67" t="s">
        <v>237</v>
      </c>
      <c r="F122" s="68" t="s">
        <v>656</v>
      </c>
      <c r="G122" s="69" t="s">
        <v>717</v>
      </c>
      <c r="H122" s="70" t="s">
        <v>477</v>
      </c>
      <c r="I122" s="70">
        <v>1</v>
      </c>
      <c r="J122" s="70"/>
      <c r="K122" s="71">
        <v>7323000</v>
      </c>
      <c r="L122" s="72"/>
      <c r="M122" s="62" t="s">
        <v>472</v>
      </c>
      <c r="N122" s="73">
        <v>0.45</v>
      </c>
      <c r="O122" s="74" t="s">
        <v>464</v>
      </c>
      <c r="P122" s="65" t="s">
        <v>730</v>
      </c>
    </row>
    <row r="123" spans="2:16" s="75" customFormat="1" x14ac:dyDescent="0.3">
      <c r="B123" s="66">
        <v>118</v>
      </c>
      <c r="C123" s="55" t="s">
        <v>241</v>
      </c>
      <c r="D123" s="55" t="s">
        <v>654</v>
      </c>
      <c r="E123" s="67" t="s">
        <v>242</v>
      </c>
      <c r="F123" s="68" t="s">
        <v>656</v>
      </c>
      <c r="G123" s="69" t="s">
        <v>717</v>
      </c>
      <c r="H123" s="70" t="s">
        <v>477</v>
      </c>
      <c r="I123" s="70">
        <v>1</v>
      </c>
      <c r="J123" s="70"/>
      <c r="K123" s="71">
        <v>7323000</v>
      </c>
      <c r="L123" s="72"/>
      <c r="M123" s="62" t="s">
        <v>472</v>
      </c>
      <c r="N123" s="73">
        <v>0.45</v>
      </c>
      <c r="O123" s="74" t="s">
        <v>464</v>
      </c>
      <c r="P123" s="65" t="s">
        <v>731</v>
      </c>
    </row>
    <row r="124" spans="2:16" s="75" customFormat="1" x14ac:dyDescent="0.3">
      <c r="B124" s="66">
        <v>119</v>
      </c>
      <c r="C124" s="55" t="s">
        <v>230</v>
      </c>
      <c r="D124" s="55" t="s">
        <v>669</v>
      </c>
      <c r="E124" s="67" t="s">
        <v>231</v>
      </c>
      <c r="F124" s="68" t="s">
        <v>573</v>
      </c>
      <c r="G124" s="69" t="s">
        <v>717</v>
      </c>
      <c r="H124" s="70" t="s">
        <v>477</v>
      </c>
      <c r="I124" s="70">
        <v>1</v>
      </c>
      <c r="J124" s="70"/>
      <c r="K124" s="71">
        <v>7323000</v>
      </c>
      <c r="L124" s="72"/>
      <c r="M124" s="62">
        <v>43952</v>
      </c>
      <c r="N124" s="73">
        <v>0.35</v>
      </c>
      <c r="O124" s="74" t="s">
        <v>459</v>
      </c>
      <c r="P124" s="65" t="s">
        <v>732</v>
      </c>
    </row>
    <row r="125" spans="2:16" s="75" customFormat="1" x14ac:dyDescent="0.3">
      <c r="B125" s="66">
        <v>120</v>
      </c>
      <c r="C125" s="55" t="s">
        <v>234</v>
      </c>
      <c r="D125" s="55" t="s">
        <v>674</v>
      </c>
      <c r="E125" s="67" t="s">
        <v>733</v>
      </c>
      <c r="F125" s="68" t="s">
        <v>524</v>
      </c>
      <c r="G125" s="69" t="s">
        <v>717</v>
      </c>
      <c r="H125" s="70" t="s">
        <v>502</v>
      </c>
      <c r="I125" s="70">
        <v>4</v>
      </c>
      <c r="J125" s="70"/>
      <c r="K125" s="71">
        <v>7841000</v>
      </c>
      <c r="L125" s="72"/>
      <c r="M125" s="62">
        <v>44727</v>
      </c>
      <c r="N125" s="73">
        <v>0.35</v>
      </c>
      <c r="O125" s="74" t="s">
        <v>459</v>
      </c>
      <c r="P125" s="65" t="s">
        <v>734</v>
      </c>
    </row>
    <row r="126" spans="2:16" s="75" customFormat="1" x14ac:dyDescent="0.3">
      <c r="B126" s="66">
        <v>121</v>
      </c>
      <c r="C126" s="55" t="s">
        <v>226</v>
      </c>
      <c r="D126" s="55" t="s">
        <v>676</v>
      </c>
      <c r="E126" s="67" t="s">
        <v>227</v>
      </c>
      <c r="F126" s="68" t="s">
        <v>677</v>
      </c>
      <c r="G126" s="69" t="s">
        <v>717</v>
      </c>
      <c r="H126" s="70" t="s">
        <v>502</v>
      </c>
      <c r="I126" s="70">
        <v>4</v>
      </c>
      <c r="J126" s="70"/>
      <c r="K126" s="71">
        <v>7841000</v>
      </c>
      <c r="L126" s="72"/>
      <c r="M126" s="62">
        <v>43927</v>
      </c>
      <c r="N126" s="73">
        <v>0.35</v>
      </c>
      <c r="O126" s="74" t="s">
        <v>459</v>
      </c>
      <c r="P126" s="65" t="s">
        <v>735</v>
      </c>
    </row>
    <row r="127" spans="2:16" s="75" customFormat="1" x14ac:dyDescent="0.3">
      <c r="B127" s="66">
        <v>122</v>
      </c>
      <c r="C127" s="55" t="s">
        <v>224</v>
      </c>
      <c r="D127" s="55" t="s">
        <v>679</v>
      </c>
      <c r="E127" s="67" t="s">
        <v>225</v>
      </c>
      <c r="F127" s="68" t="s">
        <v>680</v>
      </c>
      <c r="G127" s="69" t="s">
        <v>717</v>
      </c>
      <c r="H127" s="70" t="s">
        <v>502</v>
      </c>
      <c r="I127" s="70">
        <v>3</v>
      </c>
      <c r="J127" s="70"/>
      <c r="K127" s="71">
        <v>7363000</v>
      </c>
      <c r="L127" s="72"/>
      <c r="M127" s="62">
        <v>44044</v>
      </c>
      <c r="N127" s="73">
        <v>0.35</v>
      </c>
      <c r="O127" s="74" t="s">
        <v>459</v>
      </c>
      <c r="P127" s="65" t="s">
        <v>736</v>
      </c>
    </row>
    <row r="128" spans="2:16" s="75" customFormat="1" x14ac:dyDescent="0.3">
      <c r="B128" s="66">
        <v>123</v>
      </c>
      <c r="C128" s="55" t="s">
        <v>245</v>
      </c>
      <c r="D128" s="55" t="s">
        <v>685</v>
      </c>
      <c r="E128" s="67" t="s">
        <v>246</v>
      </c>
      <c r="F128" s="68" t="s">
        <v>628</v>
      </c>
      <c r="G128" s="69" t="s">
        <v>717</v>
      </c>
      <c r="H128" s="70" t="s">
        <v>528</v>
      </c>
      <c r="I128" s="70">
        <v>6</v>
      </c>
      <c r="J128" s="70"/>
      <c r="K128" s="71">
        <v>6607000</v>
      </c>
      <c r="L128" s="72"/>
      <c r="M128" s="62" t="s">
        <v>529</v>
      </c>
      <c r="N128" s="73">
        <v>0.35</v>
      </c>
      <c r="O128" s="74" t="s">
        <v>459</v>
      </c>
      <c r="P128" s="65" t="s">
        <v>737</v>
      </c>
    </row>
    <row r="129" spans="2:16" s="75" customFormat="1" x14ac:dyDescent="0.3">
      <c r="B129" s="66">
        <v>124</v>
      </c>
      <c r="C129" s="55" t="s">
        <v>341</v>
      </c>
      <c r="D129" s="55" t="s">
        <v>638</v>
      </c>
      <c r="E129" s="67" t="s">
        <v>342</v>
      </c>
      <c r="F129" s="68" t="s">
        <v>639</v>
      </c>
      <c r="G129" s="69" t="s">
        <v>340</v>
      </c>
      <c r="H129" s="70" t="s">
        <v>534</v>
      </c>
      <c r="I129" s="59">
        <v>1</v>
      </c>
      <c r="J129" s="70"/>
      <c r="K129" s="71">
        <v>16238000</v>
      </c>
      <c r="L129" s="72"/>
      <c r="M129" s="62" t="s">
        <v>472</v>
      </c>
      <c r="N129" s="73">
        <v>0.55000000000000004</v>
      </c>
      <c r="O129" s="74" t="s">
        <v>464</v>
      </c>
      <c r="P129" s="65" t="s">
        <v>738</v>
      </c>
    </row>
    <row r="130" spans="2:16" s="107" customFormat="1" x14ac:dyDescent="0.3">
      <c r="B130" s="95">
        <v>125</v>
      </c>
      <c r="C130" s="96" t="s">
        <v>345</v>
      </c>
      <c r="D130" s="96" t="s">
        <v>644</v>
      </c>
      <c r="E130" s="97" t="s">
        <v>346</v>
      </c>
      <c r="F130" s="142" t="s">
        <v>642</v>
      </c>
      <c r="G130" s="99" t="s">
        <v>340</v>
      </c>
      <c r="H130" s="107" t="s">
        <v>458</v>
      </c>
      <c r="I130" s="107">
        <v>1</v>
      </c>
      <c r="J130" s="107">
        <v>1.1299999999999999</v>
      </c>
      <c r="K130" s="143">
        <v>12020000</v>
      </c>
      <c r="L130" s="144"/>
      <c r="M130" s="103">
        <v>44896</v>
      </c>
      <c r="N130" s="145">
        <v>0.5</v>
      </c>
      <c r="O130" s="105" t="s">
        <v>464</v>
      </c>
      <c r="P130" s="106" t="s">
        <v>739</v>
      </c>
    </row>
    <row r="131" spans="2:16" s="75" customFormat="1" x14ac:dyDescent="0.3">
      <c r="B131" s="66">
        <v>126</v>
      </c>
      <c r="C131" s="55" t="s">
        <v>343</v>
      </c>
      <c r="D131" s="55" t="s">
        <v>648</v>
      </c>
      <c r="E131" s="67" t="s">
        <v>344</v>
      </c>
      <c r="F131" s="68" t="s">
        <v>649</v>
      </c>
      <c r="G131" s="69" t="s">
        <v>340</v>
      </c>
      <c r="H131" s="70" t="s">
        <v>646</v>
      </c>
      <c r="I131" s="59">
        <v>2</v>
      </c>
      <c r="J131" s="70"/>
      <c r="K131" s="71">
        <v>9831000</v>
      </c>
      <c r="L131" s="72"/>
      <c r="M131" s="62">
        <v>44119</v>
      </c>
      <c r="N131" s="73">
        <v>0.4</v>
      </c>
      <c r="O131" s="74" t="s">
        <v>459</v>
      </c>
      <c r="P131" s="65" t="s">
        <v>740</v>
      </c>
    </row>
    <row r="132" spans="2:16" s="80" customFormat="1" x14ac:dyDescent="0.3">
      <c r="B132" s="70">
        <v>127</v>
      </c>
      <c r="C132" s="55" t="s">
        <v>347</v>
      </c>
      <c r="D132" s="55" t="s">
        <v>691</v>
      </c>
      <c r="E132" s="67" t="s">
        <v>348</v>
      </c>
      <c r="F132" s="68" t="s">
        <v>692</v>
      </c>
      <c r="G132" s="79" t="s">
        <v>340</v>
      </c>
      <c r="H132" s="70" t="s">
        <v>646</v>
      </c>
      <c r="I132" s="59">
        <v>2</v>
      </c>
      <c r="J132" s="70"/>
      <c r="K132" s="71">
        <v>9831000</v>
      </c>
      <c r="L132" s="72"/>
      <c r="M132" s="62">
        <v>43845</v>
      </c>
      <c r="N132" s="73">
        <v>0.4</v>
      </c>
      <c r="O132" s="74" t="s">
        <v>459</v>
      </c>
      <c r="P132" s="65" t="s">
        <v>741</v>
      </c>
    </row>
    <row r="133" spans="2:16" s="75" customFormat="1" x14ac:dyDescent="0.3">
      <c r="B133" s="66">
        <v>128</v>
      </c>
      <c r="C133" s="55" t="s">
        <v>357</v>
      </c>
      <c r="D133" s="55" t="s">
        <v>654</v>
      </c>
      <c r="E133" s="67" t="s">
        <v>358</v>
      </c>
      <c r="F133" s="68" t="s">
        <v>656</v>
      </c>
      <c r="G133" s="69" t="s">
        <v>340</v>
      </c>
      <c r="H133" s="70" t="s">
        <v>477</v>
      </c>
      <c r="I133" s="70">
        <v>2</v>
      </c>
      <c r="J133" s="70"/>
      <c r="K133" s="71">
        <v>7801000</v>
      </c>
      <c r="L133" s="72"/>
      <c r="M133" s="62">
        <v>43853</v>
      </c>
      <c r="N133" s="73">
        <v>0.45</v>
      </c>
      <c r="O133" s="74" t="s">
        <v>464</v>
      </c>
      <c r="P133" s="65" t="s">
        <v>742</v>
      </c>
    </row>
    <row r="134" spans="2:16" s="75" customFormat="1" x14ac:dyDescent="0.3">
      <c r="B134" s="66">
        <v>129</v>
      </c>
      <c r="C134" s="55" t="s">
        <v>349</v>
      </c>
      <c r="D134" s="55" t="s">
        <v>654</v>
      </c>
      <c r="E134" s="67" t="s">
        <v>350</v>
      </c>
      <c r="F134" s="68" t="s">
        <v>656</v>
      </c>
      <c r="G134" s="69" t="s">
        <v>340</v>
      </c>
      <c r="H134" s="70" t="s">
        <v>477</v>
      </c>
      <c r="I134" s="70">
        <v>2</v>
      </c>
      <c r="J134" s="70"/>
      <c r="K134" s="71">
        <v>7801000</v>
      </c>
      <c r="L134" s="72"/>
      <c r="M134" s="62">
        <v>44713</v>
      </c>
      <c r="N134" s="73">
        <v>0.45</v>
      </c>
      <c r="O134" s="74" t="s">
        <v>464</v>
      </c>
      <c r="P134" s="65" t="s">
        <v>743</v>
      </c>
    </row>
    <row r="135" spans="2:16" s="75" customFormat="1" x14ac:dyDescent="0.3">
      <c r="B135" s="66">
        <v>130</v>
      </c>
      <c r="C135" s="55" t="s">
        <v>351</v>
      </c>
      <c r="D135" s="55" t="s">
        <v>654</v>
      </c>
      <c r="E135" s="67" t="s">
        <v>744</v>
      </c>
      <c r="F135" s="68" t="s">
        <v>656</v>
      </c>
      <c r="G135" s="69" t="s">
        <v>340</v>
      </c>
      <c r="H135" s="70" t="s">
        <v>477</v>
      </c>
      <c r="I135" s="70">
        <v>1</v>
      </c>
      <c r="J135" s="70"/>
      <c r="K135" s="71">
        <v>7323000</v>
      </c>
      <c r="L135" s="72">
        <v>0.1</v>
      </c>
      <c r="M135" s="62">
        <v>43983</v>
      </c>
      <c r="N135" s="73">
        <v>0.45</v>
      </c>
      <c r="O135" s="74" t="s">
        <v>464</v>
      </c>
      <c r="P135" s="65" t="s">
        <v>745</v>
      </c>
    </row>
    <row r="136" spans="2:16" s="75" customFormat="1" x14ac:dyDescent="0.3">
      <c r="B136" s="66">
        <v>131</v>
      </c>
      <c r="C136" s="55" t="s">
        <v>363</v>
      </c>
      <c r="D136" s="55" t="s">
        <v>654</v>
      </c>
      <c r="E136" s="67" t="s">
        <v>746</v>
      </c>
      <c r="F136" s="68" t="s">
        <v>656</v>
      </c>
      <c r="G136" s="69" t="s">
        <v>340</v>
      </c>
      <c r="H136" s="70" t="s">
        <v>477</v>
      </c>
      <c r="I136" s="70">
        <v>1</v>
      </c>
      <c r="J136" s="70"/>
      <c r="K136" s="71">
        <v>7323000</v>
      </c>
      <c r="L136" s="72"/>
      <c r="M136" s="62" t="s">
        <v>472</v>
      </c>
      <c r="N136" s="73">
        <v>0.45</v>
      </c>
      <c r="O136" s="74" t="s">
        <v>464</v>
      </c>
      <c r="P136" s="65" t="s">
        <v>747</v>
      </c>
    </row>
    <row r="137" spans="2:16" s="75" customFormat="1" x14ac:dyDescent="0.3">
      <c r="B137" s="66">
        <v>132</v>
      </c>
      <c r="C137" s="55" t="s">
        <v>369</v>
      </c>
      <c r="D137" s="55" t="s">
        <v>654</v>
      </c>
      <c r="E137" s="67" t="s">
        <v>370</v>
      </c>
      <c r="F137" s="68" t="s">
        <v>656</v>
      </c>
      <c r="G137" s="69" t="s">
        <v>340</v>
      </c>
      <c r="H137" s="70" t="s">
        <v>477</v>
      </c>
      <c r="I137" s="70">
        <v>1</v>
      </c>
      <c r="J137" s="70"/>
      <c r="K137" s="71">
        <v>7323000</v>
      </c>
      <c r="L137" s="72"/>
      <c r="M137" s="62" t="s">
        <v>472</v>
      </c>
      <c r="N137" s="73">
        <v>0.45</v>
      </c>
      <c r="O137" s="74" t="s">
        <v>464</v>
      </c>
      <c r="P137" s="65" t="s">
        <v>748</v>
      </c>
    </row>
    <row r="138" spans="2:16" s="75" customFormat="1" x14ac:dyDescent="0.3">
      <c r="B138" s="66">
        <v>133</v>
      </c>
      <c r="C138" s="55" t="s">
        <v>375</v>
      </c>
      <c r="D138" s="55" t="s">
        <v>654</v>
      </c>
      <c r="E138" s="67" t="s">
        <v>749</v>
      </c>
      <c r="F138" s="68" t="s">
        <v>656</v>
      </c>
      <c r="G138" s="69" t="s">
        <v>340</v>
      </c>
      <c r="H138" s="70" t="s">
        <v>477</v>
      </c>
      <c r="I138" s="70">
        <v>1</v>
      </c>
      <c r="J138" s="70"/>
      <c r="K138" s="71">
        <v>7323000</v>
      </c>
      <c r="L138" s="72"/>
      <c r="M138" s="62" t="s">
        <v>472</v>
      </c>
      <c r="N138" s="73">
        <v>0.45</v>
      </c>
      <c r="O138" s="74" t="s">
        <v>464</v>
      </c>
      <c r="P138" s="65" t="s">
        <v>750</v>
      </c>
    </row>
    <row r="139" spans="2:16" s="75" customFormat="1" x14ac:dyDescent="0.3">
      <c r="B139" s="66">
        <v>134</v>
      </c>
      <c r="C139" s="55" t="s">
        <v>367</v>
      </c>
      <c r="D139" s="55" t="s">
        <v>654</v>
      </c>
      <c r="E139" s="67" t="s">
        <v>751</v>
      </c>
      <c r="F139" s="68" t="s">
        <v>656</v>
      </c>
      <c r="G139" s="69" t="s">
        <v>340</v>
      </c>
      <c r="H139" s="70" t="s">
        <v>477</v>
      </c>
      <c r="I139" s="70">
        <v>1</v>
      </c>
      <c r="J139" s="70"/>
      <c r="K139" s="71">
        <v>7323000</v>
      </c>
      <c r="L139" s="72"/>
      <c r="M139" s="62" t="s">
        <v>472</v>
      </c>
      <c r="N139" s="73">
        <v>0.45</v>
      </c>
      <c r="O139" s="74" t="s">
        <v>464</v>
      </c>
      <c r="P139" s="65" t="s">
        <v>752</v>
      </c>
    </row>
    <row r="140" spans="2:16" s="75" customFormat="1" x14ac:dyDescent="0.3">
      <c r="B140" s="66">
        <v>135</v>
      </c>
      <c r="C140" s="55" t="s">
        <v>371</v>
      </c>
      <c r="D140" s="55" t="s">
        <v>654</v>
      </c>
      <c r="E140" s="67" t="s">
        <v>372</v>
      </c>
      <c r="F140" s="68" t="s">
        <v>656</v>
      </c>
      <c r="G140" s="69" t="s">
        <v>340</v>
      </c>
      <c r="H140" s="70" t="s">
        <v>477</v>
      </c>
      <c r="I140" s="70">
        <v>1</v>
      </c>
      <c r="J140" s="70"/>
      <c r="K140" s="71">
        <v>7323000</v>
      </c>
      <c r="L140" s="72"/>
      <c r="M140" s="62" t="s">
        <v>472</v>
      </c>
      <c r="N140" s="73">
        <v>0.45</v>
      </c>
      <c r="O140" s="74" t="s">
        <v>464</v>
      </c>
      <c r="P140" s="65" t="s">
        <v>753</v>
      </c>
    </row>
    <row r="141" spans="2:16" s="75" customFormat="1" x14ac:dyDescent="0.3">
      <c r="B141" s="66">
        <v>136</v>
      </c>
      <c r="C141" s="55" t="s">
        <v>373</v>
      </c>
      <c r="D141" s="55" t="s">
        <v>654</v>
      </c>
      <c r="E141" s="67" t="s">
        <v>374</v>
      </c>
      <c r="F141" s="68" t="s">
        <v>656</v>
      </c>
      <c r="G141" s="69" t="s">
        <v>340</v>
      </c>
      <c r="H141" s="70" t="s">
        <v>477</v>
      </c>
      <c r="I141" s="70">
        <v>1</v>
      </c>
      <c r="J141" s="70">
        <v>1.1299999999999999</v>
      </c>
      <c r="K141" s="71">
        <v>7323000</v>
      </c>
      <c r="L141" s="72"/>
      <c r="M141" s="62" t="s">
        <v>472</v>
      </c>
      <c r="N141" s="73">
        <v>0.45</v>
      </c>
      <c r="O141" s="74" t="s">
        <v>464</v>
      </c>
      <c r="P141" s="65" t="s">
        <v>754</v>
      </c>
    </row>
    <row r="142" spans="2:16" s="75" customFormat="1" x14ac:dyDescent="0.3">
      <c r="B142" s="66">
        <v>137</v>
      </c>
      <c r="C142" s="55" t="s">
        <v>359</v>
      </c>
      <c r="D142" s="55" t="s">
        <v>669</v>
      </c>
      <c r="E142" s="67" t="s">
        <v>360</v>
      </c>
      <c r="F142" s="68" t="s">
        <v>573</v>
      </c>
      <c r="G142" s="69" t="s">
        <v>340</v>
      </c>
      <c r="H142" s="70" t="s">
        <v>477</v>
      </c>
      <c r="I142" s="70">
        <v>2</v>
      </c>
      <c r="J142" s="70"/>
      <c r="K142" s="71">
        <v>7801000</v>
      </c>
      <c r="L142" s="72"/>
      <c r="M142" s="62">
        <v>44593</v>
      </c>
      <c r="N142" s="73">
        <v>0.35</v>
      </c>
      <c r="O142" s="74" t="s">
        <v>459</v>
      </c>
      <c r="P142" s="65" t="s">
        <v>755</v>
      </c>
    </row>
    <row r="143" spans="2:16" s="75" customFormat="1" x14ac:dyDescent="0.3">
      <c r="B143" s="66">
        <v>138</v>
      </c>
      <c r="C143" s="55" t="s">
        <v>353</v>
      </c>
      <c r="D143" s="55" t="s">
        <v>676</v>
      </c>
      <c r="E143" s="67" t="s">
        <v>354</v>
      </c>
      <c r="F143" s="68" t="s">
        <v>677</v>
      </c>
      <c r="G143" s="69" t="s">
        <v>340</v>
      </c>
      <c r="H143" s="70" t="s">
        <v>502</v>
      </c>
      <c r="I143" s="70">
        <v>4</v>
      </c>
      <c r="J143" s="70"/>
      <c r="K143" s="71">
        <v>7841000</v>
      </c>
      <c r="L143" s="72"/>
      <c r="M143" s="62">
        <v>43876</v>
      </c>
      <c r="N143" s="73">
        <v>0.35</v>
      </c>
      <c r="O143" s="74" t="s">
        <v>459</v>
      </c>
      <c r="P143" s="65" t="s">
        <v>756</v>
      </c>
    </row>
    <row r="144" spans="2:16" s="75" customFormat="1" x14ac:dyDescent="0.3">
      <c r="B144" s="66">
        <v>139</v>
      </c>
      <c r="C144" s="55" t="s">
        <v>361</v>
      </c>
      <c r="D144" s="55" t="s">
        <v>674</v>
      </c>
      <c r="E144" s="67" t="s">
        <v>362</v>
      </c>
      <c r="F144" s="68" t="s">
        <v>524</v>
      </c>
      <c r="G144" s="69" t="s">
        <v>340</v>
      </c>
      <c r="H144" s="70" t="s">
        <v>502</v>
      </c>
      <c r="I144" s="70">
        <v>3</v>
      </c>
      <c r="J144" s="70"/>
      <c r="K144" s="71">
        <v>7363000</v>
      </c>
      <c r="L144" s="72"/>
      <c r="M144" s="62">
        <v>44256</v>
      </c>
      <c r="N144" s="73">
        <v>0.35</v>
      </c>
      <c r="O144" s="74" t="s">
        <v>459</v>
      </c>
      <c r="P144" s="65" t="s">
        <v>757</v>
      </c>
    </row>
    <row r="145" spans="2:16" s="75" customFormat="1" x14ac:dyDescent="0.3">
      <c r="B145" s="66">
        <v>140</v>
      </c>
      <c r="C145" s="55" t="s">
        <v>365</v>
      </c>
      <c r="D145" s="55" t="s">
        <v>679</v>
      </c>
      <c r="E145" s="67" t="s">
        <v>366</v>
      </c>
      <c r="F145" s="68" t="s">
        <v>680</v>
      </c>
      <c r="G145" s="69" t="s">
        <v>340</v>
      </c>
      <c r="H145" s="70" t="s">
        <v>502</v>
      </c>
      <c r="I145" s="70">
        <v>3</v>
      </c>
      <c r="J145" s="70"/>
      <c r="K145" s="71">
        <v>7363000</v>
      </c>
      <c r="L145" s="72"/>
      <c r="M145" s="62">
        <v>43800</v>
      </c>
      <c r="N145" s="73">
        <v>0.35</v>
      </c>
      <c r="O145" s="74" t="s">
        <v>459</v>
      </c>
      <c r="P145" s="65" t="s">
        <v>758</v>
      </c>
    </row>
    <row r="146" spans="2:16" s="75" customFormat="1" ht="31.2" x14ac:dyDescent="0.3">
      <c r="B146" s="66">
        <v>141</v>
      </c>
      <c r="C146" s="55" t="s">
        <v>355</v>
      </c>
      <c r="D146" s="55" t="s">
        <v>682</v>
      </c>
      <c r="E146" s="67" t="s">
        <v>356</v>
      </c>
      <c r="F146" s="81" t="s">
        <v>683</v>
      </c>
      <c r="G146" s="69" t="s">
        <v>340</v>
      </c>
      <c r="H146" s="70" t="s">
        <v>502</v>
      </c>
      <c r="I146" s="70">
        <v>3</v>
      </c>
      <c r="J146" s="70"/>
      <c r="K146" s="71">
        <v>7363000</v>
      </c>
      <c r="L146" s="72"/>
      <c r="M146" s="62">
        <v>43997</v>
      </c>
      <c r="N146" s="73">
        <v>0.35</v>
      </c>
      <c r="O146" s="74" t="s">
        <v>459</v>
      </c>
      <c r="P146" s="65" t="s">
        <v>759</v>
      </c>
    </row>
    <row r="147" spans="2:16" s="80" customFormat="1" x14ac:dyDescent="0.3">
      <c r="B147" s="70">
        <v>142</v>
      </c>
      <c r="C147" s="55" t="s">
        <v>287</v>
      </c>
      <c r="D147" s="55" t="s">
        <v>638</v>
      </c>
      <c r="E147" s="67" t="s">
        <v>288</v>
      </c>
      <c r="F147" s="68" t="s">
        <v>716</v>
      </c>
      <c r="G147" s="79" t="s">
        <v>286</v>
      </c>
      <c r="H147" s="70" t="s">
        <v>534</v>
      </c>
      <c r="I147" s="59">
        <v>1</v>
      </c>
      <c r="J147" s="70"/>
      <c r="K147" s="71">
        <v>16238000</v>
      </c>
      <c r="L147" s="72"/>
      <c r="M147" s="62" t="s">
        <v>472</v>
      </c>
      <c r="N147" s="82">
        <v>0.55000000000000004</v>
      </c>
      <c r="O147" s="74" t="s">
        <v>464</v>
      </c>
      <c r="P147" s="65" t="s">
        <v>760</v>
      </c>
    </row>
    <row r="148" spans="2:16" s="75" customFormat="1" x14ac:dyDescent="0.3">
      <c r="B148" s="66">
        <v>143</v>
      </c>
      <c r="C148" s="55" t="s">
        <v>289</v>
      </c>
      <c r="D148" s="55" t="s">
        <v>644</v>
      </c>
      <c r="E148" s="85" t="s">
        <v>761</v>
      </c>
      <c r="F148" s="68" t="s">
        <v>688</v>
      </c>
      <c r="G148" s="69" t="s">
        <v>286</v>
      </c>
      <c r="H148" s="70" t="s">
        <v>646</v>
      </c>
      <c r="I148" s="59">
        <v>2</v>
      </c>
      <c r="J148" s="70"/>
      <c r="K148" s="71">
        <v>9831000</v>
      </c>
      <c r="L148" s="72"/>
      <c r="M148" s="62">
        <v>43891</v>
      </c>
      <c r="N148" s="73">
        <v>0.45</v>
      </c>
      <c r="O148" s="74" t="s">
        <v>464</v>
      </c>
      <c r="P148" s="65" t="s">
        <v>762</v>
      </c>
    </row>
    <row r="149" spans="2:16" s="75" customFormat="1" x14ac:dyDescent="0.3">
      <c r="B149" s="66">
        <v>144</v>
      </c>
      <c r="C149" s="55" t="s">
        <v>293</v>
      </c>
      <c r="D149" s="55" t="s">
        <v>648</v>
      </c>
      <c r="E149" s="67" t="s">
        <v>763</v>
      </c>
      <c r="F149" s="68" t="s">
        <v>649</v>
      </c>
      <c r="G149" s="69" t="s">
        <v>286</v>
      </c>
      <c r="H149" s="70" t="s">
        <v>646</v>
      </c>
      <c r="I149" s="59">
        <v>2</v>
      </c>
      <c r="J149" s="70"/>
      <c r="K149" s="71">
        <v>9831000</v>
      </c>
      <c r="L149" s="72"/>
      <c r="M149" s="62">
        <v>43891</v>
      </c>
      <c r="N149" s="73">
        <v>0.4</v>
      </c>
      <c r="O149" s="74" t="s">
        <v>459</v>
      </c>
      <c r="P149" s="65" t="s">
        <v>764</v>
      </c>
    </row>
    <row r="150" spans="2:16" s="75" customFormat="1" x14ac:dyDescent="0.3">
      <c r="B150" s="66">
        <v>145</v>
      </c>
      <c r="C150" s="55" t="s">
        <v>291</v>
      </c>
      <c r="D150" s="55" t="s">
        <v>691</v>
      </c>
      <c r="E150" s="85" t="s">
        <v>292</v>
      </c>
      <c r="F150" s="68" t="s">
        <v>692</v>
      </c>
      <c r="G150" s="69" t="s">
        <v>286</v>
      </c>
      <c r="H150" s="70" t="s">
        <v>646</v>
      </c>
      <c r="I150" s="59">
        <v>2</v>
      </c>
      <c r="J150" s="70"/>
      <c r="K150" s="71">
        <v>9831000</v>
      </c>
      <c r="L150" s="72"/>
      <c r="M150" s="62">
        <v>43862</v>
      </c>
      <c r="N150" s="73">
        <v>0.4</v>
      </c>
      <c r="O150" s="74" t="s">
        <v>459</v>
      </c>
      <c r="P150" s="65" t="s">
        <v>765</v>
      </c>
    </row>
    <row r="151" spans="2:16" s="75" customFormat="1" x14ac:dyDescent="0.3">
      <c r="B151" s="66">
        <v>146</v>
      </c>
      <c r="C151" s="55" t="s">
        <v>297</v>
      </c>
      <c r="D151" s="55" t="s">
        <v>651</v>
      </c>
      <c r="E151" s="85" t="s">
        <v>298</v>
      </c>
      <c r="F151" s="68" t="s">
        <v>652</v>
      </c>
      <c r="G151" s="69" t="s">
        <v>286</v>
      </c>
      <c r="H151" s="70" t="s">
        <v>477</v>
      </c>
      <c r="I151" s="70">
        <v>3</v>
      </c>
      <c r="J151" s="70"/>
      <c r="K151" s="71">
        <v>8278000</v>
      </c>
      <c r="L151" s="72"/>
      <c r="M151" s="62" t="s">
        <v>472</v>
      </c>
      <c r="N151" s="73">
        <v>0.45</v>
      </c>
      <c r="O151" s="74" t="s">
        <v>464</v>
      </c>
      <c r="P151" s="65" t="s">
        <v>766</v>
      </c>
    </row>
    <row r="152" spans="2:16" s="75" customFormat="1" x14ac:dyDescent="0.3">
      <c r="B152" s="66">
        <v>147</v>
      </c>
      <c r="C152" s="55" t="s">
        <v>322</v>
      </c>
      <c r="D152" s="55" t="s">
        <v>651</v>
      </c>
      <c r="E152" s="67" t="s">
        <v>323</v>
      </c>
      <c r="F152" s="68" t="s">
        <v>652</v>
      </c>
      <c r="G152" s="69" t="s">
        <v>286</v>
      </c>
      <c r="H152" s="70" t="s">
        <v>477</v>
      </c>
      <c r="I152" s="70">
        <v>1</v>
      </c>
      <c r="J152" s="70">
        <v>1.1299999999999999</v>
      </c>
      <c r="K152" s="71">
        <v>7323000</v>
      </c>
      <c r="L152" s="72"/>
      <c r="M152" s="62" t="s">
        <v>472</v>
      </c>
      <c r="N152" s="73">
        <v>0.45</v>
      </c>
      <c r="O152" s="74" t="s">
        <v>464</v>
      </c>
      <c r="P152" s="65" t="s">
        <v>767</v>
      </c>
    </row>
    <row r="153" spans="2:16" s="75" customFormat="1" x14ac:dyDescent="0.3">
      <c r="B153" s="66">
        <v>148</v>
      </c>
      <c r="C153" s="55" t="s">
        <v>305</v>
      </c>
      <c r="D153" s="55" t="s">
        <v>654</v>
      </c>
      <c r="E153" s="67" t="s">
        <v>768</v>
      </c>
      <c r="F153" s="68" t="s">
        <v>656</v>
      </c>
      <c r="G153" s="69" t="s">
        <v>286</v>
      </c>
      <c r="H153" s="70" t="s">
        <v>477</v>
      </c>
      <c r="I153" s="70">
        <v>1</v>
      </c>
      <c r="J153" s="70">
        <v>1.1299999999999999</v>
      </c>
      <c r="K153" s="71">
        <v>7323000</v>
      </c>
      <c r="L153" s="72"/>
      <c r="M153" s="62">
        <v>44004</v>
      </c>
      <c r="N153" s="73">
        <v>0.45</v>
      </c>
      <c r="O153" s="74" t="s">
        <v>464</v>
      </c>
      <c r="P153" s="65" t="s">
        <v>769</v>
      </c>
    </row>
    <row r="154" spans="2:16" s="75" customFormat="1" x14ac:dyDescent="0.3">
      <c r="B154" s="66">
        <v>149</v>
      </c>
      <c r="C154" s="55" t="s">
        <v>315</v>
      </c>
      <c r="D154" s="55" t="s">
        <v>654</v>
      </c>
      <c r="E154" s="67" t="s">
        <v>316</v>
      </c>
      <c r="F154" s="68" t="s">
        <v>656</v>
      </c>
      <c r="G154" s="69" t="s">
        <v>286</v>
      </c>
      <c r="H154" s="70" t="s">
        <v>477</v>
      </c>
      <c r="I154" s="70">
        <v>1</v>
      </c>
      <c r="J154" s="70">
        <v>1.1299999999999999</v>
      </c>
      <c r="K154" s="71">
        <v>7323000</v>
      </c>
      <c r="L154" s="72"/>
      <c r="M154" s="62">
        <v>44531</v>
      </c>
      <c r="N154" s="73">
        <v>0.45</v>
      </c>
      <c r="O154" s="74" t="s">
        <v>464</v>
      </c>
      <c r="P154" s="65" t="s">
        <v>770</v>
      </c>
    </row>
    <row r="155" spans="2:16" s="75" customFormat="1" x14ac:dyDescent="0.3">
      <c r="B155" s="66">
        <v>150</v>
      </c>
      <c r="C155" s="55" t="s">
        <v>317</v>
      </c>
      <c r="D155" s="55" t="s">
        <v>654</v>
      </c>
      <c r="E155" s="85" t="s">
        <v>318</v>
      </c>
      <c r="F155" s="68" t="s">
        <v>656</v>
      </c>
      <c r="G155" s="69" t="s">
        <v>286</v>
      </c>
      <c r="H155" s="70" t="s">
        <v>477</v>
      </c>
      <c r="I155" s="70">
        <v>1</v>
      </c>
      <c r="J155" s="70"/>
      <c r="K155" s="71">
        <v>7323000</v>
      </c>
      <c r="L155" s="72"/>
      <c r="M155" s="62">
        <v>44348</v>
      </c>
      <c r="N155" s="73">
        <v>0.45</v>
      </c>
      <c r="O155" s="74" t="s">
        <v>464</v>
      </c>
      <c r="P155" s="65" t="s">
        <v>771</v>
      </c>
    </row>
    <row r="156" spans="2:16" s="75" customFormat="1" x14ac:dyDescent="0.3">
      <c r="B156" s="66">
        <v>151</v>
      </c>
      <c r="C156" s="55" t="s">
        <v>309</v>
      </c>
      <c r="D156" s="55" t="s">
        <v>654</v>
      </c>
      <c r="E156" s="67" t="s">
        <v>310</v>
      </c>
      <c r="F156" s="68" t="s">
        <v>656</v>
      </c>
      <c r="G156" s="69" t="s">
        <v>286</v>
      </c>
      <c r="H156" s="70" t="s">
        <v>477</v>
      </c>
      <c r="I156" s="70">
        <v>2</v>
      </c>
      <c r="J156" s="70"/>
      <c r="K156" s="71">
        <v>7801000</v>
      </c>
      <c r="L156" s="72"/>
      <c r="M156" s="62">
        <v>43709</v>
      </c>
      <c r="N156" s="73">
        <v>0.45</v>
      </c>
      <c r="O156" s="74" t="s">
        <v>464</v>
      </c>
      <c r="P156" s="65" t="s">
        <v>772</v>
      </c>
    </row>
    <row r="157" spans="2:16" s="75" customFormat="1" x14ac:dyDescent="0.3">
      <c r="B157" s="66">
        <v>152</v>
      </c>
      <c r="C157" s="55" t="s">
        <v>313</v>
      </c>
      <c r="D157" s="55" t="s">
        <v>654</v>
      </c>
      <c r="E157" s="67" t="s">
        <v>773</v>
      </c>
      <c r="F157" s="68" t="s">
        <v>656</v>
      </c>
      <c r="G157" s="69" t="s">
        <v>286</v>
      </c>
      <c r="H157" s="70" t="s">
        <v>477</v>
      </c>
      <c r="I157" s="70">
        <v>2</v>
      </c>
      <c r="J157" s="70"/>
      <c r="K157" s="71">
        <v>7801000</v>
      </c>
      <c r="L157" s="72">
        <v>0.1</v>
      </c>
      <c r="M157" s="62">
        <v>44652</v>
      </c>
      <c r="N157" s="73">
        <v>0.45</v>
      </c>
      <c r="O157" s="74" t="s">
        <v>464</v>
      </c>
      <c r="P157" s="65" t="s">
        <v>774</v>
      </c>
    </row>
    <row r="158" spans="2:16" s="75" customFormat="1" x14ac:dyDescent="0.3">
      <c r="B158" s="66">
        <v>153</v>
      </c>
      <c r="C158" s="55" t="s">
        <v>307</v>
      </c>
      <c r="D158" s="55" t="s">
        <v>654</v>
      </c>
      <c r="E158" s="67" t="s">
        <v>308</v>
      </c>
      <c r="F158" s="68" t="s">
        <v>656</v>
      </c>
      <c r="G158" s="69" t="s">
        <v>286</v>
      </c>
      <c r="H158" s="70" t="s">
        <v>477</v>
      </c>
      <c r="I158" s="70">
        <v>1</v>
      </c>
      <c r="J158" s="70"/>
      <c r="K158" s="71">
        <v>7323000</v>
      </c>
      <c r="L158" s="72"/>
      <c r="M158" s="62">
        <v>44027</v>
      </c>
      <c r="N158" s="73">
        <v>0.45</v>
      </c>
      <c r="O158" s="74" t="s">
        <v>464</v>
      </c>
      <c r="P158" s="65" t="s">
        <v>775</v>
      </c>
    </row>
    <row r="159" spans="2:16" s="75" customFormat="1" x14ac:dyDescent="0.3">
      <c r="B159" s="66">
        <v>154</v>
      </c>
      <c r="C159" s="55" t="s">
        <v>319</v>
      </c>
      <c r="D159" s="55" t="s">
        <v>654</v>
      </c>
      <c r="E159" s="67" t="s">
        <v>776</v>
      </c>
      <c r="F159" s="68" t="s">
        <v>656</v>
      </c>
      <c r="G159" s="69" t="s">
        <v>286</v>
      </c>
      <c r="H159" s="70" t="s">
        <v>477</v>
      </c>
      <c r="I159" s="70">
        <v>1</v>
      </c>
      <c r="J159" s="70"/>
      <c r="K159" s="71">
        <v>7323000</v>
      </c>
      <c r="L159" s="72"/>
      <c r="M159" s="62" t="s">
        <v>472</v>
      </c>
      <c r="N159" s="73">
        <v>0.45</v>
      </c>
      <c r="O159" s="74" t="s">
        <v>464</v>
      </c>
      <c r="P159" s="65" t="s">
        <v>777</v>
      </c>
    </row>
    <row r="160" spans="2:16" s="75" customFormat="1" x14ac:dyDescent="0.3">
      <c r="B160" s="66">
        <v>156</v>
      </c>
      <c r="C160" s="55" t="s">
        <v>332</v>
      </c>
      <c r="D160" s="55" t="s">
        <v>654</v>
      </c>
      <c r="E160" s="67" t="s">
        <v>333</v>
      </c>
      <c r="F160" s="68" t="s">
        <v>656</v>
      </c>
      <c r="G160" s="69" t="s">
        <v>286</v>
      </c>
      <c r="H160" s="70" t="s">
        <v>477</v>
      </c>
      <c r="I160" s="70">
        <v>1</v>
      </c>
      <c r="J160" s="70"/>
      <c r="K160" s="71">
        <v>7323000</v>
      </c>
      <c r="L160" s="72">
        <v>0.1</v>
      </c>
      <c r="M160" s="62" t="s">
        <v>472</v>
      </c>
      <c r="N160" s="73">
        <v>0.45</v>
      </c>
      <c r="O160" s="74" t="s">
        <v>464</v>
      </c>
      <c r="P160" s="65" t="s">
        <v>779</v>
      </c>
    </row>
    <row r="161" spans="2:16" s="75" customFormat="1" x14ac:dyDescent="0.3">
      <c r="B161" s="66">
        <v>157</v>
      </c>
      <c r="C161" s="55" t="s">
        <v>320</v>
      </c>
      <c r="D161" s="55" t="s">
        <v>654</v>
      </c>
      <c r="E161" s="67" t="s">
        <v>321</v>
      </c>
      <c r="F161" s="68" t="s">
        <v>656</v>
      </c>
      <c r="G161" s="69" t="s">
        <v>286</v>
      </c>
      <c r="H161" s="70" t="s">
        <v>477</v>
      </c>
      <c r="I161" s="70">
        <v>1</v>
      </c>
      <c r="J161" s="70"/>
      <c r="K161" s="71">
        <v>7323000</v>
      </c>
      <c r="L161" s="72"/>
      <c r="M161" s="62" t="s">
        <v>472</v>
      </c>
      <c r="N161" s="73">
        <v>0.45</v>
      </c>
      <c r="O161" s="74" t="s">
        <v>464</v>
      </c>
      <c r="P161" s="65" t="s">
        <v>780</v>
      </c>
    </row>
    <row r="162" spans="2:16" s="75" customFormat="1" x14ac:dyDescent="0.3">
      <c r="B162" s="66">
        <v>158</v>
      </c>
      <c r="C162" s="55" t="s">
        <v>324</v>
      </c>
      <c r="D162" s="55" t="s">
        <v>654</v>
      </c>
      <c r="E162" s="67" t="s">
        <v>325</v>
      </c>
      <c r="F162" s="68" t="s">
        <v>656</v>
      </c>
      <c r="G162" s="69" t="s">
        <v>286</v>
      </c>
      <c r="H162" s="70" t="s">
        <v>477</v>
      </c>
      <c r="I162" s="70">
        <v>1</v>
      </c>
      <c r="J162" s="70"/>
      <c r="K162" s="71">
        <v>7323000</v>
      </c>
      <c r="L162" s="72"/>
      <c r="M162" s="62" t="s">
        <v>472</v>
      </c>
      <c r="N162" s="73">
        <v>0.45</v>
      </c>
      <c r="O162" s="74" t="s">
        <v>464</v>
      </c>
      <c r="P162" s="65" t="s">
        <v>781</v>
      </c>
    </row>
    <row r="163" spans="2:16" s="75" customFormat="1" x14ac:dyDescent="0.3">
      <c r="B163" s="66">
        <v>159</v>
      </c>
      <c r="C163" s="55" t="s">
        <v>334</v>
      </c>
      <c r="D163" s="55" t="s">
        <v>654</v>
      </c>
      <c r="E163" s="85" t="s">
        <v>335</v>
      </c>
      <c r="F163" s="68" t="s">
        <v>656</v>
      </c>
      <c r="G163" s="69" t="s">
        <v>286</v>
      </c>
      <c r="H163" s="70" t="s">
        <v>477</v>
      </c>
      <c r="I163" s="70">
        <v>1</v>
      </c>
      <c r="J163" s="70"/>
      <c r="K163" s="71">
        <v>7323000</v>
      </c>
      <c r="L163" s="72"/>
      <c r="M163" s="62" t="s">
        <v>472</v>
      </c>
      <c r="N163" s="73">
        <v>0.45</v>
      </c>
      <c r="O163" s="74" t="s">
        <v>464</v>
      </c>
      <c r="P163" s="65" t="s">
        <v>782</v>
      </c>
    </row>
    <row r="164" spans="2:16" s="75" customFormat="1" x14ac:dyDescent="0.3">
      <c r="B164" s="66">
        <v>160</v>
      </c>
      <c r="C164" s="55" t="s">
        <v>338</v>
      </c>
      <c r="D164" s="55" t="s">
        <v>654</v>
      </c>
      <c r="E164" s="67" t="s">
        <v>339</v>
      </c>
      <c r="F164" s="68" t="s">
        <v>656</v>
      </c>
      <c r="G164" s="69" t="s">
        <v>286</v>
      </c>
      <c r="H164" s="70" t="s">
        <v>477</v>
      </c>
      <c r="I164" s="70">
        <v>1</v>
      </c>
      <c r="J164" s="70"/>
      <c r="K164" s="71">
        <v>7323000</v>
      </c>
      <c r="L164" s="72"/>
      <c r="M164" s="62" t="s">
        <v>472</v>
      </c>
      <c r="N164" s="73">
        <v>0.45</v>
      </c>
      <c r="O164" s="74" t="s">
        <v>464</v>
      </c>
      <c r="P164" s="65" t="s">
        <v>783</v>
      </c>
    </row>
    <row r="165" spans="2:16" s="113" customFormat="1" x14ac:dyDescent="0.3">
      <c r="B165" s="70">
        <v>161</v>
      </c>
      <c r="C165" s="55" t="s">
        <v>336</v>
      </c>
      <c r="D165" s="55" t="s">
        <v>654</v>
      </c>
      <c r="E165" s="77" t="s">
        <v>784</v>
      </c>
      <c r="F165" s="68" t="s">
        <v>656</v>
      </c>
      <c r="G165" s="69" t="s">
        <v>286</v>
      </c>
      <c r="H165" s="86" t="s">
        <v>477</v>
      </c>
      <c r="I165" s="70">
        <v>1</v>
      </c>
      <c r="J165" s="70">
        <v>1.1299999999999999</v>
      </c>
      <c r="K165" s="71">
        <v>7323000</v>
      </c>
      <c r="L165" s="72"/>
      <c r="M165" s="62" t="s">
        <v>472</v>
      </c>
      <c r="N165" s="82">
        <v>0.45</v>
      </c>
      <c r="O165" s="88" t="s">
        <v>464</v>
      </c>
      <c r="P165" s="65" t="s">
        <v>785</v>
      </c>
    </row>
    <row r="166" spans="2:16" s="75" customFormat="1" x14ac:dyDescent="0.3">
      <c r="B166" s="66">
        <v>162</v>
      </c>
      <c r="C166" s="55" t="s">
        <v>328</v>
      </c>
      <c r="D166" s="55" t="s">
        <v>654</v>
      </c>
      <c r="E166" s="67" t="s">
        <v>329</v>
      </c>
      <c r="F166" s="68" t="s">
        <v>656</v>
      </c>
      <c r="G166" s="69" t="s">
        <v>286</v>
      </c>
      <c r="H166" s="70" t="s">
        <v>477</v>
      </c>
      <c r="I166" s="70">
        <v>1</v>
      </c>
      <c r="J166" s="70"/>
      <c r="K166" s="71">
        <v>7323000</v>
      </c>
      <c r="L166" s="72"/>
      <c r="M166" s="62" t="s">
        <v>472</v>
      </c>
      <c r="N166" s="73">
        <v>0.45</v>
      </c>
      <c r="O166" s="74" t="s">
        <v>464</v>
      </c>
      <c r="P166" s="65" t="s">
        <v>786</v>
      </c>
    </row>
    <row r="167" spans="2:16" s="75" customFormat="1" x14ac:dyDescent="0.3">
      <c r="B167" s="66">
        <v>163</v>
      </c>
      <c r="C167" s="55" t="s">
        <v>303</v>
      </c>
      <c r="D167" s="55" t="s">
        <v>669</v>
      </c>
      <c r="E167" s="67" t="s">
        <v>304</v>
      </c>
      <c r="F167" s="68" t="s">
        <v>573</v>
      </c>
      <c r="G167" s="69" t="s">
        <v>286</v>
      </c>
      <c r="H167" s="70" t="s">
        <v>477</v>
      </c>
      <c r="I167" s="70">
        <v>1</v>
      </c>
      <c r="J167" s="70"/>
      <c r="K167" s="71">
        <v>7323000</v>
      </c>
      <c r="L167" s="72"/>
      <c r="M167" s="62">
        <v>44242</v>
      </c>
      <c r="N167" s="73">
        <v>0.35</v>
      </c>
      <c r="O167" s="74" t="s">
        <v>459</v>
      </c>
      <c r="P167" s="65" t="s">
        <v>787</v>
      </c>
    </row>
    <row r="168" spans="2:16" s="107" customFormat="1" x14ac:dyDescent="0.3">
      <c r="B168" s="95">
        <v>164</v>
      </c>
      <c r="C168" s="96" t="s">
        <v>311</v>
      </c>
      <c r="D168" s="96" t="s">
        <v>674</v>
      </c>
      <c r="E168" s="97" t="s">
        <v>312</v>
      </c>
      <c r="F168" s="98" t="s">
        <v>680</v>
      </c>
      <c r="G168" s="99" t="s">
        <v>286</v>
      </c>
      <c r="H168" s="100" t="s">
        <v>502</v>
      </c>
      <c r="I168" s="100">
        <v>4</v>
      </c>
      <c r="J168" s="100"/>
      <c r="K168" s="101">
        <v>7841000</v>
      </c>
      <c r="L168" s="102"/>
      <c r="M168" s="103">
        <v>44440</v>
      </c>
      <c r="N168" s="104">
        <v>0.35</v>
      </c>
      <c r="O168" s="105" t="s">
        <v>459</v>
      </c>
      <c r="P168" s="106" t="s">
        <v>788</v>
      </c>
    </row>
    <row r="169" spans="2:16" s="75" customFormat="1" x14ac:dyDescent="0.3">
      <c r="B169" s="66">
        <v>165</v>
      </c>
      <c r="C169" s="55" t="s">
        <v>295</v>
      </c>
      <c r="D169" s="55" t="s">
        <v>674</v>
      </c>
      <c r="E169" s="67" t="s">
        <v>296</v>
      </c>
      <c r="F169" s="68" t="s">
        <v>524</v>
      </c>
      <c r="G169" s="69" t="s">
        <v>286</v>
      </c>
      <c r="H169" s="70" t="s">
        <v>502</v>
      </c>
      <c r="I169" s="70">
        <v>3</v>
      </c>
      <c r="J169" s="70"/>
      <c r="K169" s="71">
        <v>7363000</v>
      </c>
      <c r="L169" s="72"/>
      <c r="M169" s="62">
        <v>43709</v>
      </c>
      <c r="N169" s="73">
        <v>0.35</v>
      </c>
      <c r="O169" s="74" t="s">
        <v>459</v>
      </c>
      <c r="P169" s="65" t="s">
        <v>789</v>
      </c>
    </row>
    <row r="170" spans="2:16" s="75" customFormat="1" x14ac:dyDescent="0.3">
      <c r="B170" s="66">
        <v>166</v>
      </c>
      <c r="C170" s="55" t="s">
        <v>301</v>
      </c>
      <c r="D170" s="55" t="s">
        <v>676</v>
      </c>
      <c r="E170" s="67" t="s">
        <v>302</v>
      </c>
      <c r="F170" s="68" t="s">
        <v>677</v>
      </c>
      <c r="G170" s="69" t="s">
        <v>286</v>
      </c>
      <c r="H170" s="70" t="s">
        <v>502</v>
      </c>
      <c r="I170" s="70">
        <v>3</v>
      </c>
      <c r="J170" s="70"/>
      <c r="K170" s="71">
        <v>7363000</v>
      </c>
      <c r="L170" s="72"/>
      <c r="M170" s="62">
        <v>44242</v>
      </c>
      <c r="N170" s="73">
        <v>0.35</v>
      </c>
      <c r="O170" s="74" t="s">
        <v>459</v>
      </c>
      <c r="P170" s="65" t="s">
        <v>790</v>
      </c>
    </row>
    <row r="171" spans="2:16" s="75" customFormat="1" x14ac:dyDescent="0.3">
      <c r="B171" s="66">
        <v>167</v>
      </c>
      <c r="C171" s="55" t="s">
        <v>299</v>
      </c>
      <c r="D171" s="55" t="s">
        <v>682</v>
      </c>
      <c r="E171" s="67" t="s">
        <v>791</v>
      </c>
      <c r="F171" s="68" t="s">
        <v>683</v>
      </c>
      <c r="G171" s="69" t="s">
        <v>286</v>
      </c>
      <c r="H171" s="70" t="s">
        <v>502</v>
      </c>
      <c r="I171" s="70">
        <v>3</v>
      </c>
      <c r="J171" s="70"/>
      <c r="K171" s="71">
        <v>7363000</v>
      </c>
      <c r="L171" s="72"/>
      <c r="M171" s="62">
        <v>43831</v>
      </c>
      <c r="N171" s="73">
        <v>0.35</v>
      </c>
      <c r="O171" s="74" t="s">
        <v>459</v>
      </c>
      <c r="P171" s="65" t="s">
        <v>792</v>
      </c>
    </row>
    <row r="172" spans="2:16" s="75" customFormat="1" x14ac:dyDescent="0.3">
      <c r="B172" s="66">
        <v>168</v>
      </c>
      <c r="C172" s="55" t="s">
        <v>330</v>
      </c>
      <c r="D172" s="55" t="s">
        <v>685</v>
      </c>
      <c r="E172" s="67" t="s">
        <v>331</v>
      </c>
      <c r="F172" s="68" t="s">
        <v>628</v>
      </c>
      <c r="G172" s="69" t="s">
        <v>286</v>
      </c>
      <c r="H172" s="70" t="s">
        <v>528</v>
      </c>
      <c r="I172" s="70">
        <v>4</v>
      </c>
      <c r="J172" s="70"/>
      <c r="K172" s="71">
        <v>5970000</v>
      </c>
      <c r="L172" s="72"/>
      <c r="M172" s="62" t="s">
        <v>529</v>
      </c>
      <c r="N172" s="73">
        <v>0.35</v>
      </c>
      <c r="O172" s="74" t="s">
        <v>459</v>
      </c>
      <c r="P172" s="65" t="s">
        <v>793</v>
      </c>
    </row>
    <row r="173" spans="2:16" s="106" customFormat="1" x14ac:dyDescent="0.3">
      <c r="B173" s="137">
        <v>168</v>
      </c>
      <c r="C173" s="164" t="s">
        <v>796</v>
      </c>
      <c r="D173" s="96" t="s">
        <v>685</v>
      </c>
      <c r="E173" s="159" t="s">
        <v>798</v>
      </c>
      <c r="F173" s="160" t="s">
        <v>656</v>
      </c>
      <c r="G173" s="161" t="s">
        <v>286</v>
      </c>
      <c r="H173" s="130" t="s">
        <v>477</v>
      </c>
      <c r="I173" s="130">
        <v>1</v>
      </c>
      <c r="J173" s="130"/>
      <c r="K173" s="162">
        <v>7323000</v>
      </c>
      <c r="L173" s="163"/>
      <c r="M173" s="103">
        <v>44927</v>
      </c>
      <c r="N173" s="140">
        <v>0.45</v>
      </c>
      <c r="O173" s="141" t="s">
        <v>464</v>
      </c>
      <c r="P173" s="106" t="s">
        <v>793</v>
      </c>
    </row>
    <row r="174" spans="2:16" s="75" customFormat="1" x14ac:dyDescent="0.3">
      <c r="B174" s="66">
        <v>155</v>
      </c>
      <c r="C174" s="55" t="s">
        <v>326</v>
      </c>
      <c r="D174" s="55" t="s">
        <v>654</v>
      </c>
      <c r="E174" s="67" t="s">
        <v>327</v>
      </c>
      <c r="F174" s="68" t="s">
        <v>656</v>
      </c>
      <c r="G174" s="69" t="s">
        <v>463</v>
      </c>
      <c r="H174" s="70" t="s">
        <v>477</v>
      </c>
      <c r="I174" s="70">
        <v>1</v>
      </c>
      <c r="J174" s="70"/>
      <c r="K174" s="71">
        <v>7323000</v>
      </c>
      <c r="L174" s="72"/>
      <c r="M174" s="62" t="s">
        <v>472</v>
      </c>
      <c r="N174" s="73">
        <v>0.45</v>
      </c>
      <c r="O174" s="74" t="s">
        <v>464</v>
      </c>
      <c r="P174" s="65" t="s">
        <v>778</v>
      </c>
    </row>
    <row r="175" spans="2:16" s="75" customFormat="1" x14ac:dyDescent="0.3">
      <c r="B175" s="66">
        <v>10</v>
      </c>
      <c r="C175" s="55" t="s">
        <v>77</v>
      </c>
      <c r="D175" s="55" t="s">
        <v>481</v>
      </c>
      <c r="E175" s="67" t="s">
        <v>78</v>
      </c>
      <c r="F175" s="68" t="s">
        <v>483</v>
      </c>
      <c r="G175" s="69" t="s">
        <v>286</v>
      </c>
      <c r="H175" s="70" t="s">
        <v>477</v>
      </c>
      <c r="I175" s="70">
        <v>1</v>
      </c>
      <c r="J175" s="70">
        <v>1.1299999999999999</v>
      </c>
      <c r="K175" s="71">
        <v>7323000</v>
      </c>
      <c r="L175" s="72"/>
      <c r="M175" s="62">
        <v>44531</v>
      </c>
      <c r="N175" s="73">
        <v>0.45</v>
      </c>
      <c r="O175" s="74" t="s">
        <v>464</v>
      </c>
      <c r="P175" s="65" t="s">
        <v>485</v>
      </c>
    </row>
    <row r="176" spans="2:16" s="194" customFormat="1" x14ac:dyDescent="0.3">
      <c r="B176" s="193"/>
      <c r="C176" s="164" t="s">
        <v>803</v>
      </c>
      <c r="D176" s="96" t="s">
        <v>481</v>
      </c>
      <c r="E176" s="164" t="s">
        <v>804</v>
      </c>
      <c r="F176" s="164" t="s">
        <v>66</v>
      </c>
      <c r="G176" s="99" t="s">
        <v>463</v>
      </c>
      <c r="H176" s="100" t="s">
        <v>477</v>
      </c>
      <c r="I176" s="100">
        <v>1</v>
      </c>
      <c r="J176" s="100"/>
      <c r="K176" s="101">
        <v>7323000</v>
      </c>
      <c r="L176" s="102"/>
      <c r="M176" s="103">
        <v>44927</v>
      </c>
      <c r="N176" s="104">
        <v>0.45</v>
      </c>
      <c r="O176" s="105" t="s">
        <v>464</v>
      </c>
    </row>
    <row r="177" spans="2:15" s="194" customFormat="1" x14ac:dyDescent="0.3">
      <c r="B177" s="193"/>
      <c r="C177" s="164" t="s">
        <v>805</v>
      </c>
      <c r="D177" s="164"/>
      <c r="E177" s="164" t="s">
        <v>806</v>
      </c>
      <c r="F177" s="98" t="s">
        <v>683</v>
      </c>
      <c r="G177" s="99" t="s">
        <v>717</v>
      </c>
      <c r="H177" s="100" t="s">
        <v>502</v>
      </c>
      <c r="I177" s="100">
        <v>2</v>
      </c>
      <c r="J177" s="100"/>
      <c r="K177" s="101">
        <v>6925000</v>
      </c>
      <c r="L177" s="102"/>
      <c r="M177" s="103">
        <v>44927</v>
      </c>
      <c r="N177" s="104">
        <v>0.35</v>
      </c>
      <c r="O177" s="105" t="s">
        <v>459</v>
      </c>
    </row>
    <row r="178" spans="2:15" s="194" customFormat="1" x14ac:dyDescent="0.3">
      <c r="B178" s="193"/>
      <c r="C178" s="164" t="s">
        <v>807</v>
      </c>
      <c r="D178" s="96" t="s">
        <v>654</v>
      </c>
      <c r="E178" s="164" t="s">
        <v>808</v>
      </c>
      <c r="F178" s="98" t="s">
        <v>656</v>
      </c>
      <c r="G178" s="99" t="s">
        <v>286</v>
      </c>
      <c r="H178" s="100" t="s">
        <v>477</v>
      </c>
      <c r="I178" s="100">
        <v>1</v>
      </c>
      <c r="J178" s="100"/>
      <c r="K178" s="101">
        <v>7323000</v>
      </c>
      <c r="L178" s="102"/>
      <c r="M178" s="103">
        <v>44927</v>
      </c>
      <c r="N178" s="104">
        <v>0.45</v>
      </c>
      <c r="O178" s="105" t="s">
        <v>464</v>
      </c>
    </row>
    <row r="179" spans="2:15" s="194" customFormat="1" x14ac:dyDescent="0.3">
      <c r="B179" s="193"/>
      <c r="C179" s="164" t="s">
        <v>809</v>
      </c>
      <c r="D179" s="96" t="s">
        <v>654</v>
      </c>
      <c r="E179" s="164" t="s">
        <v>810</v>
      </c>
      <c r="F179" s="98" t="s">
        <v>656</v>
      </c>
      <c r="G179" s="99" t="s">
        <v>340</v>
      </c>
      <c r="H179" s="100" t="s">
        <v>477</v>
      </c>
      <c r="I179" s="100">
        <v>1</v>
      </c>
      <c r="J179" s="100"/>
      <c r="K179" s="101">
        <v>7323000</v>
      </c>
      <c r="L179" s="102"/>
      <c r="M179" s="103">
        <v>44927</v>
      </c>
      <c r="N179" s="104">
        <v>0.45</v>
      </c>
      <c r="O179" s="105" t="s">
        <v>464</v>
      </c>
    </row>
    <row r="180" spans="2:15" s="194" customFormat="1" x14ac:dyDescent="0.3">
      <c r="B180" s="193"/>
      <c r="C180" s="11" t="s">
        <v>828</v>
      </c>
      <c r="D180" s="55" t="s">
        <v>608</v>
      </c>
      <c r="E180" s="11" t="s">
        <v>829</v>
      </c>
      <c r="F180" s="98" t="s">
        <v>609</v>
      </c>
      <c r="G180" s="99" t="s">
        <v>176</v>
      </c>
      <c r="H180" s="100" t="s">
        <v>477</v>
      </c>
      <c r="I180" s="100">
        <v>1</v>
      </c>
      <c r="J180" s="100"/>
      <c r="K180" s="101">
        <v>7323000</v>
      </c>
      <c r="L180" s="102"/>
      <c r="M180" s="103">
        <v>44927</v>
      </c>
      <c r="N180" s="104">
        <v>0.35</v>
      </c>
      <c r="O180" s="105" t="s">
        <v>842</v>
      </c>
    </row>
    <row r="188" spans="2:15" x14ac:dyDescent="0.3">
      <c r="K188" s="115">
        <f>K71*1.1</f>
        <v>6567000.0000000009</v>
      </c>
    </row>
    <row r="189" spans="2:15" x14ac:dyDescent="0.3">
      <c r="K189" s="115">
        <f>K93*1.1</f>
        <v>6916800.0000000009</v>
      </c>
    </row>
    <row r="191" spans="2:15" s="36" customFormat="1" x14ac:dyDescent="0.3">
      <c r="B191" s="31"/>
      <c r="C191" s="31"/>
      <c r="D191" s="31"/>
      <c r="E191" s="114"/>
      <c r="F191" s="108"/>
      <c r="K191" s="115">
        <f>K73*1.07</f>
        <v>5493380</v>
      </c>
      <c r="L191" s="41"/>
      <c r="M191" s="42"/>
      <c r="O191" s="37"/>
    </row>
    <row r="192" spans="2:15" s="36" customFormat="1" x14ac:dyDescent="0.3">
      <c r="B192" s="31"/>
      <c r="C192" s="31"/>
      <c r="D192" s="31"/>
      <c r="E192" s="114"/>
      <c r="F192" s="108"/>
      <c r="L192" s="41"/>
      <c r="M192" s="42"/>
      <c r="O192" s="37"/>
    </row>
  </sheetData>
  <autoFilter ref="B5:P173" xr:uid="{00000000-0009-0000-0000-000007000000}"/>
  <mergeCells count="2">
    <mergeCell ref="B4:G4"/>
    <mergeCell ref="H4:M4"/>
  </mergeCells>
  <phoneticPr fontId="34" type="noConversion"/>
  <dataValidations count="1">
    <dataValidation type="list" allowBlank="1" showInputMessage="1" showErrorMessage="1" sqref="I6:I180" xr:uid="{00000000-0002-0000-0700-000000000000}">
      <formula1>"1,2,3,4,5,6,7"</formula1>
    </dataValidation>
  </dataValidations>
  <hyperlinks>
    <hyperlink ref="P75" r:id="rId1" xr:uid="{00000000-0004-0000-0700-000000000000}"/>
  </hyperlinks>
  <pageMargins left="0.7" right="0.7" top="0.75" bottom="0.75" header="0.3" footer="0.3"/>
  <pageSetup paperSize="9"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84"/>
  <sheetViews>
    <sheetView topLeftCell="A162" workbookViewId="0">
      <selection activeCell="G116" sqref="G116"/>
    </sheetView>
  </sheetViews>
  <sheetFormatPr defaultRowHeight="14.4" x14ac:dyDescent="0.3"/>
  <cols>
    <col min="3" max="3" width="30.6640625" bestFit="1" customWidth="1"/>
  </cols>
  <sheetData>
    <row r="1" spans="1:5" x14ac:dyDescent="0.3">
      <c r="A1" t="s">
        <v>812</v>
      </c>
    </row>
    <row r="2" spans="1:5" x14ac:dyDescent="0.3">
      <c r="A2" t="s">
        <v>431</v>
      </c>
      <c r="B2" t="s">
        <v>432</v>
      </c>
      <c r="C2" t="s">
        <v>813</v>
      </c>
      <c r="D2" t="s">
        <v>814</v>
      </c>
      <c r="E2" t="s">
        <v>815</v>
      </c>
    </row>
    <row r="4" spans="1:5" x14ac:dyDescent="0.3">
      <c r="A4">
        <v>1</v>
      </c>
      <c r="B4">
        <v>2</v>
      </c>
      <c r="C4">
        <v>3</v>
      </c>
      <c r="D4">
        <v>21</v>
      </c>
      <c r="E4">
        <v>22</v>
      </c>
    </row>
    <row r="5" spans="1:5" x14ac:dyDescent="0.3">
      <c r="A5">
        <v>0</v>
      </c>
      <c r="B5" t="s">
        <v>40</v>
      </c>
      <c r="C5" t="s">
        <v>55</v>
      </c>
    </row>
    <row r="6" spans="1:5" x14ac:dyDescent="0.3">
      <c r="A6">
        <v>1</v>
      </c>
      <c r="B6" t="s">
        <v>177</v>
      </c>
      <c r="C6" t="s">
        <v>178</v>
      </c>
      <c r="D6">
        <v>10070571</v>
      </c>
      <c r="E6">
        <v>0</v>
      </c>
    </row>
    <row r="7" spans="1:5" x14ac:dyDescent="0.3">
      <c r="A7">
        <v>2</v>
      </c>
      <c r="B7" t="s">
        <v>59</v>
      </c>
      <c r="C7" t="s">
        <v>60</v>
      </c>
      <c r="D7">
        <v>7769434</v>
      </c>
      <c r="E7">
        <v>0</v>
      </c>
    </row>
    <row r="8" spans="1:5" x14ac:dyDescent="0.3">
      <c r="A8">
        <v>3</v>
      </c>
      <c r="B8" t="s">
        <v>62</v>
      </c>
      <c r="C8" t="s">
        <v>63</v>
      </c>
      <c r="D8">
        <v>5835588</v>
      </c>
      <c r="E8">
        <v>0</v>
      </c>
    </row>
    <row r="9" spans="1:5" x14ac:dyDescent="0.3">
      <c r="A9">
        <v>4</v>
      </c>
      <c r="B9" t="s">
        <v>64</v>
      </c>
      <c r="C9" t="s">
        <v>65</v>
      </c>
      <c r="D9">
        <v>5382145</v>
      </c>
      <c r="E9">
        <v>0</v>
      </c>
    </row>
    <row r="10" spans="1:5" x14ac:dyDescent="0.3">
      <c r="A10">
        <v>5</v>
      </c>
      <c r="B10" t="s">
        <v>67</v>
      </c>
      <c r="C10" t="s">
        <v>68</v>
      </c>
      <c r="D10">
        <v>4477288</v>
      </c>
      <c r="E10">
        <v>0</v>
      </c>
    </row>
    <row r="11" spans="1:5" x14ac:dyDescent="0.3">
      <c r="A11">
        <v>6</v>
      </c>
      <c r="B11" t="s">
        <v>69</v>
      </c>
      <c r="C11" t="s">
        <v>70</v>
      </c>
      <c r="D11">
        <v>2746345</v>
      </c>
      <c r="E11">
        <v>0</v>
      </c>
    </row>
    <row r="12" spans="1:5" x14ac:dyDescent="0.3">
      <c r="A12">
        <v>7</v>
      </c>
      <c r="B12" t="s">
        <v>71</v>
      </c>
      <c r="C12" t="s">
        <v>72</v>
      </c>
      <c r="D12">
        <v>5375241</v>
      </c>
      <c r="E12">
        <v>0</v>
      </c>
    </row>
    <row r="13" spans="1:5" x14ac:dyDescent="0.3">
      <c r="A13">
        <v>8</v>
      </c>
      <c r="B13" t="s">
        <v>73</v>
      </c>
      <c r="C13" t="s">
        <v>74</v>
      </c>
      <c r="D13">
        <v>3765013</v>
      </c>
      <c r="E13">
        <v>0</v>
      </c>
    </row>
    <row r="14" spans="1:5" x14ac:dyDescent="0.3">
      <c r="A14">
        <v>9</v>
      </c>
      <c r="B14" t="s">
        <v>75</v>
      </c>
      <c r="C14" t="s">
        <v>76</v>
      </c>
      <c r="D14">
        <v>6498209</v>
      </c>
      <c r="E14">
        <v>0</v>
      </c>
    </row>
    <row r="15" spans="1:5" x14ac:dyDescent="0.3">
      <c r="A15">
        <v>10</v>
      </c>
      <c r="B15" t="s">
        <v>77</v>
      </c>
      <c r="C15" t="s">
        <v>78</v>
      </c>
      <c r="D15">
        <v>5154972</v>
      </c>
      <c r="E15">
        <v>0</v>
      </c>
    </row>
    <row r="16" spans="1:5" x14ac:dyDescent="0.3">
      <c r="A16">
        <v>0</v>
      </c>
      <c r="B16" t="s">
        <v>40</v>
      </c>
      <c r="C16" t="s">
        <v>79</v>
      </c>
      <c r="D16">
        <v>0</v>
      </c>
    </row>
    <row r="17" spans="1:5" x14ac:dyDescent="0.3">
      <c r="A17">
        <v>11</v>
      </c>
      <c r="B17" t="s">
        <v>80</v>
      </c>
      <c r="C17" t="s">
        <v>81</v>
      </c>
      <c r="D17">
        <v>6485677</v>
      </c>
      <c r="E17">
        <v>0</v>
      </c>
    </row>
    <row r="18" spans="1:5" x14ac:dyDescent="0.3">
      <c r="A18">
        <v>12</v>
      </c>
      <c r="B18" t="s">
        <v>82</v>
      </c>
      <c r="C18" t="s">
        <v>83</v>
      </c>
      <c r="D18">
        <v>0</v>
      </c>
      <c r="E18">
        <v>4327200</v>
      </c>
    </row>
    <row r="19" spans="1:5" x14ac:dyDescent="0.3">
      <c r="A19">
        <v>13</v>
      </c>
      <c r="B19" t="s">
        <v>84</v>
      </c>
      <c r="C19" t="s">
        <v>85</v>
      </c>
      <c r="D19">
        <v>5280936</v>
      </c>
      <c r="E19">
        <v>0</v>
      </c>
    </row>
    <row r="20" spans="1:5" x14ac:dyDescent="0.3">
      <c r="A20">
        <v>14</v>
      </c>
      <c r="B20" t="s">
        <v>86</v>
      </c>
      <c r="C20" t="s">
        <v>87</v>
      </c>
      <c r="D20">
        <v>6004362</v>
      </c>
      <c r="E20">
        <v>0</v>
      </c>
    </row>
    <row r="21" spans="1:5" x14ac:dyDescent="0.3">
      <c r="A21">
        <v>15</v>
      </c>
      <c r="B21" t="s">
        <v>90</v>
      </c>
      <c r="C21" t="s">
        <v>91</v>
      </c>
      <c r="D21">
        <v>3238553</v>
      </c>
      <c r="E21">
        <v>0</v>
      </c>
    </row>
    <row r="22" spans="1:5" x14ac:dyDescent="0.3">
      <c r="A22">
        <v>16</v>
      </c>
      <c r="B22" t="s">
        <v>92</v>
      </c>
      <c r="C22" t="s">
        <v>93</v>
      </c>
      <c r="D22">
        <v>3872827</v>
      </c>
      <c r="E22">
        <v>0</v>
      </c>
    </row>
    <row r="23" spans="1:5" x14ac:dyDescent="0.3">
      <c r="A23">
        <v>17</v>
      </c>
      <c r="B23" t="s">
        <v>88</v>
      </c>
      <c r="C23" t="s">
        <v>89</v>
      </c>
      <c r="D23">
        <v>0</v>
      </c>
      <c r="E23">
        <v>0</v>
      </c>
    </row>
    <row r="24" spans="1:5" x14ac:dyDescent="0.3">
      <c r="A24">
        <v>0</v>
      </c>
      <c r="B24" t="s">
        <v>40</v>
      </c>
      <c r="C24" t="s">
        <v>94</v>
      </c>
      <c r="D24">
        <v>0</v>
      </c>
    </row>
    <row r="25" spans="1:5" x14ac:dyDescent="0.3">
      <c r="A25">
        <v>18</v>
      </c>
      <c r="B25" t="s">
        <v>95</v>
      </c>
      <c r="C25" t="s">
        <v>96</v>
      </c>
      <c r="D25">
        <v>9631502</v>
      </c>
      <c r="E25">
        <v>0</v>
      </c>
    </row>
    <row r="26" spans="1:5" x14ac:dyDescent="0.3">
      <c r="A26">
        <v>19</v>
      </c>
      <c r="B26" t="s">
        <v>97</v>
      </c>
      <c r="C26" t="s">
        <v>98</v>
      </c>
      <c r="D26">
        <v>4088670</v>
      </c>
      <c r="E26">
        <v>0</v>
      </c>
    </row>
    <row r="27" spans="1:5" x14ac:dyDescent="0.3">
      <c r="A27">
        <v>20</v>
      </c>
      <c r="B27" t="s">
        <v>99</v>
      </c>
      <c r="C27" t="s">
        <v>100</v>
      </c>
      <c r="D27">
        <v>4128183</v>
      </c>
      <c r="E27">
        <v>0</v>
      </c>
    </row>
    <row r="28" spans="1:5" x14ac:dyDescent="0.3">
      <c r="A28">
        <v>21</v>
      </c>
      <c r="B28" t="s">
        <v>101</v>
      </c>
      <c r="C28" t="s">
        <v>102</v>
      </c>
      <c r="D28">
        <v>4128183</v>
      </c>
      <c r="E28">
        <v>0</v>
      </c>
    </row>
    <row r="29" spans="1:5" x14ac:dyDescent="0.3">
      <c r="A29">
        <v>22</v>
      </c>
      <c r="B29" t="s">
        <v>103</v>
      </c>
      <c r="C29" t="s">
        <v>104</v>
      </c>
      <c r="D29">
        <v>3853070</v>
      </c>
      <c r="E29">
        <v>0</v>
      </c>
    </row>
    <row r="30" spans="1:5" x14ac:dyDescent="0.3">
      <c r="A30">
        <v>23</v>
      </c>
      <c r="B30" t="s">
        <v>105</v>
      </c>
      <c r="C30" t="s">
        <v>106</v>
      </c>
      <c r="D30">
        <v>3853070</v>
      </c>
      <c r="E30">
        <v>0</v>
      </c>
    </row>
    <row r="31" spans="1:5" x14ac:dyDescent="0.3">
      <c r="A31">
        <v>24</v>
      </c>
      <c r="B31" t="s">
        <v>107</v>
      </c>
      <c r="C31" t="s">
        <v>108</v>
      </c>
      <c r="D31">
        <v>3616976</v>
      </c>
      <c r="E31">
        <v>0</v>
      </c>
    </row>
    <row r="32" spans="1:5" x14ac:dyDescent="0.3">
      <c r="A32">
        <v>25</v>
      </c>
      <c r="B32" t="s">
        <v>109</v>
      </c>
      <c r="C32" t="s">
        <v>110</v>
      </c>
      <c r="D32">
        <v>2713284</v>
      </c>
      <c r="E32">
        <v>0</v>
      </c>
    </row>
    <row r="33" spans="1:5" x14ac:dyDescent="0.3">
      <c r="A33">
        <v>0</v>
      </c>
      <c r="B33" t="s">
        <v>40</v>
      </c>
      <c r="C33" t="s">
        <v>112</v>
      </c>
      <c r="D33">
        <v>0</v>
      </c>
    </row>
    <row r="34" spans="1:5" x14ac:dyDescent="0.3">
      <c r="A34">
        <v>26</v>
      </c>
      <c r="B34" t="s">
        <v>113</v>
      </c>
      <c r="C34" t="s">
        <v>114</v>
      </c>
      <c r="D34">
        <v>14244907</v>
      </c>
      <c r="E34">
        <v>0</v>
      </c>
    </row>
    <row r="35" spans="1:5" x14ac:dyDescent="0.3">
      <c r="A35">
        <v>27</v>
      </c>
      <c r="B35" t="s">
        <v>116</v>
      </c>
      <c r="C35" t="s">
        <v>117</v>
      </c>
      <c r="D35">
        <v>7937945</v>
      </c>
      <c r="E35">
        <v>0</v>
      </c>
    </row>
    <row r="36" spans="1:5" x14ac:dyDescent="0.3">
      <c r="A36">
        <v>28</v>
      </c>
      <c r="B36" t="s">
        <v>118</v>
      </c>
      <c r="C36" t="s">
        <v>119</v>
      </c>
      <c r="D36">
        <v>6086793</v>
      </c>
      <c r="E36">
        <v>0</v>
      </c>
    </row>
    <row r="37" spans="1:5" x14ac:dyDescent="0.3">
      <c r="A37">
        <v>29</v>
      </c>
      <c r="B37" t="s">
        <v>121</v>
      </c>
      <c r="C37" t="s">
        <v>122</v>
      </c>
      <c r="D37">
        <v>3946375</v>
      </c>
      <c r="E37">
        <v>0</v>
      </c>
    </row>
    <row r="38" spans="1:5" x14ac:dyDescent="0.3">
      <c r="A38">
        <v>30</v>
      </c>
      <c r="B38" t="s">
        <v>123</v>
      </c>
      <c r="C38" t="s">
        <v>124</v>
      </c>
      <c r="D38">
        <v>4641868</v>
      </c>
      <c r="E38">
        <v>0</v>
      </c>
    </row>
    <row r="39" spans="1:5" x14ac:dyDescent="0.3">
      <c r="A39">
        <v>31</v>
      </c>
      <c r="B39" t="s">
        <v>125</v>
      </c>
      <c r="C39" t="s">
        <v>126</v>
      </c>
      <c r="D39">
        <v>0</v>
      </c>
      <c r="E39">
        <v>0</v>
      </c>
    </row>
    <row r="40" spans="1:5" x14ac:dyDescent="0.3">
      <c r="A40">
        <v>32</v>
      </c>
      <c r="B40" t="s">
        <v>129</v>
      </c>
      <c r="C40" t="s">
        <v>130</v>
      </c>
      <c r="D40">
        <v>4530886</v>
      </c>
    </row>
    <row r="41" spans="1:5" x14ac:dyDescent="0.3">
      <c r="A41">
        <v>0</v>
      </c>
      <c r="B41" t="s">
        <v>40</v>
      </c>
      <c r="C41" t="s">
        <v>131</v>
      </c>
      <c r="D41">
        <v>0</v>
      </c>
      <c r="E41">
        <v>0</v>
      </c>
    </row>
    <row r="42" spans="1:5" x14ac:dyDescent="0.3">
      <c r="A42">
        <v>33</v>
      </c>
      <c r="B42" t="s">
        <v>132</v>
      </c>
      <c r="C42" t="s">
        <v>133</v>
      </c>
      <c r="D42">
        <v>10923976</v>
      </c>
      <c r="E42">
        <v>0</v>
      </c>
    </row>
    <row r="43" spans="1:5" x14ac:dyDescent="0.3">
      <c r="A43">
        <v>34</v>
      </c>
      <c r="B43" t="s">
        <v>134</v>
      </c>
      <c r="C43" t="s">
        <v>135</v>
      </c>
      <c r="D43">
        <v>7173978</v>
      </c>
      <c r="E43">
        <v>0</v>
      </c>
    </row>
    <row r="44" spans="1:5" x14ac:dyDescent="0.3">
      <c r="A44">
        <v>35</v>
      </c>
      <c r="B44" t="s">
        <v>136</v>
      </c>
      <c r="C44" t="s">
        <v>137</v>
      </c>
      <c r="D44">
        <v>4053658</v>
      </c>
      <c r="E44">
        <v>0</v>
      </c>
    </row>
    <row r="45" spans="1:5" x14ac:dyDescent="0.3">
      <c r="A45">
        <v>36</v>
      </c>
      <c r="B45" t="s">
        <v>138</v>
      </c>
      <c r="C45" t="s">
        <v>139</v>
      </c>
      <c r="D45">
        <v>5097906</v>
      </c>
      <c r="E45">
        <v>0</v>
      </c>
    </row>
    <row r="46" spans="1:5" x14ac:dyDescent="0.3">
      <c r="A46">
        <v>37</v>
      </c>
      <c r="B46" t="s">
        <v>140</v>
      </c>
      <c r="C46" t="s">
        <v>141</v>
      </c>
      <c r="D46">
        <v>3162376</v>
      </c>
      <c r="E46">
        <v>0</v>
      </c>
    </row>
    <row r="47" spans="1:5" x14ac:dyDescent="0.3">
      <c r="A47">
        <v>38</v>
      </c>
      <c r="B47" t="s">
        <v>174</v>
      </c>
      <c r="C47" t="s">
        <v>175</v>
      </c>
      <c r="D47">
        <v>4927308</v>
      </c>
      <c r="E47">
        <v>0</v>
      </c>
    </row>
    <row r="48" spans="1:5" x14ac:dyDescent="0.3">
      <c r="A48">
        <v>39</v>
      </c>
      <c r="B48" t="s">
        <v>142</v>
      </c>
      <c r="C48" t="s">
        <v>143</v>
      </c>
      <c r="D48">
        <v>3738043</v>
      </c>
    </row>
    <row r="49" spans="1:5" x14ac:dyDescent="0.3">
      <c r="A49">
        <v>0</v>
      </c>
      <c r="B49" t="s">
        <v>40</v>
      </c>
      <c r="C49" t="s">
        <v>144</v>
      </c>
      <c r="D49">
        <v>0</v>
      </c>
      <c r="E49">
        <v>0</v>
      </c>
    </row>
    <row r="50" spans="1:5" x14ac:dyDescent="0.3">
      <c r="A50">
        <v>40</v>
      </c>
      <c r="B50" t="s">
        <v>145</v>
      </c>
      <c r="C50" t="s">
        <v>146</v>
      </c>
      <c r="D50">
        <v>11374880</v>
      </c>
      <c r="E50">
        <v>0</v>
      </c>
    </row>
    <row r="51" spans="1:5" x14ac:dyDescent="0.3">
      <c r="A51">
        <v>41</v>
      </c>
      <c r="B51" t="s">
        <v>147</v>
      </c>
      <c r="C51" t="s">
        <v>148</v>
      </c>
      <c r="D51">
        <v>10385762</v>
      </c>
      <c r="E51">
        <v>0</v>
      </c>
    </row>
    <row r="52" spans="1:5" x14ac:dyDescent="0.3">
      <c r="A52">
        <v>42</v>
      </c>
      <c r="B52" t="s">
        <v>149</v>
      </c>
      <c r="C52" t="s">
        <v>150</v>
      </c>
      <c r="D52">
        <v>5430666</v>
      </c>
      <c r="E52">
        <v>0</v>
      </c>
    </row>
    <row r="53" spans="1:5" x14ac:dyDescent="0.3">
      <c r="A53">
        <v>43</v>
      </c>
      <c r="B53" t="s">
        <v>151</v>
      </c>
      <c r="C53" t="s">
        <v>152</v>
      </c>
      <c r="D53">
        <v>5790576</v>
      </c>
      <c r="E53">
        <v>0</v>
      </c>
    </row>
    <row r="54" spans="1:5" x14ac:dyDescent="0.3">
      <c r="A54">
        <v>44</v>
      </c>
      <c r="B54" t="s">
        <v>153</v>
      </c>
      <c r="C54" t="s">
        <v>154</v>
      </c>
      <c r="D54">
        <v>5454146</v>
      </c>
      <c r="E54">
        <v>0</v>
      </c>
    </row>
    <row r="55" spans="1:5" x14ac:dyDescent="0.3">
      <c r="A55">
        <v>45</v>
      </c>
      <c r="B55" t="s">
        <v>161</v>
      </c>
      <c r="C55" t="s">
        <v>162</v>
      </c>
      <c r="D55">
        <v>4543771</v>
      </c>
      <c r="E55">
        <v>0</v>
      </c>
    </row>
    <row r="56" spans="1:5" x14ac:dyDescent="0.3">
      <c r="A56">
        <v>46</v>
      </c>
      <c r="B56" t="s">
        <v>155</v>
      </c>
      <c r="C56" t="s">
        <v>156</v>
      </c>
      <c r="D56">
        <v>4982807</v>
      </c>
      <c r="E56">
        <v>0</v>
      </c>
    </row>
    <row r="57" spans="1:5" x14ac:dyDescent="0.3">
      <c r="A57">
        <v>47</v>
      </c>
      <c r="B57" t="s">
        <v>157</v>
      </c>
      <c r="C57" t="s">
        <v>158</v>
      </c>
      <c r="D57">
        <v>5097906</v>
      </c>
      <c r="E57">
        <v>0</v>
      </c>
    </row>
    <row r="58" spans="1:5" x14ac:dyDescent="0.3">
      <c r="A58">
        <v>48</v>
      </c>
      <c r="B58" t="s">
        <v>159</v>
      </c>
      <c r="C58" t="s">
        <v>160</v>
      </c>
      <c r="D58">
        <v>5125752</v>
      </c>
    </row>
    <row r="59" spans="1:5" x14ac:dyDescent="0.3">
      <c r="A59">
        <v>0</v>
      </c>
      <c r="B59" t="s">
        <v>40</v>
      </c>
      <c r="C59" t="s">
        <v>163</v>
      </c>
      <c r="D59">
        <v>0</v>
      </c>
      <c r="E59">
        <v>0</v>
      </c>
    </row>
    <row r="60" spans="1:5" x14ac:dyDescent="0.3">
      <c r="A60">
        <v>49</v>
      </c>
      <c r="B60" t="s">
        <v>164</v>
      </c>
      <c r="C60" t="s">
        <v>165</v>
      </c>
      <c r="D60">
        <v>10522882</v>
      </c>
      <c r="E60">
        <v>0</v>
      </c>
    </row>
    <row r="61" spans="1:5" x14ac:dyDescent="0.3">
      <c r="A61">
        <v>50</v>
      </c>
      <c r="B61" t="s">
        <v>166</v>
      </c>
      <c r="C61" t="s">
        <v>167</v>
      </c>
      <c r="D61">
        <v>8007397</v>
      </c>
      <c r="E61">
        <v>0</v>
      </c>
    </row>
    <row r="62" spans="1:5" x14ac:dyDescent="0.3">
      <c r="A62">
        <v>51</v>
      </c>
      <c r="B62" t="s">
        <v>188</v>
      </c>
      <c r="C62" t="s">
        <v>189</v>
      </c>
      <c r="D62">
        <v>4538376</v>
      </c>
      <c r="E62">
        <v>0</v>
      </c>
    </row>
    <row r="63" spans="1:5" x14ac:dyDescent="0.3">
      <c r="A63">
        <v>52</v>
      </c>
      <c r="B63" t="s">
        <v>168</v>
      </c>
      <c r="C63" t="s">
        <v>169</v>
      </c>
      <c r="D63">
        <v>4853553</v>
      </c>
      <c r="E63">
        <v>0</v>
      </c>
    </row>
    <row r="64" spans="1:5" x14ac:dyDescent="0.3">
      <c r="A64">
        <v>53</v>
      </c>
      <c r="B64" t="s">
        <v>170</v>
      </c>
      <c r="C64" t="s">
        <v>171</v>
      </c>
      <c r="D64">
        <v>3498502</v>
      </c>
      <c r="E64">
        <v>0</v>
      </c>
    </row>
    <row r="65" spans="1:5" x14ac:dyDescent="0.3">
      <c r="A65">
        <v>54</v>
      </c>
      <c r="B65" t="s">
        <v>172</v>
      </c>
      <c r="C65" t="s">
        <v>173</v>
      </c>
      <c r="D65">
        <v>1452480</v>
      </c>
    </row>
    <row r="66" spans="1:5" x14ac:dyDescent="0.3">
      <c r="A66">
        <v>0</v>
      </c>
      <c r="B66" t="s">
        <v>40</v>
      </c>
      <c r="C66" t="s">
        <v>176</v>
      </c>
      <c r="D66">
        <v>0</v>
      </c>
      <c r="E66">
        <v>0</v>
      </c>
    </row>
    <row r="67" spans="1:5" x14ac:dyDescent="0.3">
      <c r="A67">
        <v>55</v>
      </c>
      <c r="B67" t="s">
        <v>56</v>
      </c>
      <c r="C67" t="s">
        <v>57</v>
      </c>
      <c r="D67">
        <v>11274661</v>
      </c>
      <c r="E67">
        <v>0</v>
      </c>
    </row>
    <row r="68" spans="1:5" x14ac:dyDescent="0.3">
      <c r="A68">
        <v>56</v>
      </c>
      <c r="B68" t="s">
        <v>179</v>
      </c>
      <c r="C68" t="s">
        <v>180</v>
      </c>
      <c r="D68">
        <v>10385762</v>
      </c>
      <c r="E68">
        <v>0</v>
      </c>
    </row>
    <row r="69" spans="1:5" x14ac:dyDescent="0.3">
      <c r="A69">
        <v>57</v>
      </c>
      <c r="B69" t="s">
        <v>182</v>
      </c>
      <c r="C69" t="s">
        <v>183</v>
      </c>
      <c r="D69">
        <v>9104732</v>
      </c>
      <c r="E69">
        <v>0</v>
      </c>
    </row>
    <row r="70" spans="1:5" x14ac:dyDescent="0.3">
      <c r="A70">
        <v>58</v>
      </c>
      <c r="B70" t="s">
        <v>184</v>
      </c>
      <c r="C70" t="s">
        <v>185</v>
      </c>
      <c r="D70">
        <v>6313710</v>
      </c>
      <c r="E70">
        <v>0</v>
      </c>
    </row>
    <row r="71" spans="1:5" x14ac:dyDescent="0.3">
      <c r="A71">
        <v>59</v>
      </c>
      <c r="B71" t="s">
        <v>186</v>
      </c>
      <c r="C71" t="s">
        <v>187</v>
      </c>
      <c r="D71">
        <v>4925700</v>
      </c>
      <c r="E71">
        <v>0</v>
      </c>
    </row>
    <row r="72" spans="1:5" x14ac:dyDescent="0.3">
      <c r="A72">
        <v>60</v>
      </c>
      <c r="B72" t="s">
        <v>190</v>
      </c>
      <c r="C72" t="s">
        <v>191</v>
      </c>
      <c r="D72">
        <v>4879729</v>
      </c>
      <c r="E72">
        <v>0</v>
      </c>
    </row>
    <row r="73" spans="1:5" x14ac:dyDescent="0.3">
      <c r="A73">
        <v>61</v>
      </c>
      <c r="B73" t="s">
        <v>192</v>
      </c>
      <c r="C73" t="s">
        <v>193</v>
      </c>
      <c r="D73">
        <v>5062091</v>
      </c>
      <c r="E73">
        <v>0</v>
      </c>
    </row>
    <row r="74" spans="1:5" x14ac:dyDescent="0.3">
      <c r="A74">
        <v>62</v>
      </c>
      <c r="B74" t="s">
        <v>194</v>
      </c>
      <c r="C74" t="s">
        <v>195</v>
      </c>
      <c r="D74">
        <v>5036267</v>
      </c>
      <c r="E74">
        <v>0</v>
      </c>
    </row>
    <row r="75" spans="1:5" x14ac:dyDescent="0.3">
      <c r="A75">
        <v>63</v>
      </c>
      <c r="B75" t="s">
        <v>196</v>
      </c>
      <c r="C75" t="s">
        <v>197</v>
      </c>
      <c r="D75">
        <v>4008988</v>
      </c>
      <c r="E75">
        <v>0</v>
      </c>
    </row>
    <row r="76" spans="1:5" x14ac:dyDescent="0.3">
      <c r="A76">
        <v>64</v>
      </c>
      <c r="B76" t="s">
        <v>198</v>
      </c>
      <c r="C76" t="s">
        <v>199</v>
      </c>
      <c r="D76">
        <v>4571617</v>
      </c>
      <c r="E76">
        <v>0</v>
      </c>
    </row>
    <row r="77" spans="1:5" x14ac:dyDescent="0.3">
      <c r="A77">
        <v>65</v>
      </c>
      <c r="B77" t="s">
        <v>201</v>
      </c>
      <c r="C77" t="s">
        <v>202</v>
      </c>
      <c r="D77">
        <v>5059408</v>
      </c>
      <c r="E77">
        <v>0</v>
      </c>
    </row>
    <row r="78" spans="1:5" x14ac:dyDescent="0.3">
      <c r="A78">
        <v>66</v>
      </c>
      <c r="B78" t="s">
        <v>203</v>
      </c>
      <c r="C78" t="s">
        <v>204</v>
      </c>
      <c r="D78">
        <v>1878724</v>
      </c>
    </row>
    <row r="79" spans="1:5" x14ac:dyDescent="0.3">
      <c r="A79">
        <v>67</v>
      </c>
      <c r="B79" t="s">
        <v>206</v>
      </c>
      <c r="C79" t="s">
        <v>207</v>
      </c>
      <c r="D79">
        <v>3574034</v>
      </c>
      <c r="E79">
        <v>0</v>
      </c>
    </row>
    <row r="80" spans="1:5" x14ac:dyDescent="0.3">
      <c r="A80">
        <v>68</v>
      </c>
      <c r="B80" t="s">
        <v>209</v>
      </c>
      <c r="C80" t="s">
        <v>210</v>
      </c>
      <c r="D80">
        <v>3366384</v>
      </c>
      <c r="E80">
        <v>0</v>
      </c>
    </row>
    <row r="81" spans="1:5" x14ac:dyDescent="0.3">
      <c r="A81">
        <v>0</v>
      </c>
      <c r="B81" t="s">
        <v>40</v>
      </c>
      <c r="C81" t="s">
        <v>211</v>
      </c>
      <c r="D81">
        <v>0</v>
      </c>
      <c r="E81">
        <v>0</v>
      </c>
    </row>
    <row r="82" spans="1:5" x14ac:dyDescent="0.3">
      <c r="A82">
        <v>69</v>
      </c>
      <c r="B82" t="s">
        <v>212</v>
      </c>
      <c r="C82" t="s">
        <v>213</v>
      </c>
      <c r="D82">
        <v>11921272</v>
      </c>
      <c r="E82">
        <v>0</v>
      </c>
    </row>
    <row r="83" spans="1:5" x14ac:dyDescent="0.3">
      <c r="A83">
        <v>70</v>
      </c>
      <c r="B83" t="s">
        <v>215</v>
      </c>
      <c r="C83" t="s">
        <v>216</v>
      </c>
      <c r="D83">
        <v>7232395</v>
      </c>
      <c r="E83">
        <v>0</v>
      </c>
    </row>
    <row r="84" spans="1:5" x14ac:dyDescent="0.3">
      <c r="A84">
        <v>71</v>
      </c>
      <c r="B84" t="s">
        <v>220</v>
      </c>
      <c r="C84" t="s">
        <v>221</v>
      </c>
      <c r="D84">
        <v>7003573</v>
      </c>
      <c r="E84">
        <v>0</v>
      </c>
    </row>
    <row r="85" spans="1:5" x14ac:dyDescent="0.3">
      <c r="A85">
        <v>72</v>
      </c>
      <c r="B85" t="s">
        <v>218</v>
      </c>
      <c r="C85" t="s">
        <v>219</v>
      </c>
      <c r="D85">
        <v>7707937</v>
      </c>
      <c r="E85">
        <v>0</v>
      </c>
    </row>
    <row r="86" spans="1:5" x14ac:dyDescent="0.3">
      <c r="A86">
        <v>73</v>
      </c>
      <c r="B86" t="s">
        <v>239</v>
      </c>
      <c r="C86" t="s">
        <v>240</v>
      </c>
      <c r="D86">
        <v>4631357</v>
      </c>
      <c r="E86">
        <v>0</v>
      </c>
    </row>
    <row r="87" spans="1:5" x14ac:dyDescent="0.3">
      <c r="A87">
        <v>74</v>
      </c>
      <c r="B87" t="s">
        <v>236</v>
      </c>
      <c r="C87" t="s">
        <v>237</v>
      </c>
      <c r="D87">
        <v>6049877</v>
      </c>
      <c r="E87">
        <v>0</v>
      </c>
    </row>
    <row r="88" spans="1:5" x14ac:dyDescent="0.3">
      <c r="A88">
        <v>75</v>
      </c>
      <c r="B88" t="s">
        <v>241</v>
      </c>
      <c r="C88" t="s">
        <v>242</v>
      </c>
      <c r="D88">
        <v>5726188</v>
      </c>
      <c r="E88">
        <v>0</v>
      </c>
    </row>
    <row r="89" spans="1:5" x14ac:dyDescent="0.3">
      <c r="A89">
        <v>76</v>
      </c>
      <c r="B89" t="s">
        <v>243</v>
      </c>
      <c r="C89" t="s">
        <v>244</v>
      </c>
      <c r="D89">
        <v>5974164</v>
      </c>
      <c r="E89">
        <v>0</v>
      </c>
    </row>
    <row r="90" spans="1:5" x14ac:dyDescent="0.3">
      <c r="A90">
        <v>77</v>
      </c>
      <c r="B90" t="s">
        <v>230</v>
      </c>
      <c r="C90" t="s">
        <v>231</v>
      </c>
      <c r="D90">
        <v>5009051</v>
      </c>
      <c r="E90">
        <v>0</v>
      </c>
    </row>
    <row r="91" spans="1:5" x14ac:dyDescent="0.3">
      <c r="A91">
        <v>78</v>
      </c>
      <c r="B91" t="s">
        <v>232</v>
      </c>
      <c r="C91" t="s">
        <v>233</v>
      </c>
      <c r="D91">
        <v>6030837</v>
      </c>
      <c r="E91">
        <v>0</v>
      </c>
    </row>
    <row r="92" spans="1:5" x14ac:dyDescent="0.3">
      <c r="A92">
        <v>79</v>
      </c>
      <c r="B92" t="s">
        <v>224</v>
      </c>
      <c r="C92" t="s">
        <v>225</v>
      </c>
      <c r="D92">
        <v>5066192</v>
      </c>
      <c r="E92">
        <v>0</v>
      </c>
    </row>
    <row r="93" spans="1:5" x14ac:dyDescent="0.3">
      <c r="A93">
        <v>80</v>
      </c>
      <c r="B93" t="s">
        <v>226</v>
      </c>
      <c r="C93" t="s">
        <v>227</v>
      </c>
      <c r="D93">
        <v>5260301</v>
      </c>
      <c r="E93">
        <v>0</v>
      </c>
    </row>
    <row r="94" spans="1:5" x14ac:dyDescent="0.3">
      <c r="A94">
        <v>81</v>
      </c>
      <c r="B94" t="s">
        <v>222</v>
      </c>
      <c r="C94" t="s">
        <v>223</v>
      </c>
      <c r="D94">
        <v>6351167</v>
      </c>
      <c r="E94">
        <v>0</v>
      </c>
    </row>
    <row r="95" spans="1:5" x14ac:dyDescent="0.3">
      <c r="A95">
        <v>82</v>
      </c>
      <c r="B95" t="s">
        <v>228</v>
      </c>
      <c r="C95" t="s">
        <v>229</v>
      </c>
      <c r="D95">
        <v>6686280</v>
      </c>
    </row>
    <row r="96" spans="1:5" x14ac:dyDescent="0.3">
      <c r="A96">
        <v>83</v>
      </c>
      <c r="B96" t="s">
        <v>234</v>
      </c>
      <c r="C96" t="s">
        <v>235</v>
      </c>
      <c r="D96">
        <v>4665669</v>
      </c>
      <c r="E96">
        <v>0</v>
      </c>
    </row>
    <row r="97" spans="1:5" x14ac:dyDescent="0.3">
      <c r="A97">
        <v>84</v>
      </c>
      <c r="B97" t="s">
        <v>245</v>
      </c>
      <c r="C97" t="s">
        <v>246</v>
      </c>
      <c r="D97">
        <v>5059408</v>
      </c>
      <c r="E97">
        <v>0</v>
      </c>
    </row>
    <row r="98" spans="1:5" x14ac:dyDescent="0.3">
      <c r="A98">
        <v>0</v>
      </c>
      <c r="B98" t="s">
        <v>40</v>
      </c>
      <c r="C98" t="s">
        <v>247</v>
      </c>
      <c r="D98">
        <v>0</v>
      </c>
      <c r="E98">
        <v>0</v>
      </c>
    </row>
    <row r="99" spans="1:5" x14ac:dyDescent="0.3">
      <c r="A99">
        <v>85</v>
      </c>
      <c r="B99" t="s">
        <v>248</v>
      </c>
      <c r="C99" t="s">
        <v>249</v>
      </c>
      <c r="D99">
        <v>15673649</v>
      </c>
      <c r="E99">
        <v>0</v>
      </c>
    </row>
    <row r="100" spans="1:5" x14ac:dyDescent="0.3">
      <c r="A100">
        <v>86</v>
      </c>
      <c r="B100" t="s">
        <v>252</v>
      </c>
      <c r="C100" t="s">
        <v>253</v>
      </c>
      <c r="D100">
        <v>9296803</v>
      </c>
      <c r="E100">
        <v>0</v>
      </c>
    </row>
    <row r="101" spans="1:5" x14ac:dyDescent="0.3">
      <c r="A101">
        <v>87</v>
      </c>
      <c r="B101" t="s">
        <v>250</v>
      </c>
      <c r="C101" t="s">
        <v>251</v>
      </c>
      <c r="D101">
        <v>8251683</v>
      </c>
      <c r="E101">
        <v>0</v>
      </c>
    </row>
    <row r="102" spans="1:5" x14ac:dyDescent="0.3">
      <c r="A102">
        <v>88</v>
      </c>
      <c r="B102" t="s">
        <v>254</v>
      </c>
      <c r="C102" t="s">
        <v>255</v>
      </c>
      <c r="D102">
        <v>6174242</v>
      </c>
      <c r="E102">
        <v>0</v>
      </c>
    </row>
    <row r="103" spans="1:5" x14ac:dyDescent="0.3">
      <c r="A103">
        <v>89</v>
      </c>
      <c r="B103" t="s">
        <v>256</v>
      </c>
      <c r="C103" t="s">
        <v>257</v>
      </c>
      <c r="D103">
        <v>5351786</v>
      </c>
      <c r="E103">
        <v>0</v>
      </c>
    </row>
    <row r="104" spans="1:5" x14ac:dyDescent="0.3">
      <c r="A104">
        <v>90</v>
      </c>
      <c r="B104" t="s">
        <v>258</v>
      </c>
      <c r="C104" t="s">
        <v>259</v>
      </c>
      <c r="D104">
        <v>5458512</v>
      </c>
      <c r="E104">
        <v>0</v>
      </c>
    </row>
    <row r="105" spans="1:5" x14ac:dyDescent="0.3">
      <c r="A105">
        <v>91</v>
      </c>
      <c r="B105" t="s">
        <v>278</v>
      </c>
      <c r="C105" t="s">
        <v>279</v>
      </c>
      <c r="D105">
        <v>4669438</v>
      </c>
      <c r="E105">
        <v>0</v>
      </c>
    </row>
    <row r="106" spans="1:5" x14ac:dyDescent="0.3">
      <c r="A106">
        <v>92</v>
      </c>
      <c r="B106" t="s">
        <v>280</v>
      </c>
      <c r="C106" t="s">
        <v>281</v>
      </c>
      <c r="D106">
        <v>5954674</v>
      </c>
      <c r="E106">
        <v>0</v>
      </c>
    </row>
    <row r="107" spans="1:5" x14ac:dyDescent="0.3">
      <c r="A107">
        <v>93</v>
      </c>
      <c r="B107" t="s">
        <v>282</v>
      </c>
      <c r="C107" t="s">
        <v>283</v>
      </c>
      <c r="D107">
        <v>6173641</v>
      </c>
      <c r="E107">
        <v>0</v>
      </c>
    </row>
    <row r="108" spans="1:5" x14ac:dyDescent="0.3">
      <c r="A108">
        <v>94</v>
      </c>
      <c r="B108" t="s">
        <v>260</v>
      </c>
      <c r="C108" t="s">
        <v>261</v>
      </c>
      <c r="D108">
        <v>5125752</v>
      </c>
      <c r="E108">
        <v>0</v>
      </c>
    </row>
    <row r="109" spans="1:5" x14ac:dyDescent="0.3">
      <c r="A109">
        <v>95</v>
      </c>
      <c r="B109" t="s">
        <v>262</v>
      </c>
      <c r="C109" t="s">
        <v>263</v>
      </c>
      <c r="D109">
        <v>7106627</v>
      </c>
      <c r="E109">
        <v>0</v>
      </c>
    </row>
    <row r="110" spans="1:5" x14ac:dyDescent="0.3">
      <c r="A110">
        <v>96</v>
      </c>
      <c r="B110" t="s">
        <v>264</v>
      </c>
      <c r="C110" t="s">
        <v>265</v>
      </c>
      <c r="D110">
        <v>6509147</v>
      </c>
      <c r="E110">
        <v>0</v>
      </c>
    </row>
    <row r="111" spans="1:5" x14ac:dyDescent="0.3">
      <c r="A111">
        <v>97</v>
      </c>
      <c r="B111" t="s">
        <v>266</v>
      </c>
      <c r="C111" t="s">
        <v>267</v>
      </c>
      <c r="D111">
        <v>6649654</v>
      </c>
      <c r="E111">
        <v>0</v>
      </c>
    </row>
    <row r="112" spans="1:5" x14ac:dyDescent="0.3">
      <c r="A112">
        <v>98</v>
      </c>
      <c r="B112" t="s">
        <v>268</v>
      </c>
      <c r="C112" t="s">
        <v>269</v>
      </c>
      <c r="D112">
        <v>5973715</v>
      </c>
      <c r="E112">
        <v>0</v>
      </c>
    </row>
    <row r="113" spans="1:5" x14ac:dyDescent="0.3">
      <c r="A113">
        <v>99</v>
      </c>
      <c r="B113" t="s">
        <v>270</v>
      </c>
      <c r="C113" t="s">
        <v>271</v>
      </c>
      <c r="D113">
        <v>5307872</v>
      </c>
      <c r="E113">
        <v>0</v>
      </c>
    </row>
    <row r="114" spans="1:5" x14ac:dyDescent="0.3">
      <c r="A114">
        <v>100</v>
      </c>
      <c r="B114" t="s">
        <v>272</v>
      </c>
      <c r="C114" t="s">
        <v>273</v>
      </c>
      <c r="D114">
        <v>4783682</v>
      </c>
      <c r="E114">
        <v>0</v>
      </c>
    </row>
    <row r="115" spans="1:5" x14ac:dyDescent="0.3">
      <c r="A115">
        <v>101</v>
      </c>
      <c r="B115" t="s">
        <v>274</v>
      </c>
      <c r="C115" t="s">
        <v>275</v>
      </c>
      <c r="D115">
        <v>6354526</v>
      </c>
    </row>
    <row r="116" spans="1:5" x14ac:dyDescent="0.3">
      <c r="A116">
        <v>102</v>
      </c>
      <c r="B116" t="s">
        <v>284</v>
      </c>
      <c r="C116" t="s">
        <v>285</v>
      </c>
      <c r="D116">
        <v>3296966</v>
      </c>
      <c r="E116">
        <v>0</v>
      </c>
    </row>
    <row r="117" spans="1:5" x14ac:dyDescent="0.3">
      <c r="A117">
        <v>0</v>
      </c>
      <c r="B117" t="s">
        <v>40</v>
      </c>
      <c r="C117" t="s">
        <v>286</v>
      </c>
      <c r="D117">
        <v>0</v>
      </c>
      <c r="E117">
        <v>0</v>
      </c>
    </row>
    <row r="118" spans="1:5" x14ac:dyDescent="0.3">
      <c r="A118">
        <v>103</v>
      </c>
      <c r="B118" t="s">
        <v>287</v>
      </c>
      <c r="C118" t="s">
        <v>288</v>
      </c>
      <c r="D118">
        <v>19440649</v>
      </c>
      <c r="E118">
        <v>0</v>
      </c>
    </row>
    <row r="119" spans="1:5" x14ac:dyDescent="0.3">
      <c r="A119">
        <v>104</v>
      </c>
      <c r="B119" t="s">
        <v>291</v>
      </c>
      <c r="C119" t="s">
        <v>292</v>
      </c>
      <c r="D119">
        <v>7787461</v>
      </c>
      <c r="E119">
        <v>0</v>
      </c>
    </row>
    <row r="120" spans="1:5" x14ac:dyDescent="0.3">
      <c r="A120">
        <v>105</v>
      </c>
      <c r="B120" t="s">
        <v>293</v>
      </c>
      <c r="C120" t="s">
        <v>294</v>
      </c>
      <c r="D120">
        <v>3949765</v>
      </c>
      <c r="E120">
        <v>0</v>
      </c>
    </row>
    <row r="121" spans="1:5" x14ac:dyDescent="0.3">
      <c r="A121">
        <v>106</v>
      </c>
      <c r="B121" t="s">
        <v>289</v>
      </c>
      <c r="C121" t="s">
        <v>290</v>
      </c>
      <c r="D121">
        <v>9681111</v>
      </c>
      <c r="E121">
        <v>0</v>
      </c>
    </row>
    <row r="122" spans="1:5" x14ac:dyDescent="0.3">
      <c r="A122">
        <v>107</v>
      </c>
      <c r="B122" t="s">
        <v>322</v>
      </c>
      <c r="C122" t="s">
        <v>323</v>
      </c>
      <c r="D122">
        <v>6126039</v>
      </c>
      <c r="E122">
        <v>0</v>
      </c>
    </row>
    <row r="123" spans="1:5" x14ac:dyDescent="0.3">
      <c r="A123">
        <v>108</v>
      </c>
      <c r="B123" t="s">
        <v>324</v>
      </c>
      <c r="C123" t="s">
        <v>325</v>
      </c>
      <c r="D123">
        <v>6325965</v>
      </c>
      <c r="E123">
        <v>0</v>
      </c>
    </row>
    <row r="124" spans="1:5" x14ac:dyDescent="0.3">
      <c r="A124">
        <v>109</v>
      </c>
      <c r="B124" t="s">
        <v>326</v>
      </c>
      <c r="C124" t="s">
        <v>327</v>
      </c>
      <c r="D124">
        <v>9618522</v>
      </c>
      <c r="E124">
        <v>0</v>
      </c>
    </row>
    <row r="125" spans="1:5" x14ac:dyDescent="0.3">
      <c r="A125">
        <v>110</v>
      </c>
      <c r="B125" t="s">
        <v>332</v>
      </c>
      <c r="C125" t="s">
        <v>333</v>
      </c>
      <c r="D125">
        <v>6717697</v>
      </c>
      <c r="E125">
        <v>0</v>
      </c>
    </row>
    <row r="126" spans="1:5" x14ac:dyDescent="0.3">
      <c r="A126">
        <v>111</v>
      </c>
      <c r="B126" t="s">
        <v>334</v>
      </c>
      <c r="C126" t="s">
        <v>335</v>
      </c>
      <c r="D126">
        <v>6306924</v>
      </c>
      <c r="E126">
        <v>0</v>
      </c>
    </row>
    <row r="127" spans="1:5" x14ac:dyDescent="0.3">
      <c r="A127">
        <v>112</v>
      </c>
      <c r="B127" t="s">
        <v>336</v>
      </c>
      <c r="C127" t="s">
        <v>337</v>
      </c>
      <c r="D127">
        <v>6716296</v>
      </c>
      <c r="E127">
        <v>0</v>
      </c>
    </row>
    <row r="128" spans="1:5" x14ac:dyDescent="0.3">
      <c r="A128">
        <v>113</v>
      </c>
      <c r="B128" t="s">
        <v>328</v>
      </c>
      <c r="C128" t="s">
        <v>329</v>
      </c>
      <c r="D128">
        <v>4859844</v>
      </c>
      <c r="E128">
        <v>0</v>
      </c>
    </row>
    <row r="129" spans="1:5" x14ac:dyDescent="0.3">
      <c r="A129">
        <v>114</v>
      </c>
      <c r="B129" t="s">
        <v>303</v>
      </c>
      <c r="C129" t="s">
        <v>304</v>
      </c>
      <c r="D129">
        <v>5097906</v>
      </c>
      <c r="E129">
        <v>0</v>
      </c>
    </row>
    <row r="130" spans="1:5" x14ac:dyDescent="0.3">
      <c r="A130">
        <v>115</v>
      </c>
      <c r="B130" t="s">
        <v>305</v>
      </c>
      <c r="C130" t="s">
        <v>306</v>
      </c>
      <c r="D130">
        <v>4345749</v>
      </c>
      <c r="E130">
        <v>0</v>
      </c>
    </row>
    <row r="131" spans="1:5" x14ac:dyDescent="0.3">
      <c r="A131">
        <v>116</v>
      </c>
      <c r="B131" t="s">
        <v>307</v>
      </c>
      <c r="C131" t="s">
        <v>308</v>
      </c>
      <c r="D131">
        <v>8325221</v>
      </c>
      <c r="E131">
        <v>0</v>
      </c>
    </row>
    <row r="132" spans="1:5" x14ac:dyDescent="0.3">
      <c r="A132">
        <v>117</v>
      </c>
      <c r="B132" t="s">
        <v>297</v>
      </c>
      <c r="C132" t="s">
        <v>298</v>
      </c>
      <c r="D132">
        <v>6881895</v>
      </c>
      <c r="E132">
        <v>0</v>
      </c>
    </row>
    <row r="133" spans="1:5" x14ac:dyDescent="0.3">
      <c r="A133">
        <v>118</v>
      </c>
      <c r="B133" t="s">
        <v>299</v>
      </c>
      <c r="C133" t="s">
        <v>300</v>
      </c>
      <c r="D133">
        <v>5118307</v>
      </c>
      <c r="E133">
        <v>0</v>
      </c>
    </row>
    <row r="134" spans="1:5" x14ac:dyDescent="0.3">
      <c r="A134">
        <v>119</v>
      </c>
      <c r="B134" t="s">
        <v>301</v>
      </c>
      <c r="C134" t="s">
        <v>302</v>
      </c>
      <c r="D134">
        <v>5125752</v>
      </c>
      <c r="E134">
        <v>0</v>
      </c>
    </row>
    <row r="135" spans="1:5" x14ac:dyDescent="0.3">
      <c r="A135">
        <v>120</v>
      </c>
      <c r="B135" t="s">
        <v>295</v>
      </c>
      <c r="C135" t="s">
        <v>296</v>
      </c>
      <c r="D135">
        <v>5125752</v>
      </c>
      <c r="E135">
        <v>0</v>
      </c>
    </row>
    <row r="136" spans="1:5" x14ac:dyDescent="0.3">
      <c r="A136">
        <v>121</v>
      </c>
      <c r="B136" t="s">
        <v>309</v>
      </c>
      <c r="C136" t="s">
        <v>310</v>
      </c>
      <c r="D136">
        <v>5633440</v>
      </c>
      <c r="E136">
        <v>0</v>
      </c>
    </row>
    <row r="137" spans="1:5" x14ac:dyDescent="0.3">
      <c r="A137">
        <v>122</v>
      </c>
      <c r="B137" t="s">
        <v>311</v>
      </c>
      <c r="C137" t="s">
        <v>312</v>
      </c>
      <c r="D137">
        <v>5822412</v>
      </c>
      <c r="E137">
        <v>0</v>
      </c>
    </row>
    <row r="138" spans="1:5" x14ac:dyDescent="0.3">
      <c r="A138">
        <v>123</v>
      </c>
      <c r="B138" t="s">
        <v>313</v>
      </c>
      <c r="C138" t="s">
        <v>314</v>
      </c>
      <c r="D138">
        <v>7435083</v>
      </c>
      <c r="E138">
        <v>0</v>
      </c>
    </row>
    <row r="139" spans="1:5" x14ac:dyDescent="0.3">
      <c r="A139">
        <v>124</v>
      </c>
      <c r="B139" t="s">
        <v>315</v>
      </c>
      <c r="C139" t="s">
        <v>316</v>
      </c>
      <c r="D139">
        <v>6725816</v>
      </c>
      <c r="E139">
        <v>0</v>
      </c>
    </row>
    <row r="140" spans="1:5" x14ac:dyDescent="0.3">
      <c r="A140">
        <v>125</v>
      </c>
      <c r="B140" t="s">
        <v>317</v>
      </c>
      <c r="C140" t="s">
        <v>318</v>
      </c>
      <c r="D140">
        <v>7458876</v>
      </c>
    </row>
    <row r="141" spans="1:5" x14ac:dyDescent="0.3">
      <c r="A141">
        <v>126</v>
      </c>
      <c r="B141" t="s">
        <v>330</v>
      </c>
      <c r="C141" t="s">
        <v>331</v>
      </c>
      <c r="D141">
        <v>4571617</v>
      </c>
      <c r="E141">
        <v>0</v>
      </c>
    </row>
    <row r="142" spans="1:5" x14ac:dyDescent="0.3">
      <c r="A142">
        <v>127</v>
      </c>
      <c r="B142" t="s">
        <v>338</v>
      </c>
      <c r="C142" t="s">
        <v>339</v>
      </c>
      <c r="D142">
        <v>7011424</v>
      </c>
      <c r="E142">
        <v>0</v>
      </c>
    </row>
    <row r="143" spans="1:5" x14ac:dyDescent="0.3">
      <c r="A143">
        <v>128</v>
      </c>
      <c r="B143" t="s">
        <v>796</v>
      </c>
      <c r="C143" t="s">
        <v>797</v>
      </c>
      <c r="D143">
        <v>1317771</v>
      </c>
      <c r="E143">
        <v>0</v>
      </c>
    </row>
    <row r="144" spans="1:5" x14ac:dyDescent="0.3">
      <c r="A144">
        <v>0</v>
      </c>
      <c r="B144" t="s">
        <v>40</v>
      </c>
      <c r="C144" t="s">
        <v>340</v>
      </c>
      <c r="D144">
        <v>0</v>
      </c>
      <c r="E144">
        <v>0</v>
      </c>
    </row>
    <row r="145" spans="1:5" x14ac:dyDescent="0.3">
      <c r="A145">
        <v>129</v>
      </c>
      <c r="B145" t="s">
        <v>341</v>
      </c>
      <c r="C145" t="s">
        <v>342</v>
      </c>
      <c r="D145">
        <v>14022361</v>
      </c>
      <c r="E145">
        <v>0</v>
      </c>
    </row>
    <row r="146" spans="1:5" x14ac:dyDescent="0.3">
      <c r="A146">
        <v>130</v>
      </c>
      <c r="B146" t="s">
        <v>345</v>
      </c>
      <c r="C146" t="s">
        <v>346</v>
      </c>
      <c r="D146">
        <v>7847646</v>
      </c>
      <c r="E146">
        <v>0</v>
      </c>
    </row>
    <row r="147" spans="1:5" x14ac:dyDescent="0.3">
      <c r="A147">
        <v>131</v>
      </c>
      <c r="B147" t="s">
        <v>343</v>
      </c>
      <c r="C147" t="s">
        <v>344</v>
      </c>
      <c r="D147">
        <v>7480722</v>
      </c>
      <c r="E147">
        <v>0</v>
      </c>
    </row>
    <row r="148" spans="1:5" x14ac:dyDescent="0.3">
      <c r="A148">
        <v>132</v>
      </c>
      <c r="B148" t="s">
        <v>347</v>
      </c>
      <c r="C148" t="s">
        <v>348</v>
      </c>
      <c r="D148">
        <v>8476878</v>
      </c>
      <c r="E148">
        <v>0</v>
      </c>
    </row>
    <row r="149" spans="1:5" x14ac:dyDescent="0.3">
      <c r="A149">
        <v>133</v>
      </c>
      <c r="B149" t="s">
        <v>365</v>
      </c>
      <c r="C149" t="s">
        <v>366</v>
      </c>
      <c r="D149">
        <v>4008988</v>
      </c>
      <c r="E149">
        <v>0</v>
      </c>
    </row>
    <row r="150" spans="1:5" x14ac:dyDescent="0.3">
      <c r="A150">
        <v>134</v>
      </c>
      <c r="B150" t="s">
        <v>367</v>
      </c>
      <c r="C150" t="s">
        <v>368</v>
      </c>
      <c r="D150">
        <v>5526262</v>
      </c>
      <c r="E150">
        <v>0</v>
      </c>
    </row>
    <row r="151" spans="1:5" x14ac:dyDescent="0.3">
      <c r="A151">
        <v>135</v>
      </c>
      <c r="B151" t="s">
        <v>375</v>
      </c>
      <c r="C151" t="s">
        <v>376</v>
      </c>
      <c r="D151">
        <v>5174013</v>
      </c>
      <c r="E151">
        <v>0</v>
      </c>
    </row>
    <row r="152" spans="1:5" x14ac:dyDescent="0.3">
      <c r="A152">
        <v>136</v>
      </c>
      <c r="B152" t="s">
        <v>369</v>
      </c>
      <c r="C152" t="s">
        <v>370</v>
      </c>
      <c r="D152">
        <v>7554079</v>
      </c>
      <c r="E152">
        <v>0</v>
      </c>
    </row>
    <row r="153" spans="1:5" x14ac:dyDescent="0.3">
      <c r="A153">
        <v>137</v>
      </c>
      <c r="B153" t="s">
        <v>371</v>
      </c>
      <c r="C153" t="s">
        <v>372</v>
      </c>
      <c r="D153">
        <v>4383830</v>
      </c>
      <c r="E153">
        <v>0</v>
      </c>
    </row>
    <row r="154" spans="1:5" x14ac:dyDescent="0.3">
      <c r="A154">
        <v>138</v>
      </c>
      <c r="B154" t="s">
        <v>373</v>
      </c>
      <c r="C154" t="s">
        <v>374</v>
      </c>
      <c r="D154">
        <v>4850324</v>
      </c>
      <c r="E154">
        <v>0</v>
      </c>
    </row>
    <row r="155" spans="1:5" x14ac:dyDescent="0.3">
      <c r="A155">
        <v>139</v>
      </c>
      <c r="B155" t="s">
        <v>349</v>
      </c>
      <c r="C155" t="s">
        <v>350</v>
      </c>
      <c r="D155">
        <v>6576617</v>
      </c>
      <c r="E155">
        <v>0</v>
      </c>
    </row>
    <row r="156" spans="1:5" x14ac:dyDescent="0.3">
      <c r="A156">
        <v>140</v>
      </c>
      <c r="B156" t="s">
        <v>351</v>
      </c>
      <c r="C156" t="s">
        <v>352</v>
      </c>
      <c r="D156">
        <v>6068415</v>
      </c>
      <c r="E156">
        <v>0</v>
      </c>
    </row>
    <row r="157" spans="1:5" x14ac:dyDescent="0.3">
      <c r="A157">
        <v>141</v>
      </c>
      <c r="B157" t="s">
        <v>353</v>
      </c>
      <c r="C157" t="s">
        <v>354</v>
      </c>
      <c r="D157">
        <v>5371299</v>
      </c>
      <c r="E157">
        <v>0</v>
      </c>
    </row>
    <row r="158" spans="1:5" x14ac:dyDescent="0.3">
      <c r="A158">
        <v>142</v>
      </c>
      <c r="B158" t="s">
        <v>355</v>
      </c>
      <c r="C158" t="s">
        <v>356</v>
      </c>
      <c r="D158">
        <v>4455694</v>
      </c>
    </row>
    <row r="159" spans="1:5" x14ac:dyDescent="0.3">
      <c r="A159">
        <v>143</v>
      </c>
      <c r="B159" t="s">
        <v>359</v>
      </c>
      <c r="C159" t="s">
        <v>360</v>
      </c>
      <c r="D159">
        <v>4428893</v>
      </c>
      <c r="E159">
        <v>0</v>
      </c>
    </row>
    <row r="160" spans="1:5" x14ac:dyDescent="0.3">
      <c r="A160">
        <v>144</v>
      </c>
      <c r="B160" t="s">
        <v>361</v>
      </c>
      <c r="C160" t="s">
        <v>362</v>
      </c>
      <c r="D160">
        <v>4381243</v>
      </c>
      <c r="E160">
        <v>0</v>
      </c>
    </row>
    <row r="161" spans="1:5" x14ac:dyDescent="0.3">
      <c r="A161">
        <v>145</v>
      </c>
      <c r="B161" t="s">
        <v>363</v>
      </c>
      <c r="C161" t="s">
        <v>364</v>
      </c>
      <c r="D161">
        <v>4869364</v>
      </c>
      <c r="E161">
        <v>0</v>
      </c>
    </row>
    <row r="162" spans="1:5" x14ac:dyDescent="0.3">
      <c r="A162">
        <v>0</v>
      </c>
      <c r="B162" t="s">
        <v>40</v>
      </c>
      <c r="C162" t="s">
        <v>377</v>
      </c>
      <c r="D162">
        <v>0</v>
      </c>
      <c r="E162">
        <v>0</v>
      </c>
    </row>
    <row r="163" spans="1:5" x14ac:dyDescent="0.3">
      <c r="A163">
        <v>146</v>
      </c>
      <c r="B163" t="s">
        <v>378</v>
      </c>
      <c r="C163" t="s">
        <v>379</v>
      </c>
      <c r="D163">
        <v>15028615</v>
      </c>
      <c r="E163">
        <v>0</v>
      </c>
    </row>
    <row r="164" spans="1:5" x14ac:dyDescent="0.3">
      <c r="A164">
        <v>147</v>
      </c>
      <c r="B164" t="s">
        <v>428</v>
      </c>
      <c r="C164" t="s">
        <v>429</v>
      </c>
      <c r="D164">
        <v>10842665</v>
      </c>
      <c r="E164">
        <v>0</v>
      </c>
    </row>
    <row r="165" spans="1:5" x14ac:dyDescent="0.3">
      <c r="A165">
        <v>148</v>
      </c>
      <c r="B165" t="s">
        <v>382</v>
      </c>
      <c r="C165" t="s">
        <v>383</v>
      </c>
      <c r="D165">
        <v>7170593</v>
      </c>
      <c r="E165">
        <v>0</v>
      </c>
    </row>
    <row r="166" spans="1:5" x14ac:dyDescent="0.3">
      <c r="A166">
        <v>149</v>
      </c>
      <c r="B166" t="s">
        <v>380</v>
      </c>
      <c r="C166" t="s">
        <v>381</v>
      </c>
      <c r="D166">
        <v>7117180</v>
      </c>
      <c r="E166">
        <v>0</v>
      </c>
    </row>
    <row r="167" spans="1:5" x14ac:dyDescent="0.3">
      <c r="A167">
        <v>150</v>
      </c>
      <c r="B167" t="s">
        <v>384</v>
      </c>
      <c r="C167" t="s">
        <v>385</v>
      </c>
      <c r="D167">
        <v>5564343</v>
      </c>
      <c r="E167">
        <v>0</v>
      </c>
    </row>
    <row r="168" spans="1:5" x14ac:dyDescent="0.3">
      <c r="A168">
        <v>151</v>
      </c>
      <c r="B168" t="s">
        <v>386</v>
      </c>
      <c r="C168" t="s">
        <v>387</v>
      </c>
      <c r="D168">
        <v>5202573</v>
      </c>
      <c r="E168">
        <v>0</v>
      </c>
    </row>
    <row r="169" spans="1:5" x14ac:dyDescent="0.3">
      <c r="A169">
        <v>152</v>
      </c>
      <c r="B169" t="s">
        <v>390</v>
      </c>
      <c r="C169" t="s">
        <v>391</v>
      </c>
      <c r="D169">
        <v>5582732</v>
      </c>
      <c r="E169">
        <v>0</v>
      </c>
    </row>
    <row r="170" spans="1:5" x14ac:dyDescent="0.3">
      <c r="A170">
        <v>153</v>
      </c>
      <c r="B170" t="s">
        <v>392</v>
      </c>
      <c r="C170" t="s">
        <v>393</v>
      </c>
      <c r="D170">
        <v>5125752</v>
      </c>
      <c r="E170">
        <v>0</v>
      </c>
    </row>
    <row r="171" spans="1:5" x14ac:dyDescent="0.3">
      <c r="A171">
        <v>154</v>
      </c>
      <c r="B171" t="s">
        <v>394</v>
      </c>
      <c r="C171" t="s">
        <v>395</v>
      </c>
      <c r="D171">
        <v>5921133</v>
      </c>
      <c r="E171">
        <v>0</v>
      </c>
    </row>
    <row r="172" spans="1:5" x14ac:dyDescent="0.3">
      <c r="A172">
        <v>155</v>
      </c>
      <c r="B172" t="s">
        <v>397</v>
      </c>
      <c r="C172" t="s">
        <v>398</v>
      </c>
      <c r="D172">
        <v>0</v>
      </c>
      <c r="E172">
        <v>468035</v>
      </c>
    </row>
    <row r="173" spans="1:5" x14ac:dyDescent="0.3">
      <c r="A173">
        <v>156</v>
      </c>
      <c r="B173" t="s">
        <v>401</v>
      </c>
      <c r="C173" t="s">
        <v>402</v>
      </c>
      <c r="D173">
        <v>5529843</v>
      </c>
      <c r="E173">
        <v>0</v>
      </c>
    </row>
    <row r="174" spans="1:5" x14ac:dyDescent="0.3">
      <c r="A174">
        <v>157</v>
      </c>
      <c r="B174" t="s">
        <v>403</v>
      </c>
      <c r="C174" t="s">
        <v>404</v>
      </c>
      <c r="D174">
        <v>5412019</v>
      </c>
      <c r="E174">
        <v>0</v>
      </c>
    </row>
    <row r="175" spans="1:5" x14ac:dyDescent="0.3">
      <c r="A175">
        <v>158</v>
      </c>
      <c r="B175" t="s">
        <v>405</v>
      </c>
      <c r="C175" t="s">
        <v>406</v>
      </c>
      <c r="D175">
        <v>2746345</v>
      </c>
      <c r="E175">
        <v>0</v>
      </c>
    </row>
    <row r="176" spans="1:5" x14ac:dyDescent="0.3">
      <c r="A176">
        <v>159</v>
      </c>
      <c r="B176" t="s">
        <v>388</v>
      </c>
      <c r="C176" t="s">
        <v>389</v>
      </c>
      <c r="D176">
        <v>5125752</v>
      </c>
      <c r="E176">
        <v>0</v>
      </c>
    </row>
    <row r="177" spans="1:5" x14ac:dyDescent="0.3">
      <c r="A177">
        <v>160</v>
      </c>
      <c r="B177" t="s">
        <v>413</v>
      </c>
      <c r="C177" t="s">
        <v>414</v>
      </c>
      <c r="D177">
        <v>4507594</v>
      </c>
      <c r="E177">
        <v>0</v>
      </c>
    </row>
    <row r="178" spans="1:5" x14ac:dyDescent="0.3">
      <c r="A178">
        <v>161</v>
      </c>
      <c r="B178" t="s">
        <v>407</v>
      </c>
      <c r="C178" t="s">
        <v>408</v>
      </c>
      <c r="D178">
        <v>5021688</v>
      </c>
      <c r="E178">
        <v>0</v>
      </c>
    </row>
    <row r="179" spans="1:5" x14ac:dyDescent="0.3">
      <c r="A179">
        <v>162</v>
      </c>
      <c r="B179" t="s">
        <v>409</v>
      </c>
      <c r="C179" t="s">
        <v>410</v>
      </c>
      <c r="D179">
        <v>4726560</v>
      </c>
      <c r="E179">
        <v>0</v>
      </c>
    </row>
    <row r="180" spans="1:5" x14ac:dyDescent="0.3">
      <c r="A180">
        <v>163</v>
      </c>
      <c r="B180" t="s">
        <v>411</v>
      </c>
      <c r="C180" t="s">
        <v>412</v>
      </c>
      <c r="D180">
        <v>4815130</v>
      </c>
      <c r="E180">
        <v>0</v>
      </c>
    </row>
    <row r="181" spans="1:5" x14ac:dyDescent="0.3">
      <c r="C181" t="s">
        <v>795</v>
      </c>
      <c r="D181">
        <v>971869857</v>
      </c>
      <c r="E181">
        <v>4795235</v>
      </c>
    </row>
    <row r="184" spans="1:5" x14ac:dyDescent="0.3">
      <c r="C184" t="s">
        <v>816</v>
      </c>
    </row>
  </sheetData>
  <phoneticPr fontId="3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199"/>
  <sheetViews>
    <sheetView workbookViewId="0">
      <selection activeCell="D13" sqref="D13:D195"/>
    </sheetView>
  </sheetViews>
  <sheetFormatPr defaultColWidth="9.109375" defaultRowHeight="10.199999999999999" x14ac:dyDescent="0.3"/>
  <cols>
    <col min="1" max="1" width="3.33203125" style="175" customWidth="1"/>
    <col min="2" max="2" width="4.88671875" style="175" customWidth="1"/>
    <col min="3" max="3" width="18.5546875" style="175" customWidth="1"/>
    <col min="4" max="4" width="5.33203125" style="175" customWidth="1"/>
    <col min="5" max="5" width="5.44140625" style="175" hidden="1" customWidth="1"/>
    <col min="6" max="6" width="9" style="175" hidden="1" customWidth="1"/>
    <col min="7" max="7" width="7.6640625" style="175" customWidth="1"/>
    <col min="8" max="8" width="12.88671875" style="175" bestFit="1" customWidth="1"/>
    <col min="9" max="9" width="7" style="175" customWidth="1"/>
    <col min="10" max="10" width="5.88671875" style="221" customWidth="1"/>
    <col min="11" max="11" width="8.109375" style="175" customWidth="1"/>
    <col min="12" max="12" width="9.5546875" style="175" bestFit="1" customWidth="1"/>
    <col min="13" max="13" width="10.33203125" style="175" customWidth="1"/>
    <col min="14" max="14" width="10.88671875" style="175" bestFit="1" customWidth="1"/>
    <col min="15" max="15" width="8.5546875" style="175" customWidth="1"/>
    <col min="16" max="16" width="10.6640625" style="175" customWidth="1"/>
    <col min="17" max="17" width="9.6640625" style="175" bestFit="1" customWidth="1"/>
    <col min="18" max="18" width="10.88671875" style="175" bestFit="1" customWidth="1"/>
    <col min="19" max="19" width="9.88671875" style="175" customWidth="1"/>
    <col min="20" max="20" width="9.5546875" style="175" hidden="1" customWidth="1"/>
    <col min="21" max="22" width="7.88671875" style="175" hidden="1" customWidth="1"/>
    <col min="23" max="23" width="10.88671875" style="175" bestFit="1" customWidth="1"/>
    <col min="24" max="24" width="11" style="175" hidden="1" customWidth="1"/>
    <col min="25" max="25" width="7.88671875" style="175" hidden="1" customWidth="1"/>
    <col min="26" max="26" width="8.6640625" style="175" hidden="1" customWidth="1"/>
    <col min="27" max="27" width="11" style="175" customWidth="1"/>
    <col min="28" max="41" width="14.88671875" style="175" hidden="1" customWidth="1"/>
    <col min="42" max="42" width="10.33203125" style="175" customWidth="1"/>
    <col min="43" max="43" width="7.88671875" style="175" hidden="1" customWidth="1"/>
    <col min="44" max="44" width="11.33203125" style="175" customWidth="1"/>
    <col min="45" max="46" width="0" style="175" hidden="1" customWidth="1"/>
    <col min="47" max="47" width="8.6640625" style="175" bestFit="1" customWidth="1"/>
    <col min="48" max="48" width="10.88671875" style="175" customWidth="1"/>
    <col min="49" max="49" width="9.5546875" style="175" bestFit="1" customWidth="1"/>
    <col min="50" max="50" width="11.6640625" style="175" bestFit="1" customWidth="1"/>
    <col min="51" max="51" width="10.88671875" style="175" bestFit="1" customWidth="1"/>
    <col min="52" max="16384" width="9.109375" style="175"/>
  </cols>
  <sheetData>
    <row r="1" spans="1:51" s="195" customFormat="1" ht="15" customHeight="1" x14ac:dyDescent="0.3">
      <c r="A1" s="265" t="s">
        <v>0</v>
      </c>
      <c r="B1" s="265"/>
      <c r="C1" s="265"/>
      <c r="D1" s="265"/>
      <c r="E1" s="265"/>
      <c r="F1" s="265"/>
      <c r="G1" s="265"/>
      <c r="H1" s="265"/>
      <c r="I1" s="265"/>
      <c r="J1" s="265"/>
      <c r="K1" s="265"/>
      <c r="L1" s="265"/>
    </row>
    <row r="2" spans="1:51" s="196" customFormat="1" ht="39" customHeight="1" x14ac:dyDescent="0.3">
      <c r="A2" s="266" t="s">
        <v>1</v>
      </c>
      <c r="B2" s="266"/>
      <c r="C2" s="266"/>
      <c r="D2" s="266"/>
      <c r="E2" s="266"/>
      <c r="F2" s="266"/>
      <c r="G2" s="266"/>
      <c r="H2" s="266"/>
      <c r="I2" s="266"/>
      <c r="J2" s="266"/>
      <c r="K2" s="266"/>
      <c r="L2" s="266"/>
      <c r="M2" s="289" t="s">
        <v>841</v>
      </c>
      <c r="N2" s="289"/>
      <c r="O2" s="289"/>
      <c r="P2" s="289"/>
      <c r="Q2" s="289"/>
      <c r="R2" s="289"/>
      <c r="S2" s="289"/>
      <c r="T2" s="289"/>
      <c r="U2" s="289"/>
      <c r="V2" s="289"/>
      <c r="W2" s="289"/>
      <c r="X2" s="289"/>
      <c r="Y2" s="289"/>
      <c r="Z2" s="289"/>
      <c r="AA2" s="289"/>
    </row>
    <row r="3" spans="1:51" ht="20.25" customHeight="1" x14ac:dyDescent="0.3">
      <c r="A3" s="197"/>
      <c r="B3" s="290"/>
      <c r="C3" s="290"/>
      <c r="D3" s="290"/>
      <c r="E3" s="290"/>
      <c r="F3" s="290"/>
      <c r="G3" s="290"/>
      <c r="H3" s="290"/>
      <c r="I3" s="290"/>
      <c r="J3" s="290"/>
      <c r="K3" s="290"/>
      <c r="L3" s="290"/>
      <c r="M3" s="290"/>
      <c r="N3" s="290"/>
      <c r="O3" s="290"/>
      <c r="P3" s="290"/>
      <c r="Q3" s="290"/>
      <c r="R3" s="290"/>
      <c r="S3" s="290"/>
      <c r="T3" s="290"/>
      <c r="U3" s="290"/>
      <c r="V3" s="290"/>
      <c r="W3" s="290"/>
      <c r="X3" s="290"/>
      <c r="Y3" s="290"/>
      <c r="Z3" s="290"/>
      <c r="AA3" s="290"/>
      <c r="AB3" s="290"/>
      <c r="AC3" s="290"/>
      <c r="AD3" s="290"/>
      <c r="AE3" s="290"/>
      <c r="AF3" s="290"/>
      <c r="AG3" s="290"/>
      <c r="AH3" s="290"/>
      <c r="AI3" s="290"/>
      <c r="AJ3" s="290"/>
      <c r="AK3" s="290"/>
      <c r="AL3" s="290"/>
      <c r="AM3" s="290"/>
      <c r="AN3" s="290"/>
      <c r="AO3" s="290"/>
      <c r="AP3" s="290"/>
      <c r="AQ3" s="290"/>
      <c r="AR3" s="290"/>
      <c r="AS3" s="290"/>
      <c r="AT3" s="290"/>
      <c r="AU3" s="290"/>
      <c r="AV3" s="290"/>
      <c r="AW3" s="290"/>
      <c r="AX3" s="290"/>
    </row>
    <row r="4" spans="1:51" ht="48" customHeight="1" x14ac:dyDescent="0.3">
      <c r="A4" s="198" t="s">
        <v>2</v>
      </c>
      <c r="B4" s="198" t="s">
        <v>3</v>
      </c>
      <c r="C4" s="198" t="s">
        <v>4</v>
      </c>
      <c r="D4" s="198" t="s">
        <v>5</v>
      </c>
      <c r="E4" s="198" t="s">
        <v>6</v>
      </c>
      <c r="F4" s="198" t="s">
        <v>7</v>
      </c>
      <c r="G4" s="198" t="s">
        <v>8</v>
      </c>
      <c r="H4" s="198" t="s">
        <v>419</v>
      </c>
      <c r="I4" s="199" t="s">
        <v>420</v>
      </c>
      <c r="J4" s="200" t="s">
        <v>36</v>
      </c>
      <c r="K4" s="198" t="s">
        <v>416</v>
      </c>
      <c r="L4" s="198" t="s">
        <v>417</v>
      </c>
      <c r="M4" s="198" t="s">
        <v>418</v>
      </c>
      <c r="N4" s="198" t="s">
        <v>9</v>
      </c>
      <c r="O4" s="198" t="s">
        <v>10</v>
      </c>
      <c r="P4" s="198" t="s">
        <v>11</v>
      </c>
      <c r="Q4" s="198" t="s">
        <v>12</v>
      </c>
      <c r="R4" s="198" t="s">
        <v>13</v>
      </c>
      <c r="S4" s="198" t="s">
        <v>14</v>
      </c>
      <c r="T4" s="198" t="s">
        <v>15</v>
      </c>
      <c r="U4" s="198" t="s">
        <v>16</v>
      </c>
      <c r="V4" s="198" t="s">
        <v>17</v>
      </c>
      <c r="W4" s="198" t="s">
        <v>18</v>
      </c>
      <c r="X4" s="198" t="s">
        <v>19</v>
      </c>
      <c r="Y4" s="198" t="s">
        <v>20</v>
      </c>
      <c r="Z4" s="198" t="s">
        <v>21</v>
      </c>
      <c r="AA4" s="198" t="s">
        <v>22</v>
      </c>
      <c r="AB4" s="201" t="s">
        <v>23</v>
      </c>
      <c r="AC4" s="202">
        <v>0.05</v>
      </c>
      <c r="AD4" s="201" t="s">
        <v>23</v>
      </c>
      <c r="AE4" s="202">
        <v>0.1</v>
      </c>
      <c r="AF4" s="201" t="s">
        <v>23</v>
      </c>
      <c r="AG4" s="202">
        <v>0.15</v>
      </c>
      <c r="AH4" s="201" t="s">
        <v>23</v>
      </c>
      <c r="AI4" s="202">
        <v>0.2</v>
      </c>
      <c r="AJ4" s="201" t="s">
        <v>23</v>
      </c>
      <c r="AK4" s="202">
        <v>0.25</v>
      </c>
      <c r="AL4" s="201" t="s">
        <v>23</v>
      </c>
      <c r="AM4" s="202">
        <v>0.3</v>
      </c>
      <c r="AN4" s="201" t="s">
        <v>23</v>
      </c>
      <c r="AO4" s="202">
        <v>0.35</v>
      </c>
      <c r="AP4" s="198" t="s">
        <v>24</v>
      </c>
      <c r="AQ4" s="198" t="s">
        <v>25</v>
      </c>
      <c r="AR4" s="198" t="s">
        <v>26</v>
      </c>
      <c r="AS4" s="198" t="s">
        <v>27</v>
      </c>
      <c r="AT4" s="198" t="s">
        <v>28</v>
      </c>
      <c r="AU4" s="198" t="s">
        <v>35</v>
      </c>
      <c r="AV4" s="198" t="s">
        <v>27</v>
      </c>
      <c r="AW4" s="198" t="s">
        <v>421</v>
      </c>
      <c r="AX4" s="198" t="s">
        <v>29</v>
      </c>
    </row>
    <row r="5" spans="1:51" ht="24" customHeight="1" x14ac:dyDescent="0.3">
      <c r="A5" s="203">
        <v>1</v>
      </c>
      <c r="B5" s="203"/>
      <c r="C5" s="203">
        <v>2</v>
      </c>
      <c r="D5" s="203">
        <v>3</v>
      </c>
      <c r="E5" s="203"/>
      <c r="F5" s="203">
        <v>3</v>
      </c>
      <c r="G5" s="203">
        <v>4</v>
      </c>
      <c r="H5" s="203">
        <v>5</v>
      </c>
      <c r="I5" s="203">
        <v>6</v>
      </c>
      <c r="J5" s="204">
        <v>7</v>
      </c>
      <c r="K5" s="203">
        <v>8</v>
      </c>
      <c r="L5" s="203">
        <v>9</v>
      </c>
      <c r="M5" s="203">
        <f t="shared" ref="M5:Q5" si="0">1+L5</f>
        <v>10</v>
      </c>
      <c r="N5" s="203">
        <f t="shared" si="0"/>
        <v>11</v>
      </c>
      <c r="O5" s="203">
        <f t="shared" si="0"/>
        <v>12</v>
      </c>
      <c r="P5" s="203">
        <f t="shared" si="0"/>
        <v>13</v>
      </c>
      <c r="Q5" s="203">
        <f t="shared" si="0"/>
        <v>14</v>
      </c>
      <c r="R5" s="203" t="s">
        <v>434</v>
      </c>
      <c r="S5" s="203">
        <v>16</v>
      </c>
      <c r="T5" s="203"/>
      <c r="U5" s="203"/>
      <c r="V5" s="203"/>
      <c r="W5" s="203">
        <f>S5+1</f>
        <v>17</v>
      </c>
      <c r="X5" s="203">
        <f t="shared" ref="X5:AO5" si="1">T5+1</f>
        <v>1</v>
      </c>
      <c r="Y5" s="203">
        <f t="shared" si="1"/>
        <v>1</v>
      </c>
      <c r="Z5" s="203">
        <f t="shared" si="1"/>
        <v>1</v>
      </c>
      <c r="AA5" s="203">
        <f t="shared" si="1"/>
        <v>18</v>
      </c>
      <c r="AB5" s="203">
        <f t="shared" si="1"/>
        <v>2</v>
      </c>
      <c r="AC5" s="203">
        <f t="shared" si="1"/>
        <v>2</v>
      </c>
      <c r="AD5" s="203">
        <f t="shared" si="1"/>
        <v>2</v>
      </c>
      <c r="AE5" s="203">
        <f t="shared" si="1"/>
        <v>19</v>
      </c>
      <c r="AF5" s="203">
        <f t="shared" si="1"/>
        <v>3</v>
      </c>
      <c r="AG5" s="203">
        <f t="shared" si="1"/>
        <v>3</v>
      </c>
      <c r="AH5" s="203">
        <f t="shared" si="1"/>
        <v>3</v>
      </c>
      <c r="AI5" s="203">
        <f t="shared" si="1"/>
        <v>20</v>
      </c>
      <c r="AJ5" s="203">
        <f t="shared" si="1"/>
        <v>4</v>
      </c>
      <c r="AK5" s="203">
        <f t="shared" si="1"/>
        <v>4</v>
      </c>
      <c r="AL5" s="203">
        <f t="shared" si="1"/>
        <v>4</v>
      </c>
      <c r="AM5" s="203">
        <f t="shared" si="1"/>
        <v>21</v>
      </c>
      <c r="AN5" s="203">
        <f t="shared" si="1"/>
        <v>5</v>
      </c>
      <c r="AO5" s="203">
        <f t="shared" si="1"/>
        <v>5</v>
      </c>
      <c r="AP5" s="203">
        <v>19</v>
      </c>
      <c r="AQ5" s="203">
        <v>18</v>
      </c>
      <c r="AR5" s="203" t="s">
        <v>435</v>
      </c>
      <c r="AS5" s="203"/>
      <c r="AT5" s="203"/>
      <c r="AU5" s="203">
        <v>21</v>
      </c>
      <c r="AV5" s="203">
        <v>22</v>
      </c>
      <c r="AW5" s="203">
        <v>23</v>
      </c>
      <c r="AX5" s="203" t="s">
        <v>436</v>
      </c>
    </row>
    <row r="6" spans="1:51" ht="12" customHeight="1" x14ac:dyDescent="0.3">
      <c r="A6" s="205">
        <v>0</v>
      </c>
      <c r="B6" s="171" t="s">
        <v>40</v>
      </c>
      <c r="C6" s="171" t="s">
        <v>41</v>
      </c>
      <c r="D6" s="171"/>
      <c r="E6" s="172"/>
      <c r="F6" s="172">
        <v>97</v>
      </c>
      <c r="G6" s="170">
        <f t="shared" ref="G6:O6" si="2">SUM(G7:G10)</f>
        <v>92</v>
      </c>
      <c r="H6" s="170">
        <f t="shared" si="2"/>
        <v>38591000</v>
      </c>
      <c r="I6" s="170">
        <f t="shared" si="2"/>
        <v>0</v>
      </c>
      <c r="J6" s="170"/>
      <c r="K6" s="170">
        <f t="shared" si="2"/>
        <v>0</v>
      </c>
      <c r="L6" s="170">
        <f t="shared" si="2"/>
        <v>0</v>
      </c>
      <c r="M6" s="170">
        <f t="shared" si="2"/>
        <v>116400000</v>
      </c>
      <c r="N6" s="170">
        <f t="shared" si="2"/>
        <v>116400000</v>
      </c>
      <c r="O6" s="170">
        <f t="shared" si="2"/>
        <v>0</v>
      </c>
      <c r="P6" s="170">
        <f t="shared" ref="P6:AX6" si="3">SUM(P7:P10)</f>
        <v>6000000</v>
      </c>
      <c r="Q6" s="170">
        <f t="shared" si="3"/>
        <v>1341000</v>
      </c>
      <c r="R6" s="170">
        <f t="shared" si="3"/>
        <v>123741000</v>
      </c>
      <c r="S6" s="170">
        <f t="shared" si="3"/>
        <v>4052056</v>
      </c>
      <c r="T6" s="170">
        <f t="shared" si="3"/>
        <v>0</v>
      </c>
      <c r="U6" s="170">
        <f t="shared" si="3"/>
        <v>0</v>
      </c>
      <c r="V6" s="170">
        <f t="shared" si="3"/>
        <v>0</v>
      </c>
      <c r="W6" s="170">
        <f t="shared" si="3"/>
        <v>50400000</v>
      </c>
      <c r="X6" s="170">
        <f t="shared" si="3"/>
        <v>0</v>
      </c>
      <c r="Y6" s="170">
        <f t="shared" si="3"/>
        <v>0</v>
      </c>
      <c r="Z6" s="170">
        <f t="shared" si="3"/>
        <v>0</v>
      </c>
      <c r="AA6" s="170">
        <f t="shared" si="3"/>
        <v>67947944</v>
      </c>
      <c r="AB6" s="170">
        <f t="shared" si="3"/>
        <v>0</v>
      </c>
      <c r="AC6" s="170">
        <f t="shared" si="3"/>
        <v>0</v>
      </c>
      <c r="AD6" s="170">
        <f t="shared" si="3"/>
        <v>0</v>
      </c>
      <c r="AE6" s="170">
        <f t="shared" si="3"/>
        <v>0</v>
      </c>
      <c r="AF6" s="170">
        <f t="shared" si="3"/>
        <v>0</v>
      </c>
      <c r="AG6" s="170">
        <f t="shared" si="3"/>
        <v>0</v>
      </c>
      <c r="AH6" s="170">
        <f t="shared" si="3"/>
        <v>0</v>
      </c>
      <c r="AI6" s="170">
        <f t="shared" si="3"/>
        <v>0</v>
      </c>
      <c r="AJ6" s="170">
        <f t="shared" si="3"/>
        <v>0</v>
      </c>
      <c r="AK6" s="170">
        <f t="shared" si="3"/>
        <v>0</v>
      </c>
      <c r="AL6" s="170">
        <f t="shared" si="3"/>
        <v>0</v>
      </c>
      <c r="AM6" s="170">
        <f t="shared" si="3"/>
        <v>0</v>
      </c>
      <c r="AN6" s="170">
        <f t="shared" si="3"/>
        <v>0</v>
      </c>
      <c r="AO6" s="170">
        <f t="shared" si="3"/>
        <v>0</v>
      </c>
      <c r="AP6" s="170">
        <f t="shared" si="3"/>
        <v>7483146</v>
      </c>
      <c r="AQ6" s="170">
        <f t="shared" si="3"/>
        <v>0</v>
      </c>
      <c r="AR6" s="170">
        <f t="shared" si="3"/>
        <v>112205798</v>
      </c>
      <c r="AS6" s="170">
        <f t="shared" si="3"/>
        <v>0</v>
      </c>
      <c r="AT6" s="170">
        <f t="shared" si="3"/>
        <v>0</v>
      </c>
      <c r="AU6" s="170">
        <f t="shared" si="3"/>
        <v>596000</v>
      </c>
      <c r="AV6" s="170">
        <f t="shared" si="3"/>
        <v>0</v>
      </c>
      <c r="AW6" s="170"/>
      <c r="AX6" s="170">
        <f t="shared" si="3"/>
        <v>111609798</v>
      </c>
      <c r="AY6" s="206"/>
    </row>
    <row r="7" spans="1:51" ht="12" customHeight="1" x14ac:dyDescent="0.3">
      <c r="A7" s="205">
        <v>1</v>
      </c>
      <c r="B7" s="171" t="s">
        <v>42</v>
      </c>
      <c r="C7" s="171" t="s">
        <v>43</v>
      </c>
      <c r="D7" s="171" t="s">
        <v>44</v>
      </c>
      <c r="E7" s="172"/>
      <c r="F7" s="172">
        <v>27</v>
      </c>
      <c r="G7" s="170">
        <v>23</v>
      </c>
      <c r="H7" s="170">
        <v>10877000</v>
      </c>
      <c r="I7" s="170"/>
      <c r="J7" s="174">
        <v>1</v>
      </c>
      <c r="K7" s="170"/>
      <c r="L7" s="170"/>
      <c r="M7" s="170">
        <v>32400000</v>
      </c>
      <c r="N7" s="170">
        <v>32400000</v>
      </c>
      <c r="O7" s="170">
        <v>0</v>
      </c>
      <c r="P7" s="170">
        <f>IFERROR(VLOOKUP(B7,'BS lương'!$B$2:$M$188,9,0),0)</f>
        <v>1000000</v>
      </c>
      <c r="Q7" s="170">
        <f>IFERROR(VLOOKUP(B7,'Bảng lương tính trên HTfast'!$B$7:$AV$186,14,0),0)</f>
        <v>447000</v>
      </c>
      <c r="R7" s="170">
        <f>N7+O7+P7+Q7</f>
        <v>33847000</v>
      </c>
      <c r="S7" s="170">
        <f>IFERROR(VLOOKUP(B7,'Bảng lương tính trên HTfast'!$B$7:$AV$186,16,0),0)</f>
        <v>1142085</v>
      </c>
      <c r="T7" s="170"/>
      <c r="U7" s="170"/>
      <c r="V7" s="170"/>
      <c r="W7" s="170">
        <f>IFERROR(VLOOKUP(B7,'Bảng lương tính trên HTfast'!$B$7:$AV$186,20,0),0)</f>
        <v>9000000</v>
      </c>
      <c r="X7" s="170"/>
      <c r="Y7" s="170"/>
      <c r="Z7" s="170"/>
      <c r="AA7" s="170">
        <f>IF((R7-S7-W7-O7-Q7)&gt;0,(R7-S7-W7-O7-Q7),0)</f>
        <v>23257915</v>
      </c>
      <c r="AB7" s="170"/>
      <c r="AC7" s="170"/>
      <c r="AD7" s="170"/>
      <c r="AE7" s="170"/>
      <c r="AF7" s="170"/>
      <c r="AG7" s="170"/>
      <c r="AH7" s="170"/>
      <c r="AI7" s="170"/>
      <c r="AJ7" s="170"/>
      <c r="AK7" s="170"/>
      <c r="AL7" s="170"/>
      <c r="AM7" s="170"/>
      <c r="AN7" s="170"/>
      <c r="AO7" s="170"/>
      <c r="AP7" s="170">
        <f>ROUND(IF(AA7&lt;5000000,AA7*0.05,IF(AA7&lt;10000000,250000+(AA7-5000000)*0.1,IF(AA7&lt;18000000,750000+(AA7-10000000)*0.15,IF(AA7&lt;32000000,1950000+(AA7-18000000)*0.2,IF(AA7&lt;52000000,4750000+(AA7-32000000)*0.25,IF(AA7&lt;80000000,9750000+(AA7-52000000)*0.3,IF(AA7&gt;80000000,18150000+(AA7-80000000)*0.35,0))))))),0)</f>
        <v>3001583</v>
      </c>
      <c r="AQ7" s="170">
        <v>0</v>
      </c>
      <c r="AR7" s="170">
        <f>R7-S7-AP7</f>
        <v>29703332</v>
      </c>
      <c r="AS7" s="170"/>
      <c r="AT7" s="170"/>
      <c r="AU7" s="170">
        <f t="shared" ref="AU7:AU9" si="4">IF(AR7*1%&gt;149000,149000,ROUND(AR7*1%,0))</f>
        <v>149000</v>
      </c>
      <c r="AV7" s="170">
        <f>IFERROR(VLOOKUP(B7,'BS lương'!$B$2:$M$181,11,0),0)</f>
        <v>0</v>
      </c>
      <c r="AW7" s="170"/>
      <c r="AX7" s="170">
        <f>ROUND(AR7-AU7-AV7-AW7,0)</f>
        <v>29554332</v>
      </c>
    </row>
    <row r="8" spans="1:51" ht="12" customHeight="1" x14ac:dyDescent="0.3">
      <c r="A8" s="205">
        <v>2</v>
      </c>
      <c r="B8" s="171" t="s">
        <v>45</v>
      </c>
      <c r="C8" s="171" t="s">
        <v>46</v>
      </c>
      <c r="D8" s="171" t="s">
        <v>47</v>
      </c>
      <c r="E8" s="172"/>
      <c r="F8" s="172">
        <v>26</v>
      </c>
      <c r="G8" s="170">
        <v>23</v>
      </c>
      <c r="H8" s="170">
        <v>9893600</v>
      </c>
      <c r="I8" s="170"/>
      <c r="J8" s="174">
        <v>1</v>
      </c>
      <c r="K8" s="170"/>
      <c r="L8" s="170"/>
      <c r="M8" s="170">
        <v>31200000</v>
      </c>
      <c r="N8" s="170">
        <v>31200000</v>
      </c>
      <c r="O8" s="170">
        <v>0</v>
      </c>
      <c r="P8" s="170">
        <f>IFERROR(VLOOKUP(B8,'BS lương'!$B$2:$M$188,9,0),0)</f>
        <v>1000000</v>
      </c>
      <c r="Q8" s="170">
        <f>IFERROR(VLOOKUP(B8,'Bảng lương tính trên HTfast'!$B$7:$AV$186,14,0),0)</f>
        <v>447000</v>
      </c>
      <c r="R8" s="170">
        <f t="shared" ref="R8:R10" si="5">N8+O8+P8+Q8</f>
        <v>32647000</v>
      </c>
      <c r="S8" s="170">
        <f>IFERROR(VLOOKUP(B8,'Bảng lương tính trên HTfast'!$B$7:$AV$186,16,0),0)</f>
        <v>1038828</v>
      </c>
      <c r="T8" s="170"/>
      <c r="U8" s="170"/>
      <c r="V8" s="170"/>
      <c r="W8" s="170">
        <f>IFERROR(VLOOKUP(B8,'Bảng lương tính trên HTfast'!$B$7:$AV$186,20,0),0)</f>
        <v>12600000</v>
      </c>
      <c r="X8" s="170"/>
      <c r="Y8" s="170"/>
      <c r="Z8" s="170"/>
      <c r="AA8" s="170">
        <f t="shared" ref="AA8:AA10" si="6">IF((R8-S8-W8-O8-Q8)&gt;0,(R8-S8-W8-O8-Q8),0)</f>
        <v>18561172</v>
      </c>
      <c r="AB8" s="170"/>
      <c r="AC8" s="170"/>
      <c r="AD8" s="170"/>
      <c r="AE8" s="170"/>
      <c r="AF8" s="170"/>
      <c r="AG8" s="170"/>
      <c r="AH8" s="170"/>
      <c r="AI8" s="170"/>
      <c r="AJ8" s="170"/>
      <c r="AK8" s="170"/>
      <c r="AL8" s="170"/>
      <c r="AM8" s="170"/>
      <c r="AN8" s="170"/>
      <c r="AO8" s="170"/>
      <c r="AP8" s="170">
        <f t="shared" ref="AP8:AP10" si="7">ROUND(IF(AA8&lt;5000000,AA8*0.05,IF(AA8&lt;10000000,250000+(AA8-5000000)*0.1,IF(AA8&lt;18000000,750000+(AA8-10000000)*0.15,IF(AA8&lt;32000000,1950000+(AA8-18000000)*0.2,IF(AA8&lt;52000000,4750000+(AA8-32000000)*0.25,IF(AA8&lt;80000000,9750000+(AA8-52000000)*0.3,IF(AA8&gt;80000000,18150000+(AA8-80000000)*0.35,0))))))),0)</f>
        <v>2062234</v>
      </c>
      <c r="AQ8" s="170">
        <v>0</v>
      </c>
      <c r="AR8" s="170">
        <f t="shared" ref="AR8:AR10" si="8">R8-S8-AP8</f>
        <v>29545938</v>
      </c>
      <c r="AS8" s="170"/>
      <c r="AT8" s="170"/>
      <c r="AU8" s="170">
        <f t="shared" si="4"/>
        <v>149000</v>
      </c>
      <c r="AV8" s="170">
        <f>IFERROR(VLOOKUP(B8,'BS lương'!$B$2:$M$181,11,0),0)</f>
        <v>0</v>
      </c>
      <c r="AW8" s="170"/>
      <c r="AX8" s="170">
        <f t="shared" ref="AX8:AX10" si="9">ROUND(AR8-AU8-AV8-AW8,0)</f>
        <v>29396938</v>
      </c>
    </row>
    <row r="9" spans="1:51" ht="12" customHeight="1" x14ac:dyDescent="0.3">
      <c r="A9" s="205">
        <v>3</v>
      </c>
      <c r="B9" s="171" t="s">
        <v>48</v>
      </c>
      <c r="C9" s="171" t="s">
        <v>49</v>
      </c>
      <c r="D9" s="171" t="s">
        <v>50</v>
      </c>
      <c r="E9" s="172"/>
      <c r="F9" s="172">
        <v>23</v>
      </c>
      <c r="G9" s="170">
        <v>23</v>
      </c>
      <c r="H9" s="170">
        <v>9401900</v>
      </c>
      <c r="I9" s="170"/>
      <c r="J9" s="174">
        <v>1</v>
      </c>
      <c r="K9" s="170"/>
      <c r="L9" s="170"/>
      <c r="M9" s="170">
        <v>27600000</v>
      </c>
      <c r="N9" s="170">
        <v>27600000</v>
      </c>
      <c r="O9" s="170">
        <v>0</v>
      </c>
      <c r="P9" s="170">
        <f>IFERROR(VLOOKUP(B9,'BS lương'!$B$2:$M$188,9,0),0)</f>
        <v>1000000</v>
      </c>
      <c r="Q9" s="170">
        <f>IFERROR(VLOOKUP(B9,'Bảng lương tính trên HTfast'!$B$7:$AV$186,14,0),0)</f>
        <v>447000</v>
      </c>
      <c r="R9" s="170">
        <f t="shared" si="5"/>
        <v>29047000</v>
      </c>
      <c r="S9" s="170">
        <f>IFERROR(VLOOKUP(B9,'Bảng lương tính trên HTfast'!$B$7:$AV$186,16,0),0)</f>
        <v>987200</v>
      </c>
      <c r="T9" s="170"/>
      <c r="U9" s="170"/>
      <c r="V9" s="170"/>
      <c r="W9" s="170">
        <f>IFERROR(VLOOKUP(B9,'Bảng lương tính trên HTfast'!$B$7:$AV$186,20,0),0)</f>
        <v>16200000</v>
      </c>
      <c r="X9" s="170"/>
      <c r="Y9" s="170"/>
      <c r="Z9" s="170"/>
      <c r="AA9" s="170">
        <f t="shared" si="6"/>
        <v>11412800</v>
      </c>
      <c r="AB9" s="170"/>
      <c r="AC9" s="170"/>
      <c r="AD9" s="170"/>
      <c r="AE9" s="170"/>
      <c r="AF9" s="170"/>
      <c r="AG9" s="170"/>
      <c r="AH9" s="170"/>
      <c r="AI9" s="170"/>
      <c r="AJ9" s="170"/>
      <c r="AK9" s="170"/>
      <c r="AL9" s="170"/>
      <c r="AM9" s="170"/>
      <c r="AN9" s="170"/>
      <c r="AO9" s="170"/>
      <c r="AP9" s="170">
        <f t="shared" si="7"/>
        <v>961920</v>
      </c>
      <c r="AQ9" s="170">
        <v>0</v>
      </c>
      <c r="AR9" s="170">
        <f t="shared" si="8"/>
        <v>27097880</v>
      </c>
      <c r="AS9" s="170"/>
      <c r="AT9" s="170"/>
      <c r="AU9" s="170">
        <f t="shared" si="4"/>
        <v>149000</v>
      </c>
      <c r="AV9" s="170">
        <f>IFERROR(VLOOKUP(B9,'BS lương'!$B$2:$M$181,11,0),0)</f>
        <v>0</v>
      </c>
      <c r="AW9" s="170"/>
      <c r="AX9" s="170">
        <f t="shared" si="9"/>
        <v>26948880</v>
      </c>
    </row>
    <row r="10" spans="1:51" ht="12" customHeight="1" x14ac:dyDescent="0.3">
      <c r="A10" s="205">
        <v>4</v>
      </c>
      <c r="B10" s="171" t="s">
        <v>51</v>
      </c>
      <c r="C10" s="171" t="s">
        <v>52</v>
      </c>
      <c r="D10" s="171" t="s">
        <v>53</v>
      </c>
      <c r="E10" s="172"/>
      <c r="F10" s="172">
        <v>21</v>
      </c>
      <c r="G10" s="170">
        <v>23</v>
      </c>
      <c r="H10" s="170">
        <v>8418500</v>
      </c>
      <c r="I10" s="170"/>
      <c r="J10" s="174">
        <v>1</v>
      </c>
      <c r="K10" s="170"/>
      <c r="L10" s="170"/>
      <c r="M10" s="170">
        <v>25200000</v>
      </c>
      <c r="N10" s="170">
        <v>25200000</v>
      </c>
      <c r="O10" s="170">
        <v>0</v>
      </c>
      <c r="P10" s="170">
        <f>IFERROR(VLOOKUP(B10,'BS lương'!$B$2:$M$188,9,0),0)</f>
        <v>3000000</v>
      </c>
      <c r="Q10" s="170">
        <f>IFERROR(VLOOKUP(B10,'Bảng lương tính trên HTfast'!$B$7:$AV$186,14,0),0)</f>
        <v>0</v>
      </c>
      <c r="R10" s="170">
        <f t="shared" si="5"/>
        <v>28200000</v>
      </c>
      <c r="S10" s="170">
        <f>IFERROR(VLOOKUP(B10,'Bảng lương tính trên HTfast'!$B$7:$AV$186,16,0),0)</f>
        <v>883943</v>
      </c>
      <c r="T10" s="170"/>
      <c r="U10" s="170"/>
      <c r="V10" s="170"/>
      <c r="W10" s="170">
        <f>IFERROR(VLOOKUP(B10,'Bảng lương tính trên HTfast'!$B$7:$AV$186,20,0),0)</f>
        <v>12600000</v>
      </c>
      <c r="X10" s="170"/>
      <c r="Y10" s="170"/>
      <c r="Z10" s="170"/>
      <c r="AA10" s="170">
        <f t="shared" si="6"/>
        <v>14716057</v>
      </c>
      <c r="AB10" s="170"/>
      <c r="AC10" s="170"/>
      <c r="AD10" s="170"/>
      <c r="AE10" s="170"/>
      <c r="AF10" s="170"/>
      <c r="AG10" s="170"/>
      <c r="AH10" s="170"/>
      <c r="AI10" s="170"/>
      <c r="AJ10" s="170"/>
      <c r="AK10" s="170"/>
      <c r="AL10" s="170"/>
      <c r="AM10" s="170"/>
      <c r="AN10" s="170"/>
      <c r="AO10" s="170"/>
      <c r="AP10" s="170">
        <f t="shared" si="7"/>
        <v>1457409</v>
      </c>
      <c r="AQ10" s="170">
        <v>0</v>
      </c>
      <c r="AR10" s="170">
        <f t="shared" si="8"/>
        <v>25858648</v>
      </c>
      <c r="AS10" s="170"/>
      <c r="AT10" s="170"/>
      <c r="AU10" s="170">
        <f>IF(AR10*1%&gt;149000,149000,ROUND(AR10*1%,0))</f>
        <v>149000</v>
      </c>
      <c r="AV10" s="170">
        <f>IFERROR(VLOOKUP(B10,'BS lương'!$B$2:$M$181,11,0),0)</f>
        <v>0</v>
      </c>
      <c r="AW10" s="170"/>
      <c r="AX10" s="170">
        <f t="shared" si="9"/>
        <v>25709648</v>
      </c>
    </row>
    <row r="11" spans="1:51" ht="12" customHeight="1" x14ac:dyDescent="0.3">
      <c r="A11" s="205">
        <v>0</v>
      </c>
      <c r="B11" s="171" t="s">
        <v>40</v>
      </c>
      <c r="C11" s="171" t="s">
        <v>54</v>
      </c>
      <c r="D11" s="207"/>
      <c r="E11" s="172"/>
      <c r="F11" s="172">
        <v>347.82</v>
      </c>
      <c r="G11" s="170">
        <f>SUM(G12:G188)</f>
        <v>3197</v>
      </c>
      <c r="H11" s="170">
        <f t="shared" ref="H11:AX11" si="10">SUM(H12:H193)</f>
        <v>1430458250</v>
      </c>
      <c r="I11" s="170">
        <f t="shared" si="10"/>
        <v>0.89999999999999991</v>
      </c>
      <c r="J11" s="170">
        <f t="shared" si="10"/>
        <v>180.95999999999975</v>
      </c>
      <c r="K11" s="170">
        <f t="shared" si="10"/>
        <v>68.400000000000105</v>
      </c>
      <c r="L11" s="170">
        <f t="shared" si="10"/>
        <v>597750838</v>
      </c>
      <c r="M11" s="170">
        <f t="shared" si="10"/>
        <v>179325257</v>
      </c>
      <c r="N11" s="170">
        <f t="shared" si="10"/>
        <v>1720701375</v>
      </c>
      <c r="O11" s="170">
        <f t="shared" si="10"/>
        <v>25550000</v>
      </c>
      <c r="P11" s="170">
        <f t="shared" si="10"/>
        <v>243691569</v>
      </c>
      <c r="Q11" s="170">
        <f t="shared" si="10"/>
        <v>27859338</v>
      </c>
      <c r="R11" s="170">
        <f t="shared" si="10"/>
        <v>2017802282</v>
      </c>
      <c r="S11" s="170">
        <f t="shared" si="10"/>
        <v>150383857</v>
      </c>
      <c r="T11" s="170">
        <f t="shared" si="10"/>
        <v>0</v>
      </c>
      <c r="U11" s="170">
        <f t="shared" si="10"/>
        <v>0</v>
      </c>
      <c r="V11" s="170">
        <f t="shared" si="10"/>
        <v>0</v>
      </c>
      <c r="W11" s="170">
        <f t="shared" si="10"/>
        <v>2003400000</v>
      </c>
      <c r="X11" s="170">
        <f t="shared" si="10"/>
        <v>0</v>
      </c>
      <c r="Y11" s="170">
        <f t="shared" si="10"/>
        <v>0</v>
      </c>
      <c r="Z11" s="170">
        <f t="shared" si="10"/>
        <v>0</v>
      </c>
      <c r="AA11" s="170">
        <f t="shared" si="10"/>
        <v>230130657</v>
      </c>
      <c r="AB11" s="170">
        <f t="shared" si="10"/>
        <v>0</v>
      </c>
      <c r="AC11" s="170">
        <f t="shared" si="10"/>
        <v>0</v>
      </c>
      <c r="AD11" s="170">
        <f t="shared" si="10"/>
        <v>0</v>
      </c>
      <c r="AE11" s="170">
        <f t="shared" si="10"/>
        <v>0</v>
      </c>
      <c r="AF11" s="170">
        <f t="shared" si="10"/>
        <v>0</v>
      </c>
      <c r="AG11" s="170">
        <f t="shared" si="10"/>
        <v>0</v>
      </c>
      <c r="AH11" s="170">
        <f t="shared" si="10"/>
        <v>0</v>
      </c>
      <c r="AI11" s="170">
        <f t="shared" si="10"/>
        <v>0</v>
      </c>
      <c r="AJ11" s="170">
        <f t="shared" si="10"/>
        <v>0</v>
      </c>
      <c r="AK11" s="170">
        <f t="shared" si="10"/>
        <v>0</v>
      </c>
      <c r="AL11" s="170">
        <f t="shared" si="10"/>
        <v>0</v>
      </c>
      <c r="AM11" s="170">
        <f t="shared" si="10"/>
        <v>0</v>
      </c>
      <c r="AN11" s="170">
        <f t="shared" si="10"/>
        <v>0</v>
      </c>
      <c r="AO11" s="170">
        <f t="shared" si="10"/>
        <v>0</v>
      </c>
      <c r="AP11" s="170">
        <f t="shared" si="10"/>
        <v>14914906</v>
      </c>
      <c r="AQ11" s="170">
        <f t="shared" si="10"/>
        <v>0</v>
      </c>
      <c r="AR11" s="170">
        <f t="shared" si="10"/>
        <v>1852503519</v>
      </c>
      <c r="AS11" s="170">
        <f t="shared" si="10"/>
        <v>0</v>
      </c>
      <c r="AT11" s="170">
        <f t="shared" si="10"/>
        <v>0</v>
      </c>
      <c r="AU11" s="170">
        <f t="shared" si="10"/>
        <v>17312557</v>
      </c>
      <c r="AV11" s="170">
        <f t="shared" si="10"/>
        <v>0</v>
      </c>
      <c r="AW11" s="170">
        <f t="shared" si="10"/>
        <v>0</v>
      </c>
      <c r="AX11" s="170">
        <f t="shared" si="10"/>
        <v>1835190962</v>
      </c>
    </row>
    <row r="12" spans="1:51" ht="12" customHeight="1" x14ac:dyDescent="0.3">
      <c r="A12" s="205">
        <v>0</v>
      </c>
      <c r="B12" s="171" t="s">
        <v>40</v>
      </c>
      <c r="C12" s="171" t="s">
        <v>55</v>
      </c>
      <c r="D12" s="171"/>
      <c r="E12" s="172"/>
      <c r="F12" s="172"/>
      <c r="G12" s="209"/>
      <c r="H12" s="170"/>
      <c r="I12" s="173"/>
      <c r="J12" s="174"/>
      <c r="K12" s="170"/>
      <c r="L12" s="170"/>
      <c r="M12" s="170"/>
      <c r="N12" s="170"/>
      <c r="O12" s="170"/>
      <c r="P12" s="170"/>
      <c r="Q12" s="170"/>
      <c r="R12" s="170"/>
      <c r="S12" s="170"/>
      <c r="T12" s="170"/>
      <c r="U12" s="170"/>
      <c r="V12" s="170"/>
      <c r="W12" s="170"/>
      <c r="X12" s="170"/>
      <c r="Y12" s="170"/>
      <c r="Z12" s="170"/>
      <c r="AA12" s="170"/>
      <c r="AB12" s="170"/>
      <c r="AC12" s="170"/>
      <c r="AD12" s="170"/>
      <c r="AE12" s="170"/>
      <c r="AF12" s="170"/>
      <c r="AG12" s="170"/>
      <c r="AH12" s="170"/>
      <c r="AI12" s="170"/>
      <c r="AJ12" s="170"/>
      <c r="AK12" s="170"/>
      <c r="AL12" s="170"/>
      <c r="AM12" s="170"/>
      <c r="AN12" s="170"/>
      <c r="AO12" s="170"/>
      <c r="AP12" s="170"/>
      <c r="AQ12" s="170"/>
      <c r="AR12" s="170"/>
      <c r="AS12" s="170"/>
      <c r="AT12" s="170"/>
      <c r="AU12" s="170"/>
      <c r="AV12" s="170"/>
      <c r="AW12" s="170"/>
      <c r="AX12" s="170"/>
      <c r="AY12" s="206"/>
    </row>
    <row r="13" spans="1:51" s="210" customFormat="1" ht="12" customHeight="1" x14ac:dyDescent="0.3">
      <c r="A13" s="205">
        <f t="shared" ref="A13:A18" si="11">A12+1</f>
        <v>1</v>
      </c>
      <c r="B13" s="171" t="s">
        <v>280</v>
      </c>
      <c r="C13" s="171" t="s">
        <v>281</v>
      </c>
      <c r="D13" s="171" t="s">
        <v>66</v>
      </c>
      <c r="E13" s="172"/>
      <c r="F13" s="172">
        <v>1.1000000000000001</v>
      </c>
      <c r="G13" s="209">
        <f>VLOOKUP(B13,'Bảng lương tính trên HTfast'!$B$13:$H$194,6,0)</f>
        <v>20</v>
      </c>
      <c r="H13" s="170">
        <f>VLOOKUP(B13,'Bảng lương tính trên HTfast'!$B$13:$H$194,7,0)</f>
        <v>7323000</v>
      </c>
      <c r="I13" s="173">
        <f>IFERROR(VLOOKUP(B13,'Luong vitri'!$C$6:$O$179,10,0),0)</f>
        <v>0</v>
      </c>
      <c r="J13" s="174">
        <f>VLOOKUP(B13,'Bảng lương tính trên HTfast'!$B$13:$I$194,8,0)</f>
        <v>1</v>
      </c>
      <c r="K13" s="173">
        <f>IFERROR(VLOOKUP(B13,'Luong vitri'!$C$6:$O$201,12,0),0)</f>
        <v>0.45</v>
      </c>
      <c r="L13" s="170">
        <f t="shared" ref="L13:L18" si="12">ROUND((H13+H13*I13)*K13,0)</f>
        <v>3295350</v>
      </c>
      <c r="M13" s="170">
        <f t="shared" ref="M13:M18" si="13">ROUND(L13*0.3,0)</f>
        <v>988605</v>
      </c>
      <c r="N13" s="170">
        <f t="shared" ref="N13:N18" si="14">ROUND((H13+H13*I13)*J13+M13,0)</f>
        <v>8311605</v>
      </c>
      <c r="O13" s="170">
        <f>IFERROR(VLOOKUP(B13,'Bảng lương tính trên HTfast'!$B$13:$O$194,12,0),0)</f>
        <v>0</v>
      </c>
      <c r="P13" s="170">
        <f>IFERROR(VLOOKUP(B13,'BS lương'!$B$2:$M$188,9,0),0)</f>
        <v>555556</v>
      </c>
      <c r="Q13" s="170">
        <f>IFERROR(VLOOKUP(B13,'BS lương'!$B$2:$M$188,10,0),0)</f>
        <v>0</v>
      </c>
      <c r="R13" s="170">
        <f t="shared" ref="R13:R18" si="15">N13+O13+P13+Q13</f>
        <v>8867161</v>
      </c>
      <c r="S13" s="170">
        <f>IFERROR(VLOOKUP(B13,'Bảng lương tính trên HTfast'!$B$13:$U$194,16,0),0)</f>
        <v>768915</v>
      </c>
      <c r="T13" s="170"/>
      <c r="U13" s="170"/>
      <c r="V13" s="170"/>
      <c r="W13" s="170">
        <f>IFERROR(VLOOKUP(B13,'Bảng lương tính trên HTfast'!$B$13:$U$190,20,0),0)</f>
        <v>9000000</v>
      </c>
      <c r="X13" s="170"/>
      <c r="Y13" s="170"/>
      <c r="Z13" s="170"/>
      <c r="AA13" s="170">
        <f t="shared" ref="AA13:AA18" si="16">IF((R13-S13-W13-O13-Q13)&gt;0,(R13-S13-W13-O13-Q13),0)</f>
        <v>0</v>
      </c>
      <c r="AB13" s="170"/>
      <c r="AC13" s="170"/>
      <c r="AD13" s="170"/>
      <c r="AE13" s="170"/>
      <c r="AF13" s="170"/>
      <c r="AG13" s="170"/>
      <c r="AH13" s="170"/>
      <c r="AI13" s="170"/>
      <c r="AJ13" s="170"/>
      <c r="AK13" s="170"/>
      <c r="AL13" s="170"/>
      <c r="AM13" s="170"/>
      <c r="AN13" s="170"/>
      <c r="AO13" s="170"/>
      <c r="AP13" s="170">
        <f t="shared" ref="AP13:AP18" si="17">ROUND(IF(AA13&lt;5000000,AA13*0.05,IF(AA13&lt;10000000,250000+(AA13-5000000)*0.1,IF(AA13&lt;18000000,750000+(AA13-10000000)*0.15,IF(AA13&lt;32000000,1950000+(AA13-18000000)*0.2,IF(AA13&lt;52000000,4750000+(AA13-32000000)*0.25,IF(AA13&lt;80000000,9750000+(AA13-52000000)*0.3,IF(AA13&gt;80000000,18150000+(AA13-80000000)*0.35,0))))))),0)</f>
        <v>0</v>
      </c>
      <c r="AQ13" s="170"/>
      <c r="AR13" s="170">
        <f t="shared" ref="AR13:AR18" si="18">R13-S13-AP13</f>
        <v>8098246</v>
      </c>
      <c r="AS13" s="170"/>
      <c r="AT13" s="170"/>
      <c r="AU13" s="170">
        <f t="shared" ref="AU13:AU18" si="19">IF(G13&gt;0,IF(AR13*1%&gt;149000,149000,ROUND(AR13*1%,0)),0)</f>
        <v>80982</v>
      </c>
      <c r="AV13" s="170">
        <f>IFERROR(VLOOKUP(B13,'BS lương'!$B$2:$M$181,11,0),0)</f>
        <v>0</v>
      </c>
      <c r="AW13" s="170"/>
      <c r="AX13" s="170">
        <f t="shared" ref="AX13:AX18" si="20">AR13-AU13-AV13-AW13</f>
        <v>8017264</v>
      </c>
      <c r="AY13" s="175"/>
    </row>
    <row r="14" spans="1:51" ht="12" customHeight="1" x14ac:dyDescent="0.3">
      <c r="A14" s="205">
        <f t="shared" si="11"/>
        <v>2</v>
      </c>
      <c r="B14" s="171" t="s">
        <v>218</v>
      </c>
      <c r="C14" s="171" t="s">
        <v>219</v>
      </c>
      <c r="D14" s="171" t="s">
        <v>217</v>
      </c>
      <c r="E14" s="172"/>
      <c r="F14" s="172">
        <v>1.85</v>
      </c>
      <c r="G14" s="209">
        <f>VLOOKUP(B14,'Bảng lương tính trên HTfast'!$B$13:$H$194,6,0)</f>
        <v>20</v>
      </c>
      <c r="H14" s="170">
        <f>VLOOKUP(B14,'Bảng lương tính trên HTfast'!$B$13:$H$194,7,0)</f>
        <v>9831000</v>
      </c>
      <c r="I14" s="173">
        <f>IFERROR(VLOOKUP(B14,'Luong vitri'!$C$6:$O$179,10,0),0)</f>
        <v>0</v>
      </c>
      <c r="J14" s="174">
        <f>VLOOKUP(B14,'Bảng lương tính trên HTfast'!$B$13:$I$194,8,0)</f>
        <v>1</v>
      </c>
      <c r="K14" s="173">
        <f>IFERROR(VLOOKUP(B14,'Luong vitri'!$C$6:$O$201,12,0),0)</f>
        <v>0.4</v>
      </c>
      <c r="L14" s="170">
        <f t="shared" si="12"/>
        <v>3932400</v>
      </c>
      <c r="M14" s="170">
        <f t="shared" si="13"/>
        <v>1179720</v>
      </c>
      <c r="N14" s="170">
        <f t="shared" si="14"/>
        <v>11010720</v>
      </c>
      <c r="O14" s="170">
        <f>IFERROR(VLOOKUP(B14,'Bảng lương tính trên HTfast'!$B$13:$O$194,12,0),0)</f>
        <v>0</v>
      </c>
      <c r="P14" s="170">
        <f>IFERROR(VLOOKUP(B14,'BS lương'!$B$2:$M$188,9,0),0)</f>
        <v>588235</v>
      </c>
      <c r="Q14" s="170">
        <f>IFERROR(VLOOKUP(B14,'BS lương'!$B$2:$M$188,10,0),0)</f>
        <v>0</v>
      </c>
      <c r="R14" s="170">
        <f t="shared" si="15"/>
        <v>11598955</v>
      </c>
      <c r="S14" s="170">
        <f>IFERROR(VLOOKUP(B14,'Bảng lương tính trên HTfast'!$B$13:$U$194,16,0),0)</f>
        <v>1032255</v>
      </c>
      <c r="T14" s="170"/>
      <c r="U14" s="170"/>
      <c r="V14" s="170"/>
      <c r="W14" s="170">
        <f>IFERROR(VLOOKUP(B14,'Bảng lương tính trên HTfast'!$B$13:$U$190,20,0),0)</f>
        <v>23400000</v>
      </c>
      <c r="X14" s="170"/>
      <c r="Y14" s="170"/>
      <c r="Z14" s="170"/>
      <c r="AA14" s="170">
        <f t="shared" si="16"/>
        <v>0</v>
      </c>
      <c r="AB14" s="170"/>
      <c r="AC14" s="170"/>
      <c r="AD14" s="170"/>
      <c r="AE14" s="170"/>
      <c r="AF14" s="170"/>
      <c r="AG14" s="170"/>
      <c r="AH14" s="170"/>
      <c r="AI14" s="170"/>
      <c r="AJ14" s="170"/>
      <c r="AK14" s="170"/>
      <c r="AL14" s="170"/>
      <c r="AM14" s="170"/>
      <c r="AN14" s="170"/>
      <c r="AO14" s="170"/>
      <c r="AP14" s="170">
        <f t="shared" si="17"/>
        <v>0</v>
      </c>
      <c r="AQ14" s="170"/>
      <c r="AR14" s="170">
        <f t="shared" si="18"/>
        <v>10566700</v>
      </c>
      <c r="AS14" s="170"/>
      <c r="AT14" s="170"/>
      <c r="AU14" s="170">
        <f t="shared" si="19"/>
        <v>105667</v>
      </c>
      <c r="AV14" s="170">
        <f>IFERROR(VLOOKUP(B14,'BS lương'!$B$2:$M$181,11,0),0)</f>
        <v>0</v>
      </c>
      <c r="AW14" s="170"/>
      <c r="AX14" s="170">
        <f t="shared" si="20"/>
        <v>10461033</v>
      </c>
    </row>
    <row r="15" spans="1:51" ht="12" customHeight="1" x14ac:dyDescent="0.3">
      <c r="A15" s="205">
        <f t="shared" si="11"/>
        <v>3</v>
      </c>
      <c r="B15" s="171" t="s">
        <v>245</v>
      </c>
      <c r="C15" s="171" t="s">
        <v>246</v>
      </c>
      <c r="D15" s="171" t="s">
        <v>200</v>
      </c>
      <c r="E15" s="172"/>
      <c r="F15" s="172">
        <v>1.85</v>
      </c>
      <c r="G15" s="209">
        <f>VLOOKUP(B15,'Bảng lương tính trên HTfast'!$B$13:$H$194,6,0)</f>
        <v>20</v>
      </c>
      <c r="H15" s="170">
        <f>VLOOKUP(B15,'Bảng lương tính trên HTfast'!$B$13:$H$194,7,0)</f>
        <v>7267700</v>
      </c>
      <c r="I15" s="173">
        <f>IFERROR(VLOOKUP(B15,'Luong vitri'!$C$6:$O$179,10,0),0)</f>
        <v>0</v>
      </c>
      <c r="J15" s="174">
        <f>VLOOKUP(B15,'Bảng lương tính trên HTfast'!$B$13:$I$194,8,0)</f>
        <v>1</v>
      </c>
      <c r="K15" s="173">
        <f>IFERROR(VLOOKUP(B15,'Luong vitri'!$C$6:$O$201,12,0),0)</f>
        <v>0.35</v>
      </c>
      <c r="L15" s="170">
        <f t="shared" si="12"/>
        <v>2543695</v>
      </c>
      <c r="M15" s="170">
        <f t="shared" si="13"/>
        <v>763109</v>
      </c>
      <c r="N15" s="170">
        <f t="shared" si="14"/>
        <v>8030809</v>
      </c>
      <c r="O15" s="170">
        <f>IFERROR(VLOOKUP(B15,'Bảng lương tính trên HTfast'!$B$13:$O$194,12,0),0)</f>
        <v>0</v>
      </c>
      <c r="P15" s="170">
        <f>IFERROR(VLOOKUP(B15,'BS lương'!$B$2:$M$188,9,0),0)</f>
        <v>588235</v>
      </c>
      <c r="Q15" s="170">
        <f>IFERROR(VLOOKUP(B15,'BS lương'!$B$2:$M$188,10,0),0)</f>
        <v>0</v>
      </c>
      <c r="R15" s="170">
        <f t="shared" si="15"/>
        <v>8619044</v>
      </c>
      <c r="S15" s="170">
        <f>IFERROR(VLOOKUP(B15,'Bảng lương tính trên HTfast'!$B$13:$U$194,16,0),0)</f>
        <v>763109</v>
      </c>
      <c r="T15" s="170"/>
      <c r="U15" s="170"/>
      <c r="V15" s="170"/>
      <c r="W15" s="170">
        <f>IFERROR(VLOOKUP(B15,'Bảng lương tính trên HTfast'!$B$13:$U$190,20,0),0)</f>
        <v>12600000</v>
      </c>
      <c r="X15" s="170"/>
      <c r="Y15" s="170"/>
      <c r="Z15" s="170"/>
      <c r="AA15" s="170">
        <f t="shared" si="16"/>
        <v>0</v>
      </c>
      <c r="AB15" s="170"/>
      <c r="AC15" s="170"/>
      <c r="AD15" s="170"/>
      <c r="AE15" s="170"/>
      <c r="AF15" s="170"/>
      <c r="AG15" s="170"/>
      <c r="AH15" s="170"/>
      <c r="AI15" s="170"/>
      <c r="AJ15" s="170"/>
      <c r="AK15" s="170"/>
      <c r="AL15" s="170"/>
      <c r="AM15" s="170"/>
      <c r="AN15" s="170"/>
      <c r="AO15" s="170"/>
      <c r="AP15" s="170">
        <f t="shared" si="17"/>
        <v>0</v>
      </c>
      <c r="AQ15" s="170"/>
      <c r="AR15" s="170">
        <f t="shared" si="18"/>
        <v>7855935</v>
      </c>
      <c r="AS15" s="170"/>
      <c r="AT15" s="170"/>
      <c r="AU15" s="170">
        <f t="shared" si="19"/>
        <v>78559</v>
      </c>
      <c r="AV15" s="170">
        <f>IFERROR(VLOOKUP(B15,'BS lương'!$B$2:$M$181,11,0),0)</f>
        <v>0</v>
      </c>
      <c r="AW15" s="170"/>
      <c r="AX15" s="170">
        <f t="shared" si="20"/>
        <v>7777376</v>
      </c>
    </row>
    <row r="16" spans="1:51" ht="12" customHeight="1" x14ac:dyDescent="0.3">
      <c r="A16" s="205">
        <f t="shared" si="11"/>
        <v>4</v>
      </c>
      <c r="B16" s="171" t="s">
        <v>326</v>
      </c>
      <c r="C16" s="171" t="s">
        <v>327</v>
      </c>
      <c r="D16" s="171" t="s">
        <v>66</v>
      </c>
      <c r="E16" s="172"/>
      <c r="F16" s="172">
        <v>1.85</v>
      </c>
      <c r="G16" s="209">
        <f>VLOOKUP(B16,'Bảng lương tính trên HTfast'!$B$13:$H$194,6,0)</f>
        <v>20</v>
      </c>
      <c r="H16" s="170">
        <f>VLOOKUP(B16,'Bảng lương tính trên HTfast'!$B$13:$H$194,7,0)</f>
        <v>7323000</v>
      </c>
      <c r="I16" s="173">
        <f>IFERROR(VLOOKUP(B16,'Luong vitri'!$C$6:$O$179,10,0),0)</f>
        <v>0</v>
      </c>
      <c r="J16" s="174">
        <f>VLOOKUP(B16,'Bảng lương tính trên HTfast'!$B$13:$I$194,8,0)</f>
        <v>1.1299999999999999</v>
      </c>
      <c r="K16" s="173">
        <f>IFERROR(VLOOKUP(B16,'Luong vitri'!$C$6:$O$187,12,0),0)</f>
        <v>0.45</v>
      </c>
      <c r="L16" s="170">
        <f t="shared" si="12"/>
        <v>3295350</v>
      </c>
      <c r="M16" s="170">
        <f t="shared" si="13"/>
        <v>988605</v>
      </c>
      <c r="N16" s="170">
        <f t="shared" si="14"/>
        <v>9263595</v>
      </c>
      <c r="O16" s="170">
        <f>IFERROR(VLOOKUP(B16,'Bảng lương tính trên HTfast'!$B$13:$O$194,12,0),0)</f>
        <v>0</v>
      </c>
      <c r="P16" s="170">
        <f>IFERROR(VLOOKUP(B16,'BS lương'!$B$2:$M$188,9,0),0)</f>
        <v>0</v>
      </c>
      <c r="Q16" s="170">
        <f>IFERROR(VLOOKUP(B16,'BS lương'!$B$2:$M$188,10,0),0)</f>
        <v>0</v>
      </c>
      <c r="R16" s="170">
        <f t="shared" si="15"/>
        <v>9263595</v>
      </c>
      <c r="S16" s="170">
        <f>IFERROR(VLOOKUP(B16,'Bảng lương tính trên HTfast'!$B$13:$U$194,16,0),0)</f>
        <v>768915</v>
      </c>
      <c r="T16" s="170"/>
      <c r="U16" s="170"/>
      <c r="V16" s="170"/>
      <c r="W16" s="170">
        <f>IFERROR(VLOOKUP(B16,'Bảng lương tính trên HTfast'!$B$13:$U$190,20,0),0)</f>
        <v>9000000</v>
      </c>
      <c r="X16" s="170"/>
      <c r="Y16" s="170"/>
      <c r="Z16" s="170"/>
      <c r="AA16" s="170">
        <f t="shared" si="16"/>
        <v>0</v>
      </c>
      <c r="AB16" s="170"/>
      <c r="AC16" s="170"/>
      <c r="AD16" s="170"/>
      <c r="AE16" s="170"/>
      <c r="AF16" s="170"/>
      <c r="AG16" s="170"/>
      <c r="AH16" s="170"/>
      <c r="AI16" s="170"/>
      <c r="AJ16" s="170"/>
      <c r="AK16" s="170"/>
      <c r="AL16" s="170"/>
      <c r="AM16" s="170"/>
      <c r="AN16" s="170"/>
      <c r="AO16" s="170"/>
      <c r="AP16" s="170">
        <f t="shared" si="17"/>
        <v>0</v>
      </c>
      <c r="AQ16" s="170"/>
      <c r="AR16" s="170">
        <f t="shared" si="18"/>
        <v>8494680</v>
      </c>
      <c r="AS16" s="170"/>
      <c r="AT16" s="170"/>
      <c r="AU16" s="170">
        <f t="shared" si="19"/>
        <v>84947</v>
      </c>
      <c r="AV16" s="170">
        <f>IFERROR(VLOOKUP(B16,'BS lương'!$B$2:$M$181,11,0),0)</f>
        <v>0</v>
      </c>
      <c r="AW16" s="170"/>
      <c r="AX16" s="170">
        <f t="shared" si="20"/>
        <v>8409733</v>
      </c>
    </row>
    <row r="17" spans="1:50" ht="12" customHeight="1" x14ac:dyDescent="0.3">
      <c r="A17" s="205">
        <f t="shared" si="11"/>
        <v>5</v>
      </c>
      <c r="B17" s="171" t="s">
        <v>206</v>
      </c>
      <c r="C17" s="171" t="s">
        <v>207</v>
      </c>
      <c r="D17" s="171" t="s">
        <v>208</v>
      </c>
      <c r="E17" s="172"/>
      <c r="F17" s="172">
        <v>33.159999999999997</v>
      </c>
      <c r="G17" s="209">
        <f>VLOOKUP(B17,'Bảng lương tính trên HTfast'!$B$13:$H$194,6,0)</f>
        <v>20</v>
      </c>
      <c r="H17" s="170">
        <f>VLOOKUP(B17,'Bảng lương tính trên HTfast'!$B$13:$H$194,7,0)</f>
        <v>5134000</v>
      </c>
      <c r="I17" s="173">
        <f>IFERROR(VLOOKUP(B17,'Luong vitri'!$C$6:$O$179,10,0),0)</f>
        <v>0</v>
      </c>
      <c r="J17" s="174">
        <f>VLOOKUP(B17,'Bảng lương tính trên HTfast'!$B$13:$I$194,8,0)</f>
        <v>1.1299999999999999</v>
      </c>
      <c r="K17" s="173">
        <f>IFERROR(VLOOKUP(B17,'Luong vitri'!$C$6:$O$201,12,0),0)</f>
        <v>0.35</v>
      </c>
      <c r="L17" s="170">
        <f t="shared" si="12"/>
        <v>1796900</v>
      </c>
      <c r="M17" s="170">
        <f t="shared" si="13"/>
        <v>539070</v>
      </c>
      <c r="N17" s="170">
        <f t="shared" si="14"/>
        <v>6340490</v>
      </c>
      <c r="O17" s="170">
        <f>IFERROR(VLOOKUP(B17,'Bảng lương tính trên HTfast'!$B$13:$O$194,12,0),0)</f>
        <v>0</v>
      </c>
      <c r="P17" s="170">
        <f>IFERROR(VLOOKUP(B17,'BS lương'!$B$2:$M$188,9,0),0)</f>
        <v>714282</v>
      </c>
      <c r="Q17" s="170">
        <f>IFERROR(VLOOKUP(B17,'BS lương'!$B$2:$M$188,10,0),0)</f>
        <v>0</v>
      </c>
      <c r="R17" s="170">
        <f t="shared" si="15"/>
        <v>7054772</v>
      </c>
      <c r="S17" s="170">
        <f>IFERROR(VLOOKUP(B17,'Bảng lương tính trên HTfast'!$B$13:$U$194,16,0),0)</f>
        <v>539070</v>
      </c>
      <c r="T17" s="170"/>
      <c r="U17" s="170"/>
      <c r="V17" s="170"/>
      <c r="W17" s="170">
        <f>IFERROR(VLOOKUP(B17,'Bảng lương tính trên HTfast'!$B$13:$U$190,20,0),0)</f>
        <v>12600000</v>
      </c>
      <c r="X17" s="170"/>
      <c r="Y17" s="170"/>
      <c r="Z17" s="170"/>
      <c r="AA17" s="170">
        <f t="shared" si="16"/>
        <v>0</v>
      </c>
      <c r="AB17" s="170"/>
      <c r="AC17" s="170"/>
      <c r="AD17" s="170"/>
      <c r="AE17" s="170"/>
      <c r="AF17" s="170"/>
      <c r="AG17" s="170"/>
      <c r="AH17" s="170"/>
      <c r="AI17" s="170"/>
      <c r="AJ17" s="170"/>
      <c r="AK17" s="170"/>
      <c r="AL17" s="170"/>
      <c r="AM17" s="170"/>
      <c r="AN17" s="170"/>
      <c r="AO17" s="170"/>
      <c r="AP17" s="170">
        <f t="shared" si="17"/>
        <v>0</v>
      </c>
      <c r="AQ17" s="170"/>
      <c r="AR17" s="170">
        <f t="shared" si="18"/>
        <v>6515702</v>
      </c>
      <c r="AS17" s="170"/>
      <c r="AT17" s="170"/>
      <c r="AU17" s="170">
        <f t="shared" si="19"/>
        <v>65157</v>
      </c>
      <c r="AV17" s="170">
        <f>IFERROR(VLOOKUP(B17,'BS lương'!$B$2:$M$181,11,0),0)</f>
        <v>0</v>
      </c>
      <c r="AW17" s="170"/>
      <c r="AX17" s="170">
        <f t="shared" si="20"/>
        <v>6450545</v>
      </c>
    </row>
    <row r="18" spans="1:50" ht="12" customHeight="1" x14ac:dyDescent="0.3">
      <c r="A18" s="205">
        <f t="shared" si="11"/>
        <v>6</v>
      </c>
      <c r="B18" s="171" t="s">
        <v>262</v>
      </c>
      <c r="C18" s="171" t="s">
        <v>263</v>
      </c>
      <c r="D18" s="171" t="s">
        <v>66</v>
      </c>
      <c r="E18" s="172"/>
      <c r="F18" s="172">
        <v>1.85</v>
      </c>
      <c r="G18" s="209">
        <f>VLOOKUP(B18,'Bảng lương tính trên HTfast'!$B$13:$H$194,6,0)</f>
        <v>20</v>
      </c>
      <c r="H18" s="170">
        <f>VLOOKUP(B18,'Bảng lương tính trên HTfast'!$B$13:$H$194,7,0)</f>
        <v>7323000</v>
      </c>
      <c r="I18" s="173">
        <f>IFERROR(VLOOKUP(B18,'Luong vitri'!$C$6:$O$179,10,0),0)</f>
        <v>0</v>
      </c>
      <c r="J18" s="174">
        <f>VLOOKUP(B18,'Bảng lương tính trên HTfast'!$B$13:$I$194,8,0)</f>
        <v>1</v>
      </c>
      <c r="K18" s="173">
        <f>IFERROR(VLOOKUP(B18,'Luong vitri'!$C$6:$O$201,12,0),0)</f>
        <v>0.45</v>
      </c>
      <c r="L18" s="170">
        <f t="shared" si="12"/>
        <v>3295350</v>
      </c>
      <c r="M18" s="170">
        <f t="shared" si="13"/>
        <v>988605</v>
      </c>
      <c r="N18" s="170">
        <f t="shared" si="14"/>
        <v>8311605</v>
      </c>
      <c r="O18" s="170">
        <f>IFERROR(VLOOKUP(B18,'Bảng lương tính trên HTfast'!$B$13:$O$194,12,0),0)</f>
        <v>0</v>
      </c>
      <c r="P18" s="170">
        <f>IFERROR(VLOOKUP(B18,'BS lương'!$B$2:$M$188,9,0),0)</f>
        <v>555556</v>
      </c>
      <c r="Q18" s="170">
        <f>IFERROR(VLOOKUP(B18,'BS lương'!$B$2:$M$188,10,0),0)</f>
        <v>0</v>
      </c>
      <c r="R18" s="170">
        <f t="shared" si="15"/>
        <v>8867161</v>
      </c>
      <c r="S18" s="170">
        <f>IFERROR(VLOOKUP(B18,'Bảng lương tính trên HTfast'!$B$13:$U$194,16,0),0)</f>
        <v>768915</v>
      </c>
      <c r="T18" s="170"/>
      <c r="U18" s="170"/>
      <c r="V18" s="170"/>
      <c r="W18" s="170">
        <f>IFERROR(VLOOKUP(B18,'Bảng lương tính trên HTfast'!$B$13:$U$190,20,0),0)</f>
        <v>16200000</v>
      </c>
      <c r="X18" s="170"/>
      <c r="Y18" s="170"/>
      <c r="Z18" s="170"/>
      <c r="AA18" s="170">
        <f t="shared" si="16"/>
        <v>0</v>
      </c>
      <c r="AB18" s="170"/>
      <c r="AC18" s="170"/>
      <c r="AD18" s="170"/>
      <c r="AE18" s="170"/>
      <c r="AF18" s="170"/>
      <c r="AG18" s="170"/>
      <c r="AH18" s="170"/>
      <c r="AI18" s="170"/>
      <c r="AJ18" s="170"/>
      <c r="AK18" s="170"/>
      <c r="AL18" s="170"/>
      <c r="AM18" s="170"/>
      <c r="AN18" s="170"/>
      <c r="AO18" s="170"/>
      <c r="AP18" s="170">
        <f t="shared" si="17"/>
        <v>0</v>
      </c>
      <c r="AQ18" s="170"/>
      <c r="AR18" s="170">
        <f t="shared" si="18"/>
        <v>8098246</v>
      </c>
      <c r="AS18" s="170"/>
      <c r="AT18" s="170"/>
      <c r="AU18" s="170">
        <f t="shared" si="19"/>
        <v>80982</v>
      </c>
      <c r="AV18" s="170">
        <f>IFERROR(VLOOKUP(B18,'BS lương'!$B$2:$M$181,11,0),0)</f>
        <v>0</v>
      </c>
      <c r="AW18" s="170"/>
      <c r="AX18" s="170">
        <f t="shared" si="20"/>
        <v>8017264</v>
      </c>
    </row>
    <row r="19" spans="1:50" ht="12" customHeight="1" x14ac:dyDescent="0.3">
      <c r="A19" s="205">
        <v>0</v>
      </c>
      <c r="B19" s="171" t="s">
        <v>40</v>
      </c>
      <c r="C19" s="171" t="s">
        <v>211</v>
      </c>
      <c r="D19" s="171"/>
      <c r="E19" s="172"/>
      <c r="F19" s="172">
        <v>2.29</v>
      </c>
      <c r="G19" s="209"/>
      <c r="H19" s="170"/>
      <c r="I19" s="173"/>
      <c r="J19" s="174"/>
      <c r="K19" s="173"/>
      <c r="L19" s="170"/>
      <c r="M19" s="170"/>
      <c r="N19" s="170"/>
      <c r="O19" s="170"/>
      <c r="P19" s="170"/>
      <c r="Q19" s="170"/>
      <c r="R19" s="170"/>
      <c r="S19" s="170"/>
      <c r="T19" s="170"/>
      <c r="U19" s="170"/>
      <c r="V19" s="170"/>
      <c r="W19" s="170"/>
      <c r="X19" s="170"/>
      <c r="Y19" s="170"/>
      <c r="Z19" s="170"/>
      <c r="AA19" s="170"/>
      <c r="AB19" s="170"/>
      <c r="AC19" s="170"/>
      <c r="AD19" s="170"/>
      <c r="AE19" s="170"/>
      <c r="AF19" s="170"/>
      <c r="AG19" s="170"/>
      <c r="AH19" s="170"/>
      <c r="AI19" s="170"/>
      <c r="AJ19" s="170"/>
      <c r="AK19" s="170"/>
      <c r="AL19" s="170"/>
      <c r="AM19" s="170"/>
      <c r="AN19" s="170"/>
      <c r="AO19" s="170"/>
      <c r="AP19" s="170"/>
      <c r="AQ19" s="170"/>
      <c r="AR19" s="170"/>
      <c r="AS19" s="170"/>
      <c r="AT19" s="170"/>
      <c r="AU19" s="170"/>
      <c r="AV19" s="170"/>
      <c r="AW19" s="170"/>
      <c r="AX19" s="170"/>
    </row>
    <row r="20" spans="1:50" ht="12" customHeight="1" x14ac:dyDescent="0.3">
      <c r="A20" s="205">
        <v>0</v>
      </c>
      <c r="B20" s="171" t="s">
        <v>40</v>
      </c>
      <c r="C20" s="171" t="s">
        <v>247</v>
      </c>
      <c r="D20" s="171"/>
      <c r="E20" s="172"/>
      <c r="F20" s="172">
        <v>1.85</v>
      </c>
      <c r="G20" s="209"/>
      <c r="H20" s="170"/>
      <c r="I20" s="173"/>
      <c r="J20" s="174"/>
      <c r="K20" s="173"/>
      <c r="L20" s="170"/>
      <c r="M20" s="170"/>
      <c r="N20" s="170"/>
      <c r="O20" s="170"/>
      <c r="P20" s="170"/>
      <c r="Q20" s="170"/>
      <c r="R20" s="170"/>
      <c r="S20" s="170"/>
      <c r="T20" s="170"/>
      <c r="U20" s="170"/>
      <c r="V20" s="170"/>
      <c r="W20" s="170"/>
      <c r="X20" s="170"/>
      <c r="Y20" s="170"/>
      <c r="Z20" s="170"/>
      <c r="AA20" s="170"/>
      <c r="AB20" s="170"/>
      <c r="AC20" s="170"/>
      <c r="AD20" s="170"/>
      <c r="AE20" s="170"/>
      <c r="AF20" s="170"/>
      <c r="AG20" s="170"/>
      <c r="AH20" s="170"/>
      <c r="AI20" s="170"/>
      <c r="AJ20" s="170"/>
      <c r="AK20" s="170"/>
      <c r="AL20" s="170"/>
      <c r="AM20" s="170"/>
      <c r="AN20" s="170"/>
      <c r="AO20" s="170"/>
      <c r="AP20" s="170"/>
      <c r="AQ20" s="170"/>
      <c r="AR20" s="170"/>
      <c r="AS20" s="170"/>
      <c r="AT20" s="170"/>
      <c r="AU20" s="170"/>
      <c r="AV20" s="170"/>
      <c r="AW20" s="170"/>
      <c r="AX20" s="170"/>
    </row>
    <row r="21" spans="1:50" ht="12" customHeight="1" x14ac:dyDescent="0.3">
      <c r="A21" s="205">
        <v>0</v>
      </c>
      <c r="B21" s="171" t="s">
        <v>40</v>
      </c>
      <c r="C21" s="171" t="s">
        <v>286</v>
      </c>
      <c r="D21" s="171"/>
      <c r="E21" s="172"/>
      <c r="F21" s="172">
        <v>2.29</v>
      </c>
      <c r="G21" s="209"/>
      <c r="H21" s="170"/>
      <c r="I21" s="173"/>
      <c r="J21" s="174"/>
      <c r="K21" s="173"/>
      <c r="L21" s="170"/>
      <c r="M21" s="170"/>
      <c r="N21" s="170"/>
      <c r="O21" s="170"/>
      <c r="P21" s="170"/>
      <c r="Q21" s="170"/>
      <c r="R21" s="170"/>
      <c r="S21" s="170"/>
      <c r="T21" s="170"/>
      <c r="U21" s="170"/>
      <c r="V21" s="170"/>
      <c r="W21" s="170"/>
      <c r="X21" s="170"/>
      <c r="Y21" s="170"/>
      <c r="Z21" s="170"/>
      <c r="AA21" s="170"/>
      <c r="AB21" s="170"/>
      <c r="AC21" s="170"/>
      <c r="AD21" s="170"/>
      <c r="AE21" s="170"/>
      <c r="AF21" s="170"/>
      <c r="AG21" s="170"/>
      <c r="AH21" s="170"/>
      <c r="AI21" s="170"/>
      <c r="AJ21" s="170"/>
      <c r="AK21" s="170"/>
      <c r="AL21" s="170"/>
      <c r="AM21" s="170"/>
      <c r="AN21" s="170"/>
      <c r="AO21" s="170"/>
      <c r="AP21" s="170"/>
      <c r="AQ21" s="170"/>
      <c r="AR21" s="170"/>
      <c r="AS21" s="170"/>
      <c r="AT21" s="170"/>
      <c r="AU21" s="170"/>
      <c r="AV21" s="170"/>
      <c r="AW21" s="170"/>
      <c r="AX21" s="170"/>
    </row>
    <row r="22" spans="1:50" ht="12" customHeight="1" x14ac:dyDescent="0.3">
      <c r="A22" s="205">
        <v>0</v>
      </c>
      <c r="B22" s="171" t="s">
        <v>40</v>
      </c>
      <c r="C22" s="171" t="s">
        <v>340</v>
      </c>
      <c r="D22" s="171"/>
      <c r="E22" s="172"/>
      <c r="F22" s="172">
        <v>2.29</v>
      </c>
      <c r="G22" s="209"/>
      <c r="H22" s="170"/>
      <c r="I22" s="173"/>
      <c r="J22" s="174"/>
      <c r="K22" s="173"/>
      <c r="L22" s="170"/>
      <c r="M22" s="170"/>
      <c r="N22" s="170"/>
      <c r="O22" s="170"/>
      <c r="P22" s="170"/>
      <c r="Q22" s="170"/>
      <c r="R22" s="170"/>
      <c r="S22" s="170"/>
      <c r="T22" s="170"/>
      <c r="U22" s="170"/>
      <c r="V22" s="170"/>
      <c r="W22" s="170"/>
      <c r="X22" s="170"/>
      <c r="Y22" s="170"/>
      <c r="Z22" s="170"/>
      <c r="AA22" s="170"/>
      <c r="AB22" s="170"/>
      <c r="AC22" s="170"/>
      <c r="AD22" s="170"/>
      <c r="AE22" s="170"/>
      <c r="AF22" s="170"/>
      <c r="AG22" s="170"/>
      <c r="AH22" s="170"/>
      <c r="AI22" s="170"/>
      <c r="AJ22" s="170"/>
      <c r="AK22" s="170"/>
      <c r="AL22" s="170"/>
      <c r="AM22" s="170"/>
      <c r="AN22" s="170"/>
      <c r="AO22" s="170"/>
      <c r="AP22" s="170"/>
      <c r="AQ22" s="170"/>
      <c r="AR22" s="170"/>
      <c r="AS22" s="170"/>
      <c r="AT22" s="170"/>
      <c r="AU22" s="170"/>
      <c r="AV22" s="170"/>
      <c r="AW22" s="170"/>
      <c r="AX22" s="170"/>
    </row>
    <row r="23" spans="1:50" ht="12" customHeight="1" x14ac:dyDescent="0.3">
      <c r="A23" s="205">
        <v>0</v>
      </c>
      <c r="B23" s="171" t="s">
        <v>40</v>
      </c>
      <c r="C23" s="171" t="s">
        <v>377</v>
      </c>
      <c r="D23" s="171"/>
      <c r="E23" s="172"/>
      <c r="F23" s="172">
        <v>1.85</v>
      </c>
      <c r="G23" s="209"/>
      <c r="H23" s="170"/>
      <c r="I23" s="173"/>
      <c r="J23" s="174"/>
      <c r="K23" s="173"/>
      <c r="L23" s="170"/>
      <c r="M23" s="170"/>
      <c r="N23" s="170"/>
      <c r="O23" s="170"/>
      <c r="P23" s="170"/>
      <c r="Q23" s="170"/>
      <c r="R23" s="170"/>
      <c r="S23" s="170"/>
      <c r="T23" s="170"/>
      <c r="U23" s="170"/>
      <c r="V23" s="170"/>
      <c r="W23" s="170"/>
      <c r="X23" s="170"/>
      <c r="Y23" s="170"/>
      <c r="Z23" s="170"/>
      <c r="AA23" s="170"/>
      <c r="AB23" s="170"/>
      <c r="AC23" s="170"/>
      <c r="AD23" s="170"/>
      <c r="AE23" s="170"/>
      <c r="AF23" s="170"/>
      <c r="AG23" s="170"/>
      <c r="AH23" s="170"/>
      <c r="AI23" s="170"/>
      <c r="AJ23" s="170"/>
      <c r="AK23" s="170"/>
      <c r="AL23" s="170"/>
      <c r="AM23" s="170"/>
      <c r="AN23" s="170"/>
      <c r="AO23" s="170"/>
      <c r="AP23" s="170"/>
      <c r="AQ23" s="170"/>
      <c r="AR23" s="170"/>
      <c r="AS23" s="170"/>
      <c r="AT23" s="170"/>
      <c r="AU23" s="170"/>
      <c r="AV23" s="170"/>
      <c r="AW23" s="170"/>
      <c r="AX23" s="170"/>
    </row>
    <row r="24" spans="1:50" ht="12" customHeight="1" x14ac:dyDescent="0.3">
      <c r="A24" s="205">
        <f t="shared" ref="A24:A55" si="21">A23+1</f>
        <v>1</v>
      </c>
      <c r="B24" s="171" t="s">
        <v>132</v>
      </c>
      <c r="C24" s="171" t="s">
        <v>133</v>
      </c>
      <c r="D24" s="171" t="s">
        <v>115</v>
      </c>
      <c r="E24" s="172"/>
      <c r="F24" s="172">
        <v>1.85</v>
      </c>
      <c r="G24" s="209">
        <f>VLOOKUP(B24,'Bảng lương tính trên HTfast'!$B$13:$H$194,6,0)</f>
        <v>20</v>
      </c>
      <c r="H24" s="170">
        <f>VLOOKUP(B24,'Bảng lương tính trên HTfast'!$B$13:$H$194,7,0)</f>
        <v>16238000</v>
      </c>
      <c r="I24" s="173">
        <f>IFERROR(VLOOKUP(B24,'Luong vitri'!$C$6:$O$179,10,0),0)</f>
        <v>0</v>
      </c>
      <c r="J24" s="174">
        <f>VLOOKUP(B24,'Bảng lương tính trên HTfast'!$B$13:$I$194,8,0)</f>
        <v>1.1299999999999999</v>
      </c>
      <c r="K24" s="173">
        <f>IFERROR(VLOOKUP(B24,'Luong vitri'!$C$6:$O$201,12,0),0)</f>
        <v>0.45</v>
      </c>
      <c r="L24" s="170">
        <f t="shared" ref="L24:L55" si="22">ROUND((H24+H24*I24)*K24,0)</f>
        <v>7307100</v>
      </c>
      <c r="M24" s="170">
        <f t="shared" ref="M24:M55" si="23">ROUND(L24*0.3,0)</f>
        <v>2192130</v>
      </c>
      <c r="N24" s="170">
        <f t="shared" ref="N24:N55" si="24">ROUND((H24+H24*I24)*J24+M24,0)</f>
        <v>20541070</v>
      </c>
      <c r="O24" s="170">
        <f>IFERROR(VLOOKUP(B24,'Bảng lương tính trên HTfast'!$B$13:$O$194,12,0),0)</f>
        <v>0</v>
      </c>
      <c r="P24" s="170">
        <f>IFERROR(VLOOKUP(B24,'BS lương'!$B$2:$M$188,9,0),0)</f>
        <v>2291659</v>
      </c>
      <c r="Q24" s="170">
        <f>IFERROR(VLOOKUP(B24,'BS lương'!$B$2:$M$188,10,0),0)</f>
        <v>922613</v>
      </c>
      <c r="R24" s="170">
        <f t="shared" ref="R24:R55" si="25">N24+O24+P24+Q24</f>
        <v>23755342</v>
      </c>
      <c r="S24" s="170">
        <f>IFERROR(VLOOKUP(B24,'Bảng lương tính trên HTfast'!$B$13:$U$194,16,0),0)</f>
        <v>1704990</v>
      </c>
      <c r="T24" s="170"/>
      <c r="U24" s="170"/>
      <c r="V24" s="170"/>
      <c r="W24" s="170">
        <f>IFERROR(VLOOKUP(B24,'Bảng lương tính trên HTfast'!$B$13:$U$190,20,0),0)</f>
        <v>12600000</v>
      </c>
      <c r="X24" s="170"/>
      <c r="Y24" s="170"/>
      <c r="Z24" s="170"/>
      <c r="AA24" s="170">
        <f t="shared" ref="AA24:AA55" si="26">IF((R24-S24-W24-O24-Q24)&gt;0,(R24-S24-W24-O24-Q24),0)</f>
        <v>8527739</v>
      </c>
      <c r="AB24" s="170"/>
      <c r="AC24" s="170"/>
      <c r="AD24" s="170"/>
      <c r="AE24" s="170"/>
      <c r="AF24" s="170"/>
      <c r="AG24" s="170"/>
      <c r="AH24" s="170"/>
      <c r="AI24" s="170"/>
      <c r="AJ24" s="170"/>
      <c r="AK24" s="170"/>
      <c r="AL24" s="170"/>
      <c r="AM24" s="170"/>
      <c r="AN24" s="170"/>
      <c r="AO24" s="170"/>
      <c r="AP24" s="170">
        <f t="shared" ref="AP24:AP55" si="27">ROUND(IF(AA24&lt;5000000,AA24*0.05,IF(AA24&lt;10000000,250000+(AA24-5000000)*0.1,IF(AA24&lt;18000000,750000+(AA24-10000000)*0.15,IF(AA24&lt;32000000,1950000+(AA24-18000000)*0.2,IF(AA24&lt;52000000,4750000+(AA24-32000000)*0.25,IF(AA24&lt;80000000,9750000+(AA24-52000000)*0.3,IF(AA24&gt;80000000,18150000+(AA24-80000000)*0.35,0))))))),0)</f>
        <v>602774</v>
      </c>
      <c r="AQ24" s="170"/>
      <c r="AR24" s="170">
        <f t="shared" ref="AR24:AR55" si="28">R24-S24-AP24</f>
        <v>21447578</v>
      </c>
      <c r="AS24" s="170"/>
      <c r="AT24" s="170"/>
      <c r="AU24" s="170">
        <f t="shared" ref="AU24:AU55" si="29">IF(G24&gt;0,IF(AR24*1%&gt;149000,149000,ROUND(AR24*1%,0)),0)</f>
        <v>149000</v>
      </c>
      <c r="AV24" s="170">
        <f>IFERROR(VLOOKUP(B24,'BS lương'!$B$2:$M$181,11,0),0)</f>
        <v>0</v>
      </c>
      <c r="AW24" s="170"/>
      <c r="AX24" s="170">
        <f t="shared" ref="AX24:AX55" si="30">AR24-AU24-AV24-AW24</f>
        <v>21298578</v>
      </c>
    </row>
    <row r="25" spans="1:50" ht="12" customHeight="1" x14ac:dyDescent="0.3">
      <c r="A25" s="205">
        <f t="shared" si="21"/>
        <v>2</v>
      </c>
      <c r="B25" s="171" t="s">
        <v>109</v>
      </c>
      <c r="C25" s="171" t="s">
        <v>110</v>
      </c>
      <c r="D25" s="171" t="s">
        <v>111</v>
      </c>
      <c r="E25" s="172"/>
      <c r="F25" s="172">
        <v>16.47</v>
      </c>
      <c r="G25" s="209">
        <f>VLOOKUP(B25,'Bảng lương tính trên HTfast'!$B$13:$H$194,6,0)</f>
        <v>20</v>
      </c>
      <c r="H25" s="170">
        <f>VLOOKUP(B25,'Bảng lương tính trên HTfast'!$B$13:$H$194,7,0)</f>
        <v>5493400</v>
      </c>
      <c r="I25" s="173">
        <f>IFERROR(VLOOKUP(B25,'Luong vitri'!$C$6:$O$179,10,0),0)</f>
        <v>0</v>
      </c>
      <c r="J25" s="174">
        <f>VLOOKUP(B25,'Bảng lương tính trên HTfast'!$B$13:$I$194,8,0)</f>
        <v>1.1299999999999999</v>
      </c>
      <c r="K25" s="173">
        <f>IFERROR(VLOOKUP(B25,'Luong vitri'!$C$6:$O$201,12,0),0)</f>
        <v>0.35</v>
      </c>
      <c r="L25" s="170">
        <f t="shared" si="22"/>
        <v>1922690</v>
      </c>
      <c r="M25" s="170">
        <f t="shared" si="23"/>
        <v>576807</v>
      </c>
      <c r="N25" s="170">
        <f t="shared" si="24"/>
        <v>6784349</v>
      </c>
      <c r="O25" s="170">
        <f>IFERROR(VLOOKUP(B25,'Bảng lương tính trên HTfast'!$B$13:$O$194,12,0),0)</f>
        <v>0</v>
      </c>
      <c r="P25" s="170">
        <f>IFERROR(VLOOKUP(B25,'BS lương'!$B$2:$M$188,9,0),0)</f>
        <v>0</v>
      </c>
      <c r="Q25" s="170">
        <f>IFERROR(VLOOKUP(B25,'BS lương'!$B$2:$M$188,10,0),0)</f>
        <v>0</v>
      </c>
      <c r="R25" s="170">
        <f t="shared" si="25"/>
        <v>6784349</v>
      </c>
      <c r="S25" s="170">
        <f>IFERROR(VLOOKUP(B25,'Bảng lương tính trên HTfast'!$B$13:$U$194,16,0),0)</f>
        <v>576807</v>
      </c>
      <c r="T25" s="170"/>
      <c r="U25" s="170"/>
      <c r="V25" s="170"/>
      <c r="W25" s="170">
        <f>IFERROR(VLOOKUP(B25,'Bảng lương tính trên HTfast'!$B$13:$U$190,20,0),0)</f>
        <v>9000000</v>
      </c>
      <c r="X25" s="170"/>
      <c r="Y25" s="170"/>
      <c r="Z25" s="170"/>
      <c r="AA25" s="170">
        <f t="shared" si="26"/>
        <v>0</v>
      </c>
      <c r="AB25" s="170"/>
      <c r="AC25" s="170"/>
      <c r="AD25" s="170"/>
      <c r="AE25" s="170"/>
      <c r="AF25" s="170"/>
      <c r="AG25" s="170"/>
      <c r="AH25" s="170"/>
      <c r="AI25" s="170"/>
      <c r="AJ25" s="170"/>
      <c r="AK25" s="170"/>
      <c r="AL25" s="170"/>
      <c r="AM25" s="170"/>
      <c r="AN25" s="170"/>
      <c r="AO25" s="170"/>
      <c r="AP25" s="170">
        <f t="shared" si="27"/>
        <v>0</v>
      </c>
      <c r="AQ25" s="170"/>
      <c r="AR25" s="170">
        <f t="shared" si="28"/>
        <v>6207542</v>
      </c>
      <c r="AS25" s="170"/>
      <c r="AT25" s="170"/>
      <c r="AU25" s="170">
        <f t="shared" si="29"/>
        <v>62075</v>
      </c>
      <c r="AV25" s="170">
        <f>IFERROR(VLOOKUP(B25,'BS lương'!$B$2:$M$181,11,0),0)</f>
        <v>0</v>
      </c>
      <c r="AW25" s="170"/>
      <c r="AX25" s="170">
        <f t="shared" si="30"/>
        <v>6145467</v>
      </c>
    </row>
    <row r="26" spans="1:50" ht="12" customHeight="1" x14ac:dyDescent="0.3">
      <c r="A26" s="205">
        <f t="shared" si="21"/>
        <v>3</v>
      </c>
      <c r="B26" s="171" t="s">
        <v>403</v>
      </c>
      <c r="C26" s="171" t="s">
        <v>404</v>
      </c>
      <c r="D26" s="171" t="s">
        <v>66</v>
      </c>
      <c r="E26" s="172"/>
      <c r="F26" s="172">
        <v>1.54</v>
      </c>
      <c r="G26" s="209">
        <f>VLOOKUP(B26,'Bảng lương tính trên HTfast'!$B$13:$H$194,6,0)</f>
        <v>20</v>
      </c>
      <c r="H26" s="170">
        <f>VLOOKUP(B26,'Bảng lương tính trên HTfast'!$B$13:$H$194,7,0)</f>
        <v>7323000</v>
      </c>
      <c r="I26" s="173">
        <f>IFERROR(VLOOKUP(B26,'Luong vitri'!$C$6:$O$179,10,0),0)</f>
        <v>0</v>
      </c>
      <c r="J26" s="174">
        <f>VLOOKUP(B26,'Bảng lương tính trên HTfast'!$B$13:$I$194,8,0)</f>
        <v>1.1299999999999999</v>
      </c>
      <c r="K26" s="173">
        <f>IFERROR(VLOOKUP(B26,'Luong vitri'!$C$6:$O$201,12,0),0)</f>
        <v>0.45</v>
      </c>
      <c r="L26" s="170">
        <f t="shared" si="22"/>
        <v>3295350</v>
      </c>
      <c r="M26" s="170">
        <f t="shared" si="23"/>
        <v>988605</v>
      </c>
      <c r="N26" s="170">
        <f t="shared" si="24"/>
        <v>9263595</v>
      </c>
      <c r="O26" s="170">
        <f>IFERROR(VLOOKUP(B26,'Bảng lương tính trên HTfast'!$B$13:$O$194,12,0),0)</f>
        <v>0</v>
      </c>
      <c r="P26" s="170">
        <f>IFERROR(VLOOKUP(B26,'BS lương'!$B$2:$M$188,9,0),0)</f>
        <v>0</v>
      </c>
      <c r="Q26" s="170">
        <f>IFERROR(VLOOKUP(B26,'BS lương'!$B$2:$M$188,10,0),0)</f>
        <v>0</v>
      </c>
      <c r="R26" s="170">
        <f t="shared" si="25"/>
        <v>9263595</v>
      </c>
      <c r="S26" s="170">
        <f>IFERROR(VLOOKUP(B26,'Bảng lương tính trên HTfast'!$B$13:$U$194,16,0),0)</f>
        <v>768915</v>
      </c>
      <c r="T26" s="170"/>
      <c r="U26" s="170"/>
      <c r="V26" s="170"/>
      <c r="W26" s="170">
        <f>IFERROR(VLOOKUP(B26,'Bảng lương tính trên HTfast'!$B$13:$U$190,20,0),0)</f>
        <v>12600000</v>
      </c>
      <c r="X26" s="170"/>
      <c r="Y26" s="170"/>
      <c r="Z26" s="170"/>
      <c r="AA26" s="170">
        <f t="shared" si="26"/>
        <v>0</v>
      </c>
      <c r="AB26" s="170"/>
      <c r="AC26" s="170"/>
      <c r="AD26" s="170"/>
      <c r="AE26" s="170"/>
      <c r="AF26" s="170"/>
      <c r="AG26" s="170"/>
      <c r="AH26" s="170"/>
      <c r="AI26" s="170"/>
      <c r="AJ26" s="170"/>
      <c r="AK26" s="170"/>
      <c r="AL26" s="170"/>
      <c r="AM26" s="170"/>
      <c r="AN26" s="170"/>
      <c r="AO26" s="170"/>
      <c r="AP26" s="170">
        <f t="shared" si="27"/>
        <v>0</v>
      </c>
      <c r="AQ26" s="170"/>
      <c r="AR26" s="170">
        <f t="shared" si="28"/>
        <v>8494680</v>
      </c>
      <c r="AS26" s="170"/>
      <c r="AT26" s="170"/>
      <c r="AU26" s="170">
        <f t="shared" si="29"/>
        <v>84947</v>
      </c>
      <c r="AV26" s="170">
        <f>IFERROR(VLOOKUP(B26,'BS lương'!$B$2:$M$181,11,0),0)</f>
        <v>0</v>
      </c>
      <c r="AW26" s="170"/>
      <c r="AX26" s="170">
        <f t="shared" si="30"/>
        <v>8409733</v>
      </c>
    </row>
    <row r="27" spans="1:50" ht="12" customHeight="1" x14ac:dyDescent="0.3">
      <c r="A27" s="205">
        <f t="shared" si="21"/>
        <v>4</v>
      </c>
      <c r="B27" s="171" t="s">
        <v>401</v>
      </c>
      <c r="C27" s="171" t="s">
        <v>402</v>
      </c>
      <c r="D27" s="171" t="s">
        <v>66</v>
      </c>
      <c r="E27" s="172"/>
      <c r="F27" s="172">
        <v>0</v>
      </c>
      <c r="G27" s="209">
        <f>VLOOKUP(B27,'Bảng lương tính trên HTfast'!$B$13:$H$194,6,0)</f>
        <v>20</v>
      </c>
      <c r="H27" s="170">
        <f>VLOOKUP(B27,'Bảng lương tính trên HTfast'!$B$13:$H$194,7,0)</f>
        <v>8318000</v>
      </c>
      <c r="I27" s="173">
        <f>IFERROR(VLOOKUP(B27,'Luong vitri'!$C$6:$O$179,10,0),0)</f>
        <v>0</v>
      </c>
      <c r="J27" s="174">
        <f>VLOOKUP(B27,'Bảng lương tính trên HTfast'!$B$13:$I$194,8,0)</f>
        <v>1.1299999999999999</v>
      </c>
      <c r="K27" s="173">
        <f>IFERROR(VLOOKUP(B27,'Luong vitri'!$C$6:$O$201,12,0),0)</f>
        <v>0.35</v>
      </c>
      <c r="L27" s="170">
        <f t="shared" si="22"/>
        <v>2911300</v>
      </c>
      <c r="M27" s="170">
        <f t="shared" si="23"/>
        <v>873390</v>
      </c>
      <c r="N27" s="170">
        <f t="shared" si="24"/>
        <v>10272730</v>
      </c>
      <c r="O27" s="170">
        <f>IFERROR(VLOOKUP(B27,'Bảng lương tính trên HTfast'!$B$13:$O$194,12,0),0)</f>
        <v>0</v>
      </c>
      <c r="P27" s="170">
        <f>IFERROR(VLOOKUP(B27,'BS lương'!$B$2:$M$188,9,0),0)</f>
        <v>0</v>
      </c>
      <c r="Q27" s="170">
        <f>IFERROR(VLOOKUP(B27,'BS lương'!$B$2:$M$188,10,0),0)</f>
        <v>0</v>
      </c>
      <c r="R27" s="170">
        <f t="shared" si="25"/>
        <v>10272730</v>
      </c>
      <c r="S27" s="170">
        <f>IFERROR(VLOOKUP(B27,'Bảng lương tính trên HTfast'!$B$13:$U$194,16,0),0)</f>
        <v>873390</v>
      </c>
      <c r="T27" s="170"/>
      <c r="U27" s="170"/>
      <c r="V27" s="170"/>
      <c r="W27" s="170">
        <f>IFERROR(VLOOKUP(B27,'Bảng lương tính trên HTfast'!$B$13:$U$190,20,0),0)</f>
        <v>16200000</v>
      </c>
      <c r="X27" s="170"/>
      <c r="Y27" s="170"/>
      <c r="Z27" s="170"/>
      <c r="AA27" s="170">
        <f t="shared" si="26"/>
        <v>0</v>
      </c>
      <c r="AB27" s="170"/>
      <c r="AC27" s="170"/>
      <c r="AD27" s="170"/>
      <c r="AE27" s="170"/>
      <c r="AF27" s="170"/>
      <c r="AG27" s="170"/>
      <c r="AH27" s="170"/>
      <c r="AI27" s="170"/>
      <c r="AJ27" s="170"/>
      <c r="AK27" s="170"/>
      <c r="AL27" s="170"/>
      <c r="AM27" s="170"/>
      <c r="AN27" s="170"/>
      <c r="AO27" s="170"/>
      <c r="AP27" s="170">
        <f t="shared" si="27"/>
        <v>0</v>
      </c>
      <c r="AQ27" s="170"/>
      <c r="AR27" s="170">
        <f t="shared" si="28"/>
        <v>9399340</v>
      </c>
      <c r="AS27" s="170"/>
      <c r="AT27" s="170"/>
      <c r="AU27" s="170">
        <f t="shared" si="29"/>
        <v>93993</v>
      </c>
      <c r="AV27" s="170">
        <f>IFERROR(VLOOKUP(B27,'BS lương'!$B$2:$M$181,11,0),0)</f>
        <v>0</v>
      </c>
      <c r="AW27" s="170"/>
      <c r="AX27" s="170">
        <f t="shared" si="30"/>
        <v>9305347</v>
      </c>
    </row>
    <row r="28" spans="1:50" ht="12" customHeight="1" x14ac:dyDescent="0.3">
      <c r="A28" s="205">
        <f t="shared" si="21"/>
        <v>5</v>
      </c>
      <c r="B28" s="171" t="s">
        <v>411</v>
      </c>
      <c r="C28" s="171" t="s">
        <v>412</v>
      </c>
      <c r="D28" s="171" t="s">
        <v>200</v>
      </c>
      <c r="E28" s="172"/>
      <c r="F28" s="172">
        <v>444.82</v>
      </c>
      <c r="G28" s="209">
        <f>VLOOKUP(B28,'Bảng lương tính trên HTfast'!$B$13:$H$194,6,0)</f>
        <v>20</v>
      </c>
      <c r="H28" s="170">
        <f>VLOOKUP(B28,'Bảng lương tính trên HTfast'!$B$13:$H$194,7,0)</f>
        <v>6916800</v>
      </c>
      <c r="I28" s="173">
        <f>IFERROR(VLOOKUP(B28,'Luong vitri'!$C$6:$O$179,10,0),0)</f>
        <v>0</v>
      </c>
      <c r="J28" s="174">
        <f>VLOOKUP(B28,'Bảng lương tính trên HTfast'!$B$13:$I$194,8,0)</f>
        <v>1.1299999999999999</v>
      </c>
      <c r="K28" s="173">
        <f>IFERROR(VLOOKUP(B28,'Luong vitri'!$C$6:$O$201,12,0),0)</f>
        <v>0.35</v>
      </c>
      <c r="L28" s="170">
        <f t="shared" si="22"/>
        <v>2420880</v>
      </c>
      <c r="M28" s="170">
        <f t="shared" si="23"/>
        <v>726264</v>
      </c>
      <c r="N28" s="170">
        <f t="shared" si="24"/>
        <v>8542248</v>
      </c>
      <c r="O28" s="170">
        <f>IFERROR(VLOOKUP(B28,'Bảng lương tính trên HTfast'!$B$13:$O$194,12,0),0)</f>
        <v>0</v>
      </c>
      <c r="P28" s="170">
        <f>IFERROR(VLOOKUP(B28,'BS lương'!$B$2:$M$188,9,0),0)</f>
        <v>0</v>
      </c>
      <c r="Q28" s="170">
        <f>IFERROR(VLOOKUP(B28,'BS lương'!$B$2:$M$188,10,0),0)</f>
        <v>0</v>
      </c>
      <c r="R28" s="170">
        <f t="shared" si="25"/>
        <v>8542248</v>
      </c>
      <c r="S28" s="170">
        <f>IFERROR(VLOOKUP(B28,'Bảng lương tính trên HTfast'!$B$13:$U$194,16,0),0)</f>
        <v>726264</v>
      </c>
      <c r="T28" s="170"/>
      <c r="U28" s="170"/>
      <c r="V28" s="170"/>
      <c r="W28" s="170">
        <f>IFERROR(VLOOKUP(B28,'Bảng lương tính trên HTfast'!$B$13:$U$194,20,0),0)</f>
        <v>9000000</v>
      </c>
      <c r="X28" s="170"/>
      <c r="Y28" s="170"/>
      <c r="Z28" s="170"/>
      <c r="AA28" s="170">
        <f t="shared" si="26"/>
        <v>0</v>
      </c>
      <c r="AB28" s="170"/>
      <c r="AC28" s="170"/>
      <c r="AD28" s="170"/>
      <c r="AE28" s="170"/>
      <c r="AF28" s="170"/>
      <c r="AG28" s="170"/>
      <c r="AH28" s="170"/>
      <c r="AI28" s="170"/>
      <c r="AJ28" s="170"/>
      <c r="AK28" s="170"/>
      <c r="AL28" s="170"/>
      <c r="AM28" s="170"/>
      <c r="AN28" s="170"/>
      <c r="AO28" s="170"/>
      <c r="AP28" s="170">
        <f t="shared" si="27"/>
        <v>0</v>
      </c>
      <c r="AQ28" s="170"/>
      <c r="AR28" s="170">
        <f t="shared" si="28"/>
        <v>7815984</v>
      </c>
      <c r="AS28" s="170"/>
      <c r="AT28" s="170"/>
      <c r="AU28" s="170">
        <f t="shared" si="29"/>
        <v>78160</v>
      </c>
      <c r="AV28" s="170">
        <f>IFERROR(VLOOKUP(B28,'BS lương'!$B$2:$M$181,11,0),0)</f>
        <v>0</v>
      </c>
      <c r="AW28" s="170"/>
      <c r="AX28" s="170">
        <f t="shared" si="30"/>
        <v>7737824</v>
      </c>
    </row>
    <row r="29" spans="1:50" ht="12" customHeight="1" x14ac:dyDescent="0.3">
      <c r="A29" s="205">
        <f t="shared" si="21"/>
        <v>6</v>
      </c>
      <c r="B29" s="171" t="s">
        <v>147</v>
      </c>
      <c r="C29" s="171" t="s">
        <v>148</v>
      </c>
      <c r="D29" s="171" t="s">
        <v>61</v>
      </c>
      <c r="E29" s="172"/>
      <c r="F29" s="172">
        <v>1.85</v>
      </c>
      <c r="G29" s="209">
        <f>VLOOKUP(B29,'Bảng lương tính trên HTfast'!$B$13:$H$194,6,0)</f>
        <v>20</v>
      </c>
      <c r="H29" s="170">
        <f>VLOOKUP(B29,'Bảng lương tính trên HTfast'!$B$13:$H$194,7,0)</f>
        <v>13054000</v>
      </c>
      <c r="I29" s="173">
        <f>IFERROR(VLOOKUP(B29,'Luong vitri'!$C$6:$O$179,10,0),0)</f>
        <v>0</v>
      </c>
      <c r="J29" s="174">
        <f>VLOOKUP(B29,'Bảng lương tính trên HTfast'!$B$13:$I$194,8,0)</f>
        <v>1.1299999999999999</v>
      </c>
      <c r="K29" s="173">
        <f>IFERROR(VLOOKUP(B29,'Luong vitri'!$C$6:$O$201,12,0),0)</f>
        <v>0.4</v>
      </c>
      <c r="L29" s="170">
        <f t="shared" si="22"/>
        <v>5221600</v>
      </c>
      <c r="M29" s="170">
        <f t="shared" si="23"/>
        <v>1566480</v>
      </c>
      <c r="N29" s="170">
        <f t="shared" si="24"/>
        <v>16317500</v>
      </c>
      <c r="O29" s="170">
        <f>IFERROR(VLOOKUP(B29,'Bảng lương tính trên HTfast'!$B$13:$O$194,12,0),0)</f>
        <v>0</v>
      </c>
      <c r="P29" s="170">
        <f>IFERROR(VLOOKUP(B29,'BS lương'!$B$2:$M$188,9,0),0)</f>
        <v>2483409</v>
      </c>
      <c r="Q29" s="170">
        <f>IFERROR(VLOOKUP(B29,'BS lương'!$B$2:$M$188,10,0),0)</f>
        <v>964216</v>
      </c>
      <c r="R29" s="170">
        <f t="shared" si="25"/>
        <v>19765125</v>
      </c>
      <c r="S29" s="170">
        <f>IFERROR(VLOOKUP(B29,'Bảng lương tính trên HTfast'!$B$13:$U$194,16,0),0)</f>
        <v>1370670</v>
      </c>
      <c r="T29" s="170"/>
      <c r="U29" s="170"/>
      <c r="V29" s="170"/>
      <c r="W29" s="170">
        <f>IFERROR(VLOOKUP(B29,'Bảng lương tính trên HTfast'!$B$13:$U$190,20,0),0)</f>
        <v>12600000</v>
      </c>
      <c r="X29" s="170"/>
      <c r="Y29" s="170"/>
      <c r="Z29" s="170"/>
      <c r="AA29" s="170">
        <f t="shared" si="26"/>
        <v>4830239</v>
      </c>
      <c r="AB29" s="170"/>
      <c r="AC29" s="170"/>
      <c r="AD29" s="170"/>
      <c r="AE29" s="170"/>
      <c r="AF29" s="170"/>
      <c r="AG29" s="170"/>
      <c r="AH29" s="170"/>
      <c r="AI29" s="170"/>
      <c r="AJ29" s="170"/>
      <c r="AK29" s="170"/>
      <c r="AL29" s="170"/>
      <c r="AM29" s="170"/>
      <c r="AN29" s="170"/>
      <c r="AO29" s="170"/>
      <c r="AP29" s="170">
        <f t="shared" si="27"/>
        <v>241512</v>
      </c>
      <c r="AQ29" s="170"/>
      <c r="AR29" s="170">
        <f t="shared" si="28"/>
        <v>18152943</v>
      </c>
      <c r="AS29" s="170"/>
      <c r="AT29" s="170"/>
      <c r="AU29" s="170">
        <f t="shared" si="29"/>
        <v>149000</v>
      </c>
      <c r="AV29" s="170">
        <f>IFERROR(VLOOKUP(B29,'BS lương'!$B$2:$M$181,11,0),0)</f>
        <v>0</v>
      </c>
      <c r="AW29" s="170"/>
      <c r="AX29" s="170">
        <f t="shared" si="30"/>
        <v>18003943</v>
      </c>
    </row>
    <row r="30" spans="1:50" ht="12" customHeight="1" x14ac:dyDescent="0.3">
      <c r="A30" s="205">
        <f t="shared" si="21"/>
        <v>7</v>
      </c>
      <c r="B30" s="171" t="s">
        <v>71</v>
      </c>
      <c r="C30" s="171" t="s">
        <v>72</v>
      </c>
      <c r="D30" s="171" t="s">
        <v>66</v>
      </c>
      <c r="E30" s="172"/>
      <c r="F30" s="172">
        <v>1.85</v>
      </c>
      <c r="G30" s="209">
        <f>VLOOKUP(B30,'Bảng lương tính trên HTfast'!$B$13:$H$194,6,0)</f>
        <v>20</v>
      </c>
      <c r="H30" s="170">
        <f>VLOOKUP(B30,'Bảng lương tính trên HTfast'!$B$13:$H$194,7,0)</f>
        <v>8278000</v>
      </c>
      <c r="I30" s="173">
        <f>IFERROR(VLOOKUP(B30,'Luong vitri'!$C$6:$O$179,10,0),0)</f>
        <v>0</v>
      </c>
      <c r="J30" s="174">
        <f>VLOOKUP(B30,'Bảng lương tính trên HTfast'!$B$13:$I$194,8,0)</f>
        <v>1.1299999999999999</v>
      </c>
      <c r="K30" s="173">
        <f>IFERROR(VLOOKUP(B30,'Luong vitri'!$C$6:$O$187,12,0),0)</f>
        <v>0.45</v>
      </c>
      <c r="L30" s="170">
        <f t="shared" si="22"/>
        <v>3725100</v>
      </c>
      <c r="M30" s="170">
        <f t="shared" si="23"/>
        <v>1117530</v>
      </c>
      <c r="N30" s="170">
        <f t="shared" si="24"/>
        <v>10471670</v>
      </c>
      <c r="O30" s="170">
        <f>IFERROR(VLOOKUP(B30,'Bảng lương tính trên HTfast'!$B$13:$O$194,12,0),0)</f>
        <v>0</v>
      </c>
      <c r="P30" s="170">
        <f>IFERROR(VLOOKUP(B30,'BS lương'!$B$2:$M$188,9,0),0)</f>
        <v>5000000</v>
      </c>
      <c r="Q30" s="170">
        <f>IFERROR(VLOOKUP(B30,'BS lương'!$B$2:$M$188,10,0),0)</f>
        <v>0</v>
      </c>
      <c r="R30" s="170">
        <f t="shared" si="25"/>
        <v>15471670</v>
      </c>
      <c r="S30" s="170">
        <f>IFERROR(VLOOKUP(B30,'Bảng lương tính trên HTfast'!$B$13:$U$194,16,0),0)</f>
        <v>869190</v>
      </c>
      <c r="T30" s="170"/>
      <c r="U30" s="170"/>
      <c r="V30" s="170"/>
      <c r="W30" s="170">
        <f>IFERROR(VLOOKUP(B30,'Bảng lương tính trên HTfast'!$B$13:$U$190,20,0),0)</f>
        <v>12600000</v>
      </c>
      <c r="X30" s="170"/>
      <c r="Y30" s="170"/>
      <c r="Z30" s="170"/>
      <c r="AA30" s="170">
        <f t="shared" si="26"/>
        <v>2002480</v>
      </c>
      <c r="AB30" s="170"/>
      <c r="AC30" s="170"/>
      <c r="AD30" s="170"/>
      <c r="AE30" s="170"/>
      <c r="AF30" s="170"/>
      <c r="AG30" s="170"/>
      <c r="AH30" s="170"/>
      <c r="AI30" s="170"/>
      <c r="AJ30" s="170"/>
      <c r="AK30" s="170"/>
      <c r="AL30" s="170"/>
      <c r="AM30" s="170"/>
      <c r="AN30" s="170"/>
      <c r="AO30" s="170"/>
      <c r="AP30" s="170">
        <f t="shared" si="27"/>
        <v>100124</v>
      </c>
      <c r="AQ30" s="170"/>
      <c r="AR30" s="170">
        <f t="shared" si="28"/>
        <v>14502356</v>
      </c>
      <c r="AS30" s="170"/>
      <c r="AT30" s="170"/>
      <c r="AU30" s="170">
        <f t="shared" si="29"/>
        <v>145024</v>
      </c>
      <c r="AV30" s="170">
        <f>IFERROR(VLOOKUP(B30,'BS lương'!$B$2:$M$181,11,0),0)</f>
        <v>0</v>
      </c>
      <c r="AW30" s="170"/>
      <c r="AX30" s="170">
        <f t="shared" si="30"/>
        <v>14357332</v>
      </c>
    </row>
    <row r="31" spans="1:50" ht="12" customHeight="1" x14ac:dyDescent="0.3">
      <c r="A31" s="205">
        <f t="shared" si="21"/>
        <v>8</v>
      </c>
      <c r="B31" s="171" t="s">
        <v>97</v>
      </c>
      <c r="C31" s="171" t="s">
        <v>98</v>
      </c>
      <c r="D31" s="171" t="s">
        <v>66</v>
      </c>
      <c r="E31" s="172"/>
      <c r="F31" s="172">
        <v>1.85</v>
      </c>
      <c r="G31" s="209">
        <f>VLOOKUP(B31,'Bảng lương tính trên HTfast'!$B$13:$H$194,6,0)</f>
        <v>20</v>
      </c>
      <c r="H31" s="170">
        <f>VLOOKUP(B31,'Bảng lương tính trên HTfast'!$B$13:$H$194,7,0)</f>
        <v>8278000</v>
      </c>
      <c r="I31" s="173">
        <f>IFERROR(VLOOKUP(B31,'Luong vitri'!$C$6:$O$179,10,0),0)</f>
        <v>0</v>
      </c>
      <c r="J31" s="174">
        <f>VLOOKUP(B31,'Bảng lương tính trên HTfast'!$B$13:$I$194,8,0)</f>
        <v>1.1299999999999999</v>
      </c>
      <c r="K31" s="173">
        <f>IFERROR(VLOOKUP(B31,'Luong vitri'!$C$6:$O$201,12,0),0)</f>
        <v>0.35</v>
      </c>
      <c r="L31" s="170">
        <f t="shared" si="22"/>
        <v>2897300</v>
      </c>
      <c r="M31" s="170">
        <f t="shared" si="23"/>
        <v>869190</v>
      </c>
      <c r="N31" s="170">
        <f t="shared" si="24"/>
        <v>10223330</v>
      </c>
      <c r="O31" s="170">
        <f>IFERROR(VLOOKUP(B31,'Bảng lương tính trên HTfast'!$B$13:$O$194,12,0),0)</f>
        <v>0</v>
      </c>
      <c r="P31" s="170">
        <f>IFERROR(VLOOKUP(B31,'BS lương'!$B$2:$M$188,9,0),0)</f>
        <v>0</v>
      </c>
      <c r="Q31" s="170">
        <f>IFERROR(VLOOKUP(B31,'BS lương'!$B$2:$M$188,10,0),0)</f>
        <v>0</v>
      </c>
      <c r="R31" s="170">
        <f t="shared" si="25"/>
        <v>10223330</v>
      </c>
      <c r="S31" s="170">
        <f>IFERROR(VLOOKUP(B31,'Bảng lương tính trên HTfast'!$B$13:$U$194,16,0),0)</f>
        <v>869190</v>
      </c>
      <c r="T31" s="170"/>
      <c r="U31" s="170"/>
      <c r="V31" s="170"/>
      <c r="W31" s="170">
        <f>IFERROR(VLOOKUP(B31,'Bảng lương tính trên HTfast'!$B$13:$U$190,20,0),0)</f>
        <v>16200000</v>
      </c>
      <c r="X31" s="170"/>
      <c r="Y31" s="170"/>
      <c r="Z31" s="170"/>
      <c r="AA31" s="170">
        <f t="shared" si="26"/>
        <v>0</v>
      </c>
      <c r="AB31" s="170"/>
      <c r="AC31" s="170"/>
      <c r="AD31" s="170"/>
      <c r="AE31" s="170"/>
      <c r="AF31" s="170"/>
      <c r="AG31" s="170"/>
      <c r="AH31" s="170"/>
      <c r="AI31" s="170"/>
      <c r="AJ31" s="170"/>
      <c r="AK31" s="170"/>
      <c r="AL31" s="170"/>
      <c r="AM31" s="170"/>
      <c r="AN31" s="170"/>
      <c r="AO31" s="170"/>
      <c r="AP31" s="170">
        <f t="shared" si="27"/>
        <v>0</v>
      </c>
      <c r="AQ31" s="170"/>
      <c r="AR31" s="170">
        <f t="shared" si="28"/>
        <v>9354140</v>
      </c>
      <c r="AS31" s="170"/>
      <c r="AT31" s="170"/>
      <c r="AU31" s="170">
        <f t="shared" si="29"/>
        <v>93541</v>
      </c>
      <c r="AV31" s="170">
        <f>IFERROR(VLOOKUP(B31,'BS lương'!$B$2:$M$181,11,0),0)</f>
        <v>0</v>
      </c>
      <c r="AW31" s="170"/>
      <c r="AX31" s="170">
        <f t="shared" si="30"/>
        <v>9260599</v>
      </c>
    </row>
    <row r="32" spans="1:50" ht="12" customHeight="1" x14ac:dyDescent="0.3">
      <c r="A32" s="205">
        <f t="shared" si="21"/>
        <v>9</v>
      </c>
      <c r="B32" s="171" t="s">
        <v>186</v>
      </c>
      <c r="C32" s="171" t="s">
        <v>187</v>
      </c>
      <c r="D32" s="171" t="s">
        <v>66</v>
      </c>
      <c r="E32" s="172"/>
      <c r="F32" s="172">
        <v>1.85</v>
      </c>
      <c r="G32" s="209">
        <f>VLOOKUP(B32,'Bảng lương tính trên HTfast'!$B$13:$H$194,6,0)</f>
        <v>20</v>
      </c>
      <c r="H32" s="170">
        <f>VLOOKUP(B32,'Bảng lương tính trên HTfast'!$B$13:$H$194,7,0)</f>
        <v>8278000</v>
      </c>
      <c r="I32" s="173">
        <f>IFERROR(VLOOKUP(B32,'Luong vitri'!$C$6:$O$179,10,0),0)</f>
        <v>0</v>
      </c>
      <c r="J32" s="174">
        <f>VLOOKUP(B32,'Bảng lương tính trên HTfast'!$B$13:$I$194,8,0)</f>
        <v>1.1299999999999999</v>
      </c>
      <c r="K32" s="173">
        <f>IFERROR(VLOOKUP(B32,'Luong vitri'!$C$6:$O$201,12,0),0)</f>
        <v>0.35</v>
      </c>
      <c r="L32" s="170">
        <f t="shared" si="22"/>
        <v>2897300</v>
      </c>
      <c r="M32" s="170">
        <f t="shared" si="23"/>
        <v>869190</v>
      </c>
      <c r="N32" s="170">
        <f t="shared" si="24"/>
        <v>10223330</v>
      </c>
      <c r="O32" s="170">
        <f>IFERROR(VLOOKUP(B32,'Bảng lương tính trên HTfast'!$B$13:$O$194,12,0),0)</f>
        <v>0</v>
      </c>
      <c r="P32" s="170">
        <f>IFERROR(VLOOKUP(B32,'BS lương'!$B$2:$M$188,9,0),0)</f>
        <v>714286</v>
      </c>
      <c r="Q32" s="170">
        <f>IFERROR(VLOOKUP(B32,'BS lương'!$B$2:$M$188,10,0),0)</f>
        <v>0</v>
      </c>
      <c r="R32" s="170">
        <f t="shared" si="25"/>
        <v>10937616</v>
      </c>
      <c r="S32" s="170">
        <f>IFERROR(VLOOKUP(B32,'Bảng lương tính trên HTfast'!$B$13:$U$194,16,0),0)</f>
        <v>869190</v>
      </c>
      <c r="T32" s="170"/>
      <c r="U32" s="170"/>
      <c r="V32" s="170"/>
      <c r="W32" s="170">
        <f>IFERROR(VLOOKUP(B32,'Bảng lương tính trên HTfast'!$B$13:$U$190,20,0),0)</f>
        <v>9000000</v>
      </c>
      <c r="X32" s="170"/>
      <c r="Y32" s="170"/>
      <c r="Z32" s="170"/>
      <c r="AA32" s="170">
        <f t="shared" si="26"/>
        <v>1068426</v>
      </c>
      <c r="AB32" s="170"/>
      <c r="AC32" s="170"/>
      <c r="AD32" s="170"/>
      <c r="AE32" s="170"/>
      <c r="AF32" s="170"/>
      <c r="AG32" s="170"/>
      <c r="AH32" s="170"/>
      <c r="AI32" s="170"/>
      <c r="AJ32" s="170"/>
      <c r="AK32" s="170"/>
      <c r="AL32" s="170"/>
      <c r="AM32" s="170"/>
      <c r="AN32" s="170"/>
      <c r="AO32" s="170"/>
      <c r="AP32" s="170">
        <f t="shared" si="27"/>
        <v>53421</v>
      </c>
      <c r="AQ32" s="170"/>
      <c r="AR32" s="170">
        <f t="shared" si="28"/>
        <v>10015005</v>
      </c>
      <c r="AS32" s="170"/>
      <c r="AT32" s="170"/>
      <c r="AU32" s="170">
        <f t="shared" si="29"/>
        <v>100150</v>
      </c>
      <c r="AV32" s="170">
        <f>IFERROR(VLOOKUP(B32,'BS lương'!$B$2:$M$181,11,0),0)</f>
        <v>0</v>
      </c>
      <c r="AW32" s="170"/>
      <c r="AX32" s="170">
        <f t="shared" si="30"/>
        <v>9914855</v>
      </c>
    </row>
    <row r="33" spans="1:51" ht="12" customHeight="1" x14ac:dyDescent="0.3">
      <c r="A33" s="205">
        <f t="shared" si="21"/>
        <v>10</v>
      </c>
      <c r="B33" s="171" t="s">
        <v>299</v>
      </c>
      <c r="C33" s="171" t="s">
        <v>300</v>
      </c>
      <c r="D33" s="171" t="s">
        <v>66</v>
      </c>
      <c r="E33" s="208"/>
      <c r="F33" s="208">
        <v>1.85</v>
      </c>
      <c r="G33" s="209">
        <f>VLOOKUP(B33,'Bảng lương tính trên HTfast'!$B$13:$H$194,6,0)</f>
        <v>20</v>
      </c>
      <c r="H33" s="170">
        <f>VLOOKUP(B33,'Bảng lương tính trên HTfast'!$B$13:$H$194,7,0)</f>
        <v>7363000</v>
      </c>
      <c r="I33" s="173">
        <f>IFERROR(VLOOKUP(B33,'Luong vitri'!$C$6:$O$179,10,0),0)</f>
        <v>0</v>
      </c>
      <c r="J33" s="174">
        <f>VLOOKUP(B33,'Bảng lương tính trên HTfast'!$B$13:$I$194,8,0)</f>
        <v>1</v>
      </c>
      <c r="K33" s="173">
        <f>IFERROR(VLOOKUP(B33,'Luong vitri'!$C$6:$O$201,12,0),0)</f>
        <v>0.35</v>
      </c>
      <c r="L33" s="170">
        <f t="shared" si="22"/>
        <v>2577050</v>
      </c>
      <c r="M33" s="170">
        <f t="shared" si="23"/>
        <v>773115</v>
      </c>
      <c r="N33" s="170">
        <f t="shared" si="24"/>
        <v>8136115</v>
      </c>
      <c r="O33" s="170">
        <f>IFERROR(VLOOKUP(B33,'Bảng lương tính trên HTfast'!$B$13:$O$194,12,0),0)</f>
        <v>0</v>
      </c>
      <c r="P33" s="170">
        <f>IFERROR(VLOOKUP(B33,'BS lương'!$B$2:$M$188,9,0),0)</f>
        <v>370370</v>
      </c>
      <c r="Q33" s="170">
        <f>IFERROR(VLOOKUP(B33,'BS lương'!$B$2:$M$188,10,0),0)</f>
        <v>0</v>
      </c>
      <c r="R33" s="170">
        <f t="shared" si="25"/>
        <v>8506485</v>
      </c>
      <c r="S33" s="170">
        <f>IFERROR(VLOOKUP(B33,'Bảng lương tính trên HTfast'!$B$13:$U$194,16,0),0)</f>
        <v>773115</v>
      </c>
      <c r="T33" s="170"/>
      <c r="U33" s="170"/>
      <c r="V33" s="170"/>
      <c r="W33" s="170">
        <f>IFERROR(VLOOKUP(B33,'Bảng lương tính trên HTfast'!$B$13:$U$190,20,0),0)</f>
        <v>9000000</v>
      </c>
      <c r="X33" s="209"/>
      <c r="Y33" s="209"/>
      <c r="Z33" s="209"/>
      <c r="AA33" s="170">
        <f t="shared" si="26"/>
        <v>0</v>
      </c>
      <c r="AB33" s="209"/>
      <c r="AC33" s="209"/>
      <c r="AD33" s="209"/>
      <c r="AE33" s="209"/>
      <c r="AF33" s="209"/>
      <c r="AG33" s="209"/>
      <c r="AH33" s="209"/>
      <c r="AI33" s="209"/>
      <c r="AJ33" s="209"/>
      <c r="AK33" s="209"/>
      <c r="AL33" s="209"/>
      <c r="AM33" s="209"/>
      <c r="AN33" s="209"/>
      <c r="AO33" s="209"/>
      <c r="AP33" s="170">
        <f t="shared" si="27"/>
        <v>0</v>
      </c>
      <c r="AQ33" s="209"/>
      <c r="AR33" s="209">
        <f t="shared" si="28"/>
        <v>7733370</v>
      </c>
      <c r="AS33" s="209"/>
      <c r="AT33" s="209"/>
      <c r="AU33" s="170">
        <f t="shared" si="29"/>
        <v>77334</v>
      </c>
      <c r="AV33" s="170">
        <f>IFERROR(VLOOKUP(B33,'BS lương'!$B$2:$M$181,11,0),0)</f>
        <v>0</v>
      </c>
      <c r="AW33" s="170"/>
      <c r="AX33" s="209">
        <f t="shared" si="30"/>
        <v>7656036</v>
      </c>
      <c r="AY33" s="210"/>
    </row>
    <row r="34" spans="1:51" ht="12" customHeight="1" x14ac:dyDescent="0.3">
      <c r="A34" s="205">
        <f t="shared" si="21"/>
        <v>11</v>
      </c>
      <c r="B34" s="171" t="s">
        <v>386</v>
      </c>
      <c r="C34" s="171" t="s">
        <v>387</v>
      </c>
      <c r="D34" s="171" t="s">
        <v>66</v>
      </c>
      <c r="E34" s="172"/>
      <c r="F34" s="172">
        <v>1.85</v>
      </c>
      <c r="G34" s="209">
        <f>VLOOKUP(B34,'Bảng lương tính trên HTfast'!$B$13:$H$194,6,0)</f>
        <v>20</v>
      </c>
      <c r="H34" s="170">
        <f>VLOOKUP(B34,'Bảng lương tính trên HTfast'!$B$13:$H$194,7,0)</f>
        <v>7323000</v>
      </c>
      <c r="I34" s="173">
        <f>IFERROR(VLOOKUP(B34,'Luong vitri'!$C$6:$O$179,10,0),0)</f>
        <v>0</v>
      </c>
      <c r="J34" s="174">
        <f>VLOOKUP(B34,'Bảng lương tính trên HTfast'!$B$13:$I$194,8,0)</f>
        <v>1.1299999999999999</v>
      </c>
      <c r="K34" s="173">
        <f>IFERROR(VLOOKUP(B34,'Luong vitri'!$C$6:$O$201,12,0),0)</f>
        <v>0.45</v>
      </c>
      <c r="L34" s="170">
        <f t="shared" si="22"/>
        <v>3295350</v>
      </c>
      <c r="M34" s="170">
        <f t="shared" si="23"/>
        <v>988605</v>
      </c>
      <c r="N34" s="170">
        <f t="shared" si="24"/>
        <v>9263595</v>
      </c>
      <c r="O34" s="170">
        <f>IFERROR(VLOOKUP(B34,'Bảng lương tính trên HTfast'!$B$13:$O$194,12,0),0)</f>
        <v>0</v>
      </c>
      <c r="P34" s="170">
        <f>IFERROR(VLOOKUP(B34,'BS lương'!$B$2:$M$188,9,0),0)</f>
        <v>0</v>
      </c>
      <c r="Q34" s="170">
        <f>IFERROR(VLOOKUP(B34,'BS lương'!$B$2:$M$188,10,0),0)</f>
        <v>0</v>
      </c>
      <c r="R34" s="170">
        <f t="shared" si="25"/>
        <v>9263595</v>
      </c>
      <c r="S34" s="170">
        <f>IFERROR(VLOOKUP(B34,'Bảng lương tính trên HTfast'!$B$13:$U$194,16,0),0)</f>
        <v>768915</v>
      </c>
      <c r="T34" s="170"/>
      <c r="U34" s="170"/>
      <c r="V34" s="170"/>
      <c r="W34" s="170">
        <f>IFERROR(VLOOKUP(B34,'Bảng lương tính trên HTfast'!$B$13:$U$190,20,0),0)</f>
        <v>9000000</v>
      </c>
      <c r="X34" s="170"/>
      <c r="Y34" s="170"/>
      <c r="Z34" s="170"/>
      <c r="AA34" s="170">
        <f t="shared" si="26"/>
        <v>0</v>
      </c>
      <c r="AB34" s="170"/>
      <c r="AC34" s="170"/>
      <c r="AD34" s="170"/>
      <c r="AE34" s="170"/>
      <c r="AF34" s="170"/>
      <c r="AG34" s="170"/>
      <c r="AH34" s="170"/>
      <c r="AI34" s="170"/>
      <c r="AJ34" s="170"/>
      <c r="AK34" s="170"/>
      <c r="AL34" s="170"/>
      <c r="AM34" s="170"/>
      <c r="AN34" s="170"/>
      <c r="AO34" s="170"/>
      <c r="AP34" s="170">
        <f t="shared" si="27"/>
        <v>0</v>
      </c>
      <c r="AQ34" s="170"/>
      <c r="AR34" s="170">
        <f t="shared" si="28"/>
        <v>8494680</v>
      </c>
      <c r="AS34" s="170"/>
      <c r="AT34" s="170"/>
      <c r="AU34" s="170">
        <f t="shared" si="29"/>
        <v>84947</v>
      </c>
      <c r="AV34" s="170">
        <f>IFERROR(VLOOKUP(B34,'BS lương'!$B$2:$M$181,11,0),0)</f>
        <v>0</v>
      </c>
      <c r="AW34" s="170"/>
      <c r="AX34" s="170">
        <f t="shared" si="30"/>
        <v>8409733</v>
      </c>
    </row>
    <row r="35" spans="1:51" ht="12" customHeight="1" x14ac:dyDescent="0.3">
      <c r="A35" s="205">
        <f t="shared" si="21"/>
        <v>12</v>
      </c>
      <c r="B35" s="171" t="s">
        <v>353</v>
      </c>
      <c r="C35" s="171" t="s">
        <v>354</v>
      </c>
      <c r="D35" s="171" t="s">
        <v>66</v>
      </c>
      <c r="E35" s="172"/>
      <c r="F35" s="172">
        <v>1.85</v>
      </c>
      <c r="G35" s="209">
        <f>VLOOKUP(B35,'Bảng lương tính trên HTfast'!$B$13:$H$194,6,0)</f>
        <v>20</v>
      </c>
      <c r="H35" s="170">
        <f>VLOOKUP(B35,'Bảng lương tính trên HTfast'!$B$13:$H$194,7,0)</f>
        <v>7841000</v>
      </c>
      <c r="I35" s="173">
        <f>IFERROR(VLOOKUP(B35,'Luong vitri'!$C$6:$O$179,10,0),0)</f>
        <v>0</v>
      </c>
      <c r="J35" s="174">
        <f>VLOOKUP(B35,'Bảng lương tính trên HTfast'!$B$13:$I$194,8,0)</f>
        <v>1</v>
      </c>
      <c r="K35" s="173">
        <f>IFERROR(VLOOKUP(B35,'Luong vitri'!$C$6:$O$201,12,0),0)</f>
        <v>0.35</v>
      </c>
      <c r="L35" s="170">
        <f t="shared" si="22"/>
        <v>2744350</v>
      </c>
      <c r="M35" s="170">
        <f t="shared" si="23"/>
        <v>823305</v>
      </c>
      <c r="N35" s="170">
        <f t="shared" si="24"/>
        <v>8664305</v>
      </c>
      <c r="O35" s="170">
        <f>IFERROR(VLOOKUP(B35,'Bảng lương tính trên HTfast'!$B$13:$O$194,12,0),0)</f>
        <v>730000</v>
      </c>
      <c r="P35" s="170">
        <f>IFERROR(VLOOKUP(B35,'BS lương'!$B$2:$M$188,9,0),0)</f>
        <v>0</v>
      </c>
      <c r="Q35" s="170">
        <f>IFERROR(VLOOKUP(B35,'BS lương'!$B$2:$M$188,10,0),0)</f>
        <v>0</v>
      </c>
      <c r="R35" s="170">
        <f t="shared" si="25"/>
        <v>9394305</v>
      </c>
      <c r="S35" s="170">
        <f>IFERROR(VLOOKUP(B35,'Bảng lương tính trên HTfast'!$B$13:$U$194,16,0),0)</f>
        <v>823305</v>
      </c>
      <c r="T35" s="170"/>
      <c r="U35" s="170"/>
      <c r="V35" s="170"/>
      <c r="W35" s="170">
        <f>IFERROR(VLOOKUP(B35,'Bảng lương tính trên HTfast'!$B$13:$U$190,20,0),0)</f>
        <v>12600000</v>
      </c>
      <c r="X35" s="170"/>
      <c r="Y35" s="170"/>
      <c r="Z35" s="170"/>
      <c r="AA35" s="170">
        <f t="shared" si="26"/>
        <v>0</v>
      </c>
      <c r="AB35" s="170"/>
      <c r="AC35" s="170"/>
      <c r="AD35" s="170"/>
      <c r="AE35" s="170"/>
      <c r="AF35" s="170"/>
      <c r="AG35" s="170"/>
      <c r="AH35" s="170"/>
      <c r="AI35" s="170"/>
      <c r="AJ35" s="170"/>
      <c r="AK35" s="170"/>
      <c r="AL35" s="170"/>
      <c r="AM35" s="170"/>
      <c r="AN35" s="170"/>
      <c r="AO35" s="170"/>
      <c r="AP35" s="170">
        <f t="shared" si="27"/>
        <v>0</v>
      </c>
      <c r="AQ35" s="170"/>
      <c r="AR35" s="170">
        <f t="shared" si="28"/>
        <v>8571000</v>
      </c>
      <c r="AS35" s="170"/>
      <c r="AT35" s="170"/>
      <c r="AU35" s="170">
        <f t="shared" si="29"/>
        <v>85710</v>
      </c>
      <c r="AV35" s="170">
        <f>IFERROR(VLOOKUP(B35,'BS lương'!$B$2:$M$181,11,0),0)</f>
        <v>0</v>
      </c>
      <c r="AW35" s="170"/>
      <c r="AX35" s="170">
        <f t="shared" si="30"/>
        <v>8485290</v>
      </c>
    </row>
    <row r="36" spans="1:51" ht="12" customHeight="1" x14ac:dyDescent="0.3">
      <c r="A36" s="205">
        <f t="shared" si="21"/>
        <v>13</v>
      </c>
      <c r="B36" s="171" t="s">
        <v>161</v>
      </c>
      <c r="C36" s="171" t="s">
        <v>162</v>
      </c>
      <c r="D36" s="171" t="s">
        <v>66</v>
      </c>
      <c r="E36" s="172"/>
      <c r="F36" s="172">
        <v>1.1000000000000001</v>
      </c>
      <c r="G36" s="209">
        <f>VLOOKUP(B36,'Bảng lương tính trên HTfast'!$B$13:$H$194,6,0)</f>
        <v>20</v>
      </c>
      <c r="H36" s="170">
        <f>VLOOKUP(B36,'Bảng lương tính trên HTfast'!$B$13:$H$194,7,0)</f>
        <v>6527000</v>
      </c>
      <c r="I36" s="173">
        <f>IFERROR(VLOOKUP(B36,'Luong vitri'!$C$6:$O$179,10,0),0)</f>
        <v>0</v>
      </c>
      <c r="J36" s="174">
        <f>VLOOKUP(B36,'Bảng lương tính trên HTfast'!$B$13:$I$194,8,0)</f>
        <v>1.1299999999999999</v>
      </c>
      <c r="K36" s="173">
        <f>IFERROR(VLOOKUP(B36,'Luong vitri'!$C$6:$O$201,12,0),0)</f>
        <v>0.35</v>
      </c>
      <c r="L36" s="170">
        <f t="shared" si="22"/>
        <v>2284450</v>
      </c>
      <c r="M36" s="170">
        <f t="shared" si="23"/>
        <v>685335</v>
      </c>
      <c r="N36" s="170">
        <f t="shared" si="24"/>
        <v>8060845</v>
      </c>
      <c r="O36" s="170">
        <f>IFERROR(VLOOKUP(B36,'Bảng lương tính trên HTfast'!$B$13:$O$194,12,0),0)</f>
        <v>0</v>
      </c>
      <c r="P36" s="170">
        <f>IFERROR(VLOOKUP(B36,'BS lương'!$B$2:$M$188,9,0),0)</f>
        <v>5667534</v>
      </c>
      <c r="Q36" s="170">
        <f>IFERROR(VLOOKUP(B36,'BS lương'!$B$2:$M$188,10,0),0)</f>
        <v>667534</v>
      </c>
      <c r="R36" s="170">
        <f t="shared" si="25"/>
        <v>14395913</v>
      </c>
      <c r="S36" s="170">
        <f>IFERROR(VLOOKUP(B36,'Bảng lương tính trên HTfast'!$B$13:$U$194,16,0),0)</f>
        <v>685335</v>
      </c>
      <c r="T36" s="170"/>
      <c r="U36" s="170"/>
      <c r="V36" s="170"/>
      <c r="W36" s="170">
        <f>IFERROR(VLOOKUP(B36,'Bảng lương tính trên HTfast'!$B$13:$U$190,20,0),0)</f>
        <v>9000000</v>
      </c>
      <c r="X36" s="170"/>
      <c r="Y36" s="170"/>
      <c r="Z36" s="170"/>
      <c r="AA36" s="170">
        <f t="shared" si="26"/>
        <v>4043044</v>
      </c>
      <c r="AB36" s="170"/>
      <c r="AC36" s="170"/>
      <c r="AD36" s="170"/>
      <c r="AE36" s="170"/>
      <c r="AF36" s="170"/>
      <c r="AG36" s="170"/>
      <c r="AH36" s="170"/>
      <c r="AI36" s="170"/>
      <c r="AJ36" s="170"/>
      <c r="AK36" s="170"/>
      <c r="AL36" s="170"/>
      <c r="AM36" s="170"/>
      <c r="AN36" s="170"/>
      <c r="AO36" s="170"/>
      <c r="AP36" s="170">
        <f t="shared" si="27"/>
        <v>202152</v>
      </c>
      <c r="AQ36" s="170"/>
      <c r="AR36" s="170">
        <f t="shared" si="28"/>
        <v>13508426</v>
      </c>
      <c r="AS36" s="170"/>
      <c r="AT36" s="170"/>
      <c r="AU36" s="170">
        <f t="shared" si="29"/>
        <v>135084</v>
      </c>
      <c r="AV36" s="170">
        <f>IFERROR(VLOOKUP(B36,'BS lương'!$B$2:$M$181,11,0),0)</f>
        <v>0</v>
      </c>
      <c r="AW36" s="170"/>
      <c r="AX36" s="170">
        <f t="shared" si="30"/>
        <v>13373342</v>
      </c>
    </row>
    <row r="37" spans="1:51" ht="12" customHeight="1" x14ac:dyDescent="0.3">
      <c r="A37" s="205">
        <f t="shared" si="21"/>
        <v>14</v>
      </c>
      <c r="B37" s="171" t="s">
        <v>270</v>
      </c>
      <c r="C37" s="171" t="s">
        <v>271</v>
      </c>
      <c r="D37" s="171" t="s">
        <v>66</v>
      </c>
      <c r="E37" s="172"/>
      <c r="F37" s="172">
        <v>1.85</v>
      </c>
      <c r="G37" s="209">
        <f>VLOOKUP(B37,'Bảng lương tính trên HTfast'!$B$13:$H$194,6,0)</f>
        <v>20</v>
      </c>
      <c r="H37" s="170">
        <f>VLOOKUP(B37,'Bảng lương tính trên HTfast'!$B$13:$H$194,7,0)</f>
        <v>7841000</v>
      </c>
      <c r="I37" s="173">
        <f>IFERROR(VLOOKUP(B37,'Luong vitri'!$C$6:$O$179,10,0),0)</f>
        <v>0</v>
      </c>
      <c r="J37" s="174">
        <f>VLOOKUP(B37,'Bảng lương tính trên HTfast'!$B$13:$I$194,8,0)</f>
        <v>1</v>
      </c>
      <c r="K37" s="173">
        <f>IFERROR(VLOOKUP(B37,'Luong vitri'!$C$6:$O$201,12,0),0)</f>
        <v>0.35</v>
      </c>
      <c r="L37" s="170">
        <f t="shared" si="22"/>
        <v>2744350</v>
      </c>
      <c r="M37" s="170">
        <f t="shared" si="23"/>
        <v>823305</v>
      </c>
      <c r="N37" s="170">
        <f t="shared" si="24"/>
        <v>8664305</v>
      </c>
      <c r="O37" s="170">
        <f>IFERROR(VLOOKUP(B37,'Bảng lương tính trên HTfast'!$B$13:$O$194,12,0),0)</f>
        <v>0</v>
      </c>
      <c r="P37" s="170">
        <f>IFERROR(VLOOKUP(B37,'BS lương'!$B$2:$M$188,9,0),0)</f>
        <v>555556</v>
      </c>
      <c r="Q37" s="170">
        <f>IFERROR(VLOOKUP(B37,'BS lương'!$B$2:$M$188,10,0),0)</f>
        <v>0</v>
      </c>
      <c r="R37" s="170">
        <f t="shared" si="25"/>
        <v>9219861</v>
      </c>
      <c r="S37" s="170">
        <f>IFERROR(VLOOKUP(B37,'Bảng lương tính trên HTfast'!$B$13:$U$194,16,0),0)</f>
        <v>823305</v>
      </c>
      <c r="T37" s="170"/>
      <c r="U37" s="170"/>
      <c r="V37" s="170"/>
      <c r="W37" s="170">
        <f>IFERROR(VLOOKUP(B37,'Bảng lương tính trên HTfast'!$B$13:$U$190,20,0),0)</f>
        <v>16200000</v>
      </c>
      <c r="X37" s="170"/>
      <c r="Y37" s="170"/>
      <c r="Z37" s="170"/>
      <c r="AA37" s="170">
        <f t="shared" si="26"/>
        <v>0</v>
      </c>
      <c r="AB37" s="170"/>
      <c r="AC37" s="170"/>
      <c r="AD37" s="170"/>
      <c r="AE37" s="170"/>
      <c r="AF37" s="170"/>
      <c r="AG37" s="170"/>
      <c r="AH37" s="170"/>
      <c r="AI37" s="170"/>
      <c r="AJ37" s="170"/>
      <c r="AK37" s="170"/>
      <c r="AL37" s="170"/>
      <c r="AM37" s="170"/>
      <c r="AN37" s="170"/>
      <c r="AO37" s="170"/>
      <c r="AP37" s="170">
        <f t="shared" si="27"/>
        <v>0</v>
      </c>
      <c r="AQ37" s="170"/>
      <c r="AR37" s="170">
        <f t="shared" si="28"/>
        <v>8396556</v>
      </c>
      <c r="AS37" s="170"/>
      <c r="AT37" s="170"/>
      <c r="AU37" s="170">
        <f t="shared" si="29"/>
        <v>83966</v>
      </c>
      <c r="AV37" s="170">
        <f>IFERROR(VLOOKUP(B37,'BS lương'!$B$2:$M$181,11,0),0)</f>
        <v>0</v>
      </c>
      <c r="AW37" s="170"/>
      <c r="AX37" s="170">
        <f t="shared" si="30"/>
        <v>8312590</v>
      </c>
    </row>
    <row r="38" spans="1:51" ht="12" customHeight="1" x14ac:dyDescent="0.3">
      <c r="A38" s="205">
        <f t="shared" si="21"/>
        <v>15</v>
      </c>
      <c r="B38" s="171" t="s">
        <v>182</v>
      </c>
      <c r="C38" s="171" t="s">
        <v>183</v>
      </c>
      <c r="D38" s="171" t="s">
        <v>181</v>
      </c>
      <c r="E38" s="172"/>
      <c r="F38" s="172">
        <v>1.85</v>
      </c>
      <c r="G38" s="209">
        <f>VLOOKUP(B38,'Bảng lương tính trên HTfast'!$B$13:$H$194,6,0)</f>
        <v>20</v>
      </c>
      <c r="H38" s="170">
        <f>VLOOKUP(B38,'Bảng lương tính trên HTfast'!$B$13:$H$194,7,0)</f>
        <v>12020000</v>
      </c>
      <c r="I38" s="173">
        <f>IFERROR(VLOOKUP(B38,'Luong vitri'!$C$6:$O$179,10,0),0)</f>
        <v>0</v>
      </c>
      <c r="J38" s="174">
        <f>VLOOKUP(B38,'Bảng lương tính trên HTfast'!$B$13:$I$194,8,0)</f>
        <v>1.1299999999999999</v>
      </c>
      <c r="K38" s="173">
        <f>IFERROR(VLOOKUP(B38,'Luong vitri'!$C$6:$O$201,12,0),0)</f>
        <v>0.4</v>
      </c>
      <c r="L38" s="170">
        <f t="shared" si="22"/>
        <v>4808000</v>
      </c>
      <c r="M38" s="170">
        <f t="shared" si="23"/>
        <v>1442400</v>
      </c>
      <c r="N38" s="170">
        <f t="shared" si="24"/>
        <v>15025000</v>
      </c>
      <c r="O38" s="170">
        <f>IFERROR(VLOOKUP(B38,'Bảng lương tính trên HTfast'!$B$13:$O$194,12,0),0)</f>
        <v>0</v>
      </c>
      <c r="P38" s="170">
        <f>IFERROR(VLOOKUP(B38,'BS lương'!$B$2:$M$188,9,0),0)</f>
        <v>2397241</v>
      </c>
      <c r="Q38" s="170">
        <f>IFERROR(VLOOKUP(B38,'BS lương'!$B$2:$M$188,10,0),0)</f>
        <v>546364</v>
      </c>
      <c r="R38" s="170">
        <f t="shared" si="25"/>
        <v>17968605</v>
      </c>
      <c r="S38" s="170">
        <f>IFERROR(VLOOKUP(B38,'Bảng lương tính trên HTfast'!$B$13:$U$194,16,0),0)</f>
        <v>1262100</v>
      </c>
      <c r="T38" s="170"/>
      <c r="U38" s="170"/>
      <c r="V38" s="170"/>
      <c r="W38" s="170">
        <f>IFERROR(VLOOKUP(B38,'Bảng lương tính trên HTfast'!$B$13:$U$190,20,0),0)</f>
        <v>12600000</v>
      </c>
      <c r="X38" s="170"/>
      <c r="Y38" s="170"/>
      <c r="Z38" s="170"/>
      <c r="AA38" s="170">
        <f t="shared" si="26"/>
        <v>3560141</v>
      </c>
      <c r="AB38" s="170"/>
      <c r="AC38" s="170"/>
      <c r="AD38" s="170"/>
      <c r="AE38" s="170"/>
      <c r="AF38" s="170"/>
      <c r="AG38" s="170"/>
      <c r="AH38" s="170"/>
      <c r="AI38" s="170"/>
      <c r="AJ38" s="170"/>
      <c r="AK38" s="170"/>
      <c r="AL38" s="170"/>
      <c r="AM38" s="170"/>
      <c r="AN38" s="170"/>
      <c r="AO38" s="170"/>
      <c r="AP38" s="170">
        <f t="shared" si="27"/>
        <v>178007</v>
      </c>
      <c r="AQ38" s="170"/>
      <c r="AR38" s="170">
        <f t="shared" si="28"/>
        <v>16528498</v>
      </c>
      <c r="AS38" s="170"/>
      <c r="AT38" s="170"/>
      <c r="AU38" s="170">
        <f t="shared" si="29"/>
        <v>149000</v>
      </c>
      <c r="AV38" s="170">
        <f>IFERROR(VLOOKUP(B38,'BS lương'!$B$2:$M$181,11,0),0)</f>
        <v>0</v>
      </c>
      <c r="AW38" s="170"/>
      <c r="AX38" s="170">
        <f t="shared" si="30"/>
        <v>16379498</v>
      </c>
    </row>
    <row r="39" spans="1:51" ht="12" customHeight="1" x14ac:dyDescent="0.3">
      <c r="A39" s="205">
        <f t="shared" si="21"/>
        <v>16</v>
      </c>
      <c r="B39" s="171" t="s">
        <v>309</v>
      </c>
      <c r="C39" s="171" t="s">
        <v>310</v>
      </c>
      <c r="D39" s="171" t="s">
        <v>66</v>
      </c>
      <c r="E39" s="172"/>
      <c r="F39" s="172">
        <v>1.85</v>
      </c>
      <c r="G39" s="209">
        <f>VLOOKUP(B39,'Bảng lương tính trên HTfast'!$B$13:$H$194,6,0)</f>
        <v>20</v>
      </c>
      <c r="H39" s="170">
        <f>VLOOKUP(B39,'Bảng lương tính trên HTfast'!$B$13:$H$194,7,0)</f>
        <v>7801000</v>
      </c>
      <c r="I39" s="173">
        <f>IFERROR(VLOOKUP(B39,'Luong vitri'!$C$6:$O$179,10,0),0)</f>
        <v>0</v>
      </c>
      <c r="J39" s="174">
        <f>VLOOKUP(B39,'Bảng lương tính trên HTfast'!$B$13:$I$194,8,0)</f>
        <v>1.1299999999999999</v>
      </c>
      <c r="K39" s="173">
        <f>IFERROR(VLOOKUP(B39,'Luong vitri'!$C$6:$O$201,12,0),0)</f>
        <v>0.45</v>
      </c>
      <c r="L39" s="170">
        <f t="shared" si="22"/>
        <v>3510450</v>
      </c>
      <c r="M39" s="170">
        <f t="shared" si="23"/>
        <v>1053135</v>
      </c>
      <c r="N39" s="170">
        <f t="shared" si="24"/>
        <v>9868265</v>
      </c>
      <c r="O39" s="170">
        <f>IFERROR(VLOOKUP(B39,'Bảng lương tính trên HTfast'!$B$13:$O$194,12,0),0)</f>
        <v>730000</v>
      </c>
      <c r="P39" s="170">
        <f>IFERROR(VLOOKUP(B39,'BS lương'!$B$2:$M$188,9,0),0)</f>
        <v>370370</v>
      </c>
      <c r="Q39" s="170">
        <f>IFERROR(VLOOKUP(B39,'BS lương'!$B$2:$M$188,10,0),0)</f>
        <v>0</v>
      </c>
      <c r="R39" s="170">
        <f t="shared" si="25"/>
        <v>10968635</v>
      </c>
      <c r="S39" s="170">
        <f>IFERROR(VLOOKUP(B39,'Bảng lương tính trên HTfast'!$B$13:$U$194,16,0),0)</f>
        <v>819105</v>
      </c>
      <c r="T39" s="170"/>
      <c r="U39" s="170"/>
      <c r="V39" s="170"/>
      <c r="W39" s="170">
        <f>IFERROR(VLOOKUP(B39,'Bảng lương tính trên HTfast'!$B$13:$U$190,20,0),0)</f>
        <v>12600000</v>
      </c>
      <c r="X39" s="170"/>
      <c r="Y39" s="170"/>
      <c r="Z39" s="170"/>
      <c r="AA39" s="170">
        <f t="shared" si="26"/>
        <v>0</v>
      </c>
      <c r="AB39" s="170"/>
      <c r="AC39" s="170"/>
      <c r="AD39" s="170"/>
      <c r="AE39" s="170"/>
      <c r="AF39" s="170"/>
      <c r="AG39" s="170"/>
      <c r="AH39" s="170"/>
      <c r="AI39" s="170"/>
      <c r="AJ39" s="170"/>
      <c r="AK39" s="170"/>
      <c r="AL39" s="170"/>
      <c r="AM39" s="170"/>
      <c r="AN39" s="170"/>
      <c r="AO39" s="170"/>
      <c r="AP39" s="170">
        <f t="shared" si="27"/>
        <v>0</v>
      </c>
      <c r="AQ39" s="170"/>
      <c r="AR39" s="170">
        <f t="shared" si="28"/>
        <v>10149530</v>
      </c>
      <c r="AS39" s="170"/>
      <c r="AT39" s="170"/>
      <c r="AU39" s="170">
        <f t="shared" si="29"/>
        <v>101495</v>
      </c>
      <c r="AV39" s="170">
        <f>IFERROR(VLOOKUP(B39,'BS lương'!$B$2:$M$181,11,0),0)</f>
        <v>0</v>
      </c>
      <c r="AW39" s="170"/>
      <c r="AX39" s="170">
        <f t="shared" si="30"/>
        <v>10048035</v>
      </c>
    </row>
    <row r="40" spans="1:51" ht="12" customHeight="1" x14ac:dyDescent="0.3">
      <c r="A40" s="205">
        <f t="shared" si="21"/>
        <v>17</v>
      </c>
      <c r="B40" s="171" t="s">
        <v>86</v>
      </c>
      <c r="C40" s="171" t="s">
        <v>87</v>
      </c>
      <c r="D40" s="171" t="s">
        <v>66</v>
      </c>
      <c r="E40" s="172"/>
      <c r="F40" s="172">
        <v>1.85</v>
      </c>
      <c r="G40" s="209">
        <f>VLOOKUP(B40,'Bảng lương tính trên HTfast'!$B$13:$H$194,6,0)</f>
        <v>20</v>
      </c>
      <c r="H40" s="170">
        <f>VLOOKUP(B40,'Bảng lương tính trên HTfast'!$B$13:$H$194,7,0)</f>
        <v>7841000</v>
      </c>
      <c r="I40" s="173">
        <f>IFERROR(VLOOKUP(B40,'Luong vitri'!$C$6:$O$179,10,0),0)</f>
        <v>0.1</v>
      </c>
      <c r="J40" s="174">
        <f>VLOOKUP(B40,'Bảng lương tính trên HTfast'!$B$13:$I$194,8,0)</f>
        <v>1.1299999999999999</v>
      </c>
      <c r="K40" s="173">
        <f>IFERROR(VLOOKUP(B40,'Luong vitri'!$C$6:$O$201,12,0),0)</f>
        <v>0.35</v>
      </c>
      <c r="L40" s="170">
        <f t="shared" si="22"/>
        <v>3018785</v>
      </c>
      <c r="M40" s="170">
        <f t="shared" si="23"/>
        <v>905636</v>
      </c>
      <c r="N40" s="170">
        <f t="shared" si="24"/>
        <v>10651999</v>
      </c>
      <c r="O40" s="170">
        <f>IFERROR(VLOOKUP(B40,'Bảng lương tính trên HTfast'!$B$13:$O$194,12,0),0)</f>
        <v>0</v>
      </c>
      <c r="P40" s="170">
        <f>IFERROR(VLOOKUP(B40,'BS lương'!$B$2:$M$188,9,0),0)</f>
        <v>2801920</v>
      </c>
      <c r="Q40" s="170">
        <f>IFERROR(VLOOKUP(B40,'BS lương'!$B$2:$M$188,10,0),0)</f>
        <v>534614</v>
      </c>
      <c r="R40" s="170">
        <f t="shared" si="25"/>
        <v>13988533</v>
      </c>
      <c r="S40" s="170">
        <f>IFERROR(VLOOKUP(B40,'Bảng lương tính trên HTfast'!$B$13:$U$194,16,0),0)</f>
        <v>823305</v>
      </c>
      <c r="T40" s="170"/>
      <c r="U40" s="170"/>
      <c r="V40" s="170"/>
      <c r="W40" s="170">
        <f>IFERROR(VLOOKUP(B40,'Bảng lương tính trên HTfast'!$B$13:$U$190,20,0),0)</f>
        <v>9000000</v>
      </c>
      <c r="X40" s="170"/>
      <c r="Y40" s="170"/>
      <c r="Z40" s="170"/>
      <c r="AA40" s="170">
        <f t="shared" si="26"/>
        <v>3630614</v>
      </c>
      <c r="AB40" s="170"/>
      <c r="AC40" s="170"/>
      <c r="AD40" s="170"/>
      <c r="AE40" s="170"/>
      <c r="AF40" s="170"/>
      <c r="AG40" s="170"/>
      <c r="AH40" s="170"/>
      <c r="AI40" s="170"/>
      <c r="AJ40" s="170"/>
      <c r="AK40" s="170"/>
      <c r="AL40" s="170"/>
      <c r="AM40" s="170"/>
      <c r="AN40" s="170"/>
      <c r="AO40" s="170"/>
      <c r="AP40" s="170">
        <f t="shared" si="27"/>
        <v>181531</v>
      </c>
      <c r="AQ40" s="170"/>
      <c r="AR40" s="170">
        <f t="shared" si="28"/>
        <v>12983697</v>
      </c>
      <c r="AS40" s="170"/>
      <c r="AT40" s="170"/>
      <c r="AU40" s="170">
        <f t="shared" si="29"/>
        <v>129837</v>
      </c>
      <c r="AV40" s="170">
        <f>IFERROR(VLOOKUP(B40,'BS lương'!$B$2:$M$181,11,0),0)</f>
        <v>0</v>
      </c>
      <c r="AW40" s="170"/>
      <c r="AX40" s="170">
        <f t="shared" si="30"/>
        <v>12853860</v>
      </c>
    </row>
    <row r="41" spans="1:51" ht="12" customHeight="1" x14ac:dyDescent="0.3">
      <c r="A41" s="205">
        <f t="shared" si="21"/>
        <v>18</v>
      </c>
      <c r="B41" s="171" t="s">
        <v>170</v>
      </c>
      <c r="C41" s="171" t="s">
        <v>171</v>
      </c>
      <c r="D41" s="171" t="s">
        <v>66</v>
      </c>
      <c r="E41" s="211"/>
      <c r="F41" s="211">
        <v>1.85</v>
      </c>
      <c r="G41" s="209">
        <f>VLOOKUP(B41,'Bảng lương tính trên HTfast'!$B$13:$H$194,6,0)</f>
        <v>17</v>
      </c>
      <c r="H41" s="170">
        <f>VLOOKUP(B41,'Bảng lương tính trên HTfast'!$B$13:$H$194,7,0)</f>
        <v>6224550</v>
      </c>
      <c r="I41" s="173">
        <f>IFERROR(VLOOKUP(B41,'Luong vitri'!$C$6:$O$179,10,0),0)</f>
        <v>0</v>
      </c>
      <c r="J41" s="174">
        <f>VLOOKUP(B41,'Bảng lương tính trên HTfast'!$B$13:$I$194,8,0)</f>
        <v>1.1299999999999999</v>
      </c>
      <c r="K41" s="173">
        <f>IFERROR(VLOOKUP(B41,'Luong vitri'!$C$6:$O$201,12,0),0)</f>
        <v>0.35</v>
      </c>
      <c r="L41" s="170">
        <f t="shared" si="22"/>
        <v>2178593</v>
      </c>
      <c r="M41" s="170">
        <f t="shared" si="23"/>
        <v>653578</v>
      </c>
      <c r="N41" s="170">
        <f t="shared" si="24"/>
        <v>7687320</v>
      </c>
      <c r="O41" s="170">
        <f>IFERROR(VLOOKUP(B41,'Bảng lương tính trên HTfast'!$B$13:$O$194,12,0),0)</f>
        <v>0</v>
      </c>
      <c r="P41" s="170">
        <f>IFERROR(VLOOKUP(B41,'BS lương'!$B$2:$M$188,9,0),0)</f>
        <v>0</v>
      </c>
      <c r="Q41" s="170">
        <f>IFERROR(VLOOKUP(B41,'BS lương'!$B$2:$M$188,10,0),0)</f>
        <v>0</v>
      </c>
      <c r="R41" s="170">
        <f t="shared" si="25"/>
        <v>7687320</v>
      </c>
      <c r="S41" s="170">
        <f>IFERROR(VLOOKUP(B41,'Bảng lương tính trên HTfast'!$B$13:$U$194,16,0),0)</f>
        <v>768915</v>
      </c>
      <c r="T41" s="170"/>
      <c r="U41" s="170"/>
      <c r="V41" s="170"/>
      <c r="W41" s="170">
        <f>IFERROR(VLOOKUP(B41,'Bảng lương tính trên HTfast'!$B$13:$U$190,20,0),0)</f>
        <v>12600000</v>
      </c>
      <c r="X41" s="170"/>
      <c r="Y41" s="170"/>
      <c r="Z41" s="170"/>
      <c r="AA41" s="170">
        <f t="shared" si="26"/>
        <v>0</v>
      </c>
      <c r="AB41" s="170"/>
      <c r="AC41" s="170"/>
      <c r="AD41" s="170"/>
      <c r="AE41" s="170"/>
      <c r="AF41" s="170"/>
      <c r="AG41" s="170"/>
      <c r="AH41" s="170"/>
      <c r="AI41" s="170"/>
      <c r="AJ41" s="170"/>
      <c r="AK41" s="170"/>
      <c r="AL41" s="170"/>
      <c r="AM41" s="170"/>
      <c r="AN41" s="170"/>
      <c r="AO41" s="170"/>
      <c r="AP41" s="170">
        <f t="shared" si="27"/>
        <v>0</v>
      </c>
      <c r="AQ41" s="170"/>
      <c r="AR41" s="170">
        <f t="shared" si="28"/>
        <v>6918405</v>
      </c>
      <c r="AS41" s="170"/>
      <c r="AT41" s="170"/>
      <c r="AU41" s="170">
        <f t="shared" si="29"/>
        <v>69184</v>
      </c>
      <c r="AV41" s="170">
        <f>IFERROR(VLOOKUP(B41,'BS lương'!$B$2:$M$181,11,0),0)</f>
        <v>0</v>
      </c>
      <c r="AW41" s="170"/>
      <c r="AX41" s="170">
        <f t="shared" si="30"/>
        <v>6849221</v>
      </c>
      <c r="AY41" s="212"/>
    </row>
    <row r="42" spans="1:51" ht="12" customHeight="1" x14ac:dyDescent="0.3">
      <c r="A42" s="205">
        <f t="shared" si="21"/>
        <v>19</v>
      </c>
      <c r="B42" s="171" t="s">
        <v>190</v>
      </c>
      <c r="C42" s="171" t="s">
        <v>191</v>
      </c>
      <c r="D42" s="171" t="s">
        <v>66</v>
      </c>
      <c r="E42" s="172"/>
      <c r="F42" s="172">
        <v>1.85</v>
      </c>
      <c r="G42" s="209">
        <f>VLOOKUP(B42,'Bảng lương tính trên HTfast'!$B$13:$H$194,6,0)</f>
        <v>20</v>
      </c>
      <c r="H42" s="170">
        <f>VLOOKUP(B42,'Bảng lương tính trên HTfast'!$B$13:$H$194,7,0)</f>
        <v>7801000</v>
      </c>
      <c r="I42" s="173">
        <f>IFERROR(VLOOKUP(B42,'Luong vitri'!$C$6:$O$179,10,0),0)</f>
        <v>0</v>
      </c>
      <c r="J42" s="174">
        <f>VLOOKUP(B42,'Bảng lương tính trên HTfast'!$B$13:$I$194,8,0)</f>
        <v>1.1299999999999999</v>
      </c>
      <c r="K42" s="173">
        <f>IFERROR(VLOOKUP(B42,'Luong vitri'!$C$6:$O$201,12,0),0)</f>
        <v>0.35</v>
      </c>
      <c r="L42" s="170">
        <f t="shared" si="22"/>
        <v>2730350</v>
      </c>
      <c r="M42" s="170">
        <f t="shared" si="23"/>
        <v>819105</v>
      </c>
      <c r="N42" s="170">
        <f t="shared" si="24"/>
        <v>9634235</v>
      </c>
      <c r="O42" s="170">
        <f>IFERROR(VLOOKUP(B42,'Bảng lương tính trên HTfast'!$B$13:$O$194,12,0),0)</f>
        <v>0</v>
      </c>
      <c r="P42" s="170">
        <f>IFERROR(VLOOKUP(B42,'BS lương'!$B$2:$M$188,9,0),0)</f>
        <v>714286</v>
      </c>
      <c r="Q42" s="170">
        <f>IFERROR(VLOOKUP(B42,'BS lương'!$B$2:$M$188,10,0),0)</f>
        <v>0</v>
      </c>
      <c r="R42" s="170">
        <f t="shared" si="25"/>
        <v>10348521</v>
      </c>
      <c r="S42" s="170">
        <f>IFERROR(VLOOKUP(B42,'Bảng lương tính trên HTfast'!$B$13:$U$194,16,0),0)</f>
        <v>819105</v>
      </c>
      <c r="T42" s="170"/>
      <c r="U42" s="170"/>
      <c r="V42" s="170"/>
      <c r="W42" s="170">
        <f>IFERROR(VLOOKUP(B42,'Bảng lương tính trên HTfast'!$B$13:$U$190,20,0),0)</f>
        <v>12600000</v>
      </c>
      <c r="X42" s="170"/>
      <c r="Y42" s="170"/>
      <c r="Z42" s="170"/>
      <c r="AA42" s="170">
        <f t="shared" si="26"/>
        <v>0</v>
      </c>
      <c r="AB42" s="170"/>
      <c r="AC42" s="170"/>
      <c r="AD42" s="170"/>
      <c r="AE42" s="170"/>
      <c r="AF42" s="170"/>
      <c r="AG42" s="170"/>
      <c r="AH42" s="170"/>
      <c r="AI42" s="170"/>
      <c r="AJ42" s="170"/>
      <c r="AK42" s="170"/>
      <c r="AL42" s="170"/>
      <c r="AM42" s="170"/>
      <c r="AN42" s="170"/>
      <c r="AO42" s="170"/>
      <c r="AP42" s="170">
        <f t="shared" si="27"/>
        <v>0</v>
      </c>
      <c r="AQ42" s="170"/>
      <c r="AR42" s="170">
        <f t="shared" si="28"/>
        <v>9529416</v>
      </c>
      <c r="AS42" s="170"/>
      <c r="AT42" s="170"/>
      <c r="AU42" s="170">
        <f t="shared" si="29"/>
        <v>95294</v>
      </c>
      <c r="AV42" s="170">
        <f>IFERROR(VLOOKUP(B42,'BS lương'!$B$2:$M$181,11,0),0)</f>
        <v>0</v>
      </c>
      <c r="AW42" s="170"/>
      <c r="AX42" s="170">
        <f t="shared" si="30"/>
        <v>9434122</v>
      </c>
    </row>
    <row r="43" spans="1:51" ht="12" customHeight="1" x14ac:dyDescent="0.3">
      <c r="A43" s="205">
        <f t="shared" si="21"/>
        <v>20</v>
      </c>
      <c r="B43" s="171" t="s">
        <v>226</v>
      </c>
      <c r="C43" s="171" t="s">
        <v>227</v>
      </c>
      <c r="D43" s="171" t="s">
        <v>66</v>
      </c>
      <c r="E43" s="172"/>
      <c r="F43" s="172">
        <v>1.85</v>
      </c>
      <c r="G43" s="209">
        <f>VLOOKUP(B43,'Bảng lương tính trên HTfast'!$B$13:$H$194,6,0)</f>
        <v>20</v>
      </c>
      <c r="H43" s="170">
        <f>VLOOKUP(B43,'Bảng lương tính trên HTfast'!$B$13:$H$194,7,0)</f>
        <v>7841000</v>
      </c>
      <c r="I43" s="173">
        <f>IFERROR(VLOOKUP(B43,'Luong vitri'!$C$6:$O$179,10,0),0)</f>
        <v>0</v>
      </c>
      <c r="J43" s="174">
        <f>VLOOKUP(B43,'Bảng lương tính trên HTfast'!$B$13:$I$194,8,0)</f>
        <v>1</v>
      </c>
      <c r="K43" s="173">
        <f>IFERROR(VLOOKUP(B43,'Luong vitri'!$C$6:$O$201,12,0),0)</f>
        <v>0.35</v>
      </c>
      <c r="L43" s="170">
        <f t="shared" si="22"/>
        <v>2744350</v>
      </c>
      <c r="M43" s="170">
        <f t="shared" si="23"/>
        <v>823305</v>
      </c>
      <c r="N43" s="170">
        <f t="shared" si="24"/>
        <v>8664305</v>
      </c>
      <c r="O43" s="170">
        <f>IFERROR(VLOOKUP(B43,'Bảng lương tính trên HTfast'!$B$13:$O$194,12,0),0)</f>
        <v>0</v>
      </c>
      <c r="P43" s="170">
        <f>IFERROR(VLOOKUP(B43,'BS lương'!$B$2:$M$188,9,0),0)</f>
        <v>588235</v>
      </c>
      <c r="Q43" s="170">
        <f>IFERROR(VLOOKUP(B43,'BS lương'!$B$2:$M$188,10,0),0)</f>
        <v>0</v>
      </c>
      <c r="R43" s="170">
        <f t="shared" si="25"/>
        <v>9252540</v>
      </c>
      <c r="S43" s="170">
        <f>IFERROR(VLOOKUP(B43,'Bảng lương tính trên HTfast'!$B$13:$U$194,16,0),0)</f>
        <v>823305</v>
      </c>
      <c r="T43" s="170"/>
      <c r="U43" s="170"/>
      <c r="V43" s="170"/>
      <c r="W43" s="170">
        <f>IFERROR(VLOOKUP(B43,'Bảng lương tính trên HTfast'!$B$13:$U$190,20,0),0)</f>
        <v>12600000</v>
      </c>
      <c r="X43" s="170"/>
      <c r="Y43" s="170"/>
      <c r="Z43" s="170"/>
      <c r="AA43" s="170">
        <f t="shared" si="26"/>
        <v>0</v>
      </c>
      <c r="AB43" s="170"/>
      <c r="AC43" s="170"/>
      <c r="AD43" s="170"/>
      <c r="AE43" s="170"/>
      <c r="AF43" s="170"/>
      <c r="AG43" s="170"/>
      <c r="AH43" s="170"/>
      <c r="AI43" s="170"/>
      <c r="AJ43" s="170"/>
      <c r="AK43" s="170"/>
      <c r="AL43" s="170"/>
      <c r="AM43" s="170"/>
      <c r="AN43" s="170"/>
      <c r="AO43" s="170"/>
      <c r="AP43" s="170">
        <f t="shared" si="27"/>
        <v>0</v>
      </c>
      <c r="AQ43" s="170"/>
      <c r="AR43" s="170">
        <f t="shared" si="28"/>
        <v>8429235</v>
      </c>
      <c r="AS43" s="170"/>
      <c r="AT43" s="170"/>
      <c r="AU43" s="170">
        <f t="shared" si="29"/>
        <v>84292</v>
      </c>
      <c r="AV43" s="170">
        <f>IFERROR(VLOOKUP(B43,'BS lương'!$B$2:$M$181,11,0),0)</f>
        <v>0</v>
      </c>
      <c r="AW43" s="170"/>
      <c r="AX43" s="170">
        <f t="shared" si="30"/>
        <v>8344943</v>
      </c>
    </row>
    <row r="44" spans="1:51" ht="12" customHeight="1" x14ac:dyDescent="0.3">
      <c r="A44" s="205">
        <f t="shared" si="21"/>
        <v>21</v>
      </c>
      <c r="B44" s="171" t="s">
        <v>315</v>
      </c>
      <c r="C44" s="171" t="s">
        <v>316</v>
      </c>
      <c r="D44" s="171" t="s">
        <v>66</v>
      </c>
      <c r="E44" s="172"/>
      <c r="F44" s="172">
        <v>39.020000000000003</v>
      </c>
      <c r="G44" s="209">
        <f>VLOOKUP(B44,'Bảng lương tính trên HTfast'!$B$13:$H$194,6,0)</f>
        <v>20</v>
      </c>
      <c r="H44" s="170">
        <f>VLOOKUP(B44,'Bảng lương tính trên HTfast'!$B$13:$H$194,7,0)</f>
        <v>7323000</v>
      </c>
      <c r="I44" s="173">
        <f>IFERROR(VLOOKUP(B44,'Luong vitri'!$C$6:$O$179,10,0),0)</f>
        <v>0</v>
      </c>
      <c r="J44" s="174">
        <f>VLOOKUP(B44,'Bảng lương tính trên HTfast'!$B$13:$I$194,8,0)</f>
        <v>1</v>
      </c>
      <c r="K44" s="173">
        <f>IFERROR(VLOOKUP(B44,'Luong vitri'!$C$6:$O$201,12,0),0)</f>
        <v>0.45</v>
      </c>
      <c r="L44" s="170">
        <f t="shared" si="22"/>
        <v>3295350</v>
      </c>
      <c r="M44" s="170">
        <f t="shared" si="23"/>
        <v>988605</v>
      </c>
      <c r="N44" s="170">
        <f t="shared" si="24"/>
        <v>8311605</v>
      </c>
      <c r="O44" s="170">
        <f>IFERROR(VLOOKUP(B44,'Bảng lương tính trên HTfast'!$B$13:$O$194,12,0),0)</f>
        <v>730000</v>
      </c>
      <c r="P44" s="170">
        <f>IFERROR(VLOOKUP(B44,'BS lương'!$B$2:$M$188,9,0),0)</f>
        <v>370370</v>
      </c>
      <c r="Q44" s="170">
        <f>IFERROR(VLOOKUP(B44,'BS lương'!$B$2:$M$188,10,0),0)</f>
        <v>0</v>
      </c>
      <c r="R44" s="170">
        <f t="shared" si="25"/>
        <v>9411975</v>
      </c>
      <c r="S44" s="170">
        <f>IFERROR(VLOOKUP(B44,'Bảng lương tính trên HTfast'!$B$13:$U$194,16,0),0)</f>
        <v>768915</v>
      </c>
      <c r="T44" s="170"/>
      <c r="U44" s="170"/>
      <c r="V44" s="170"/>
      <c r="W44" s="170">
        <f>IFERROR(VLOOKUP(B44,'Bảng lương tính trên HTfast'!$B$13:$U$190,20,0),0)</f>
        <v>9000000</v>
      </c>
      <c r="X44" s="170"/>
      <c r="Y44" s="170"/>
      <c r="Z44" s="170"/>
      <c r="AA44" s="170">
        <f t="shared" si="26"/>
        <v>0</v>
      </c>
      <c r="AB44" s="170"/>
      <c r="AC44" s="170"/>
      <c r="AD44" s="170"/>
      <c r="AE44" s="170"/>
      <c r="AF44" s="170"/>
      <c r="AG44" s="170"/>
      <c r="AH44" s="170"/>
      <c r="AI44" s="170"/>
      <c r="AJ44" s="170"/>
      <c r="AK44" s="170"/>
      <c r="AL44" s="170"/>
      <c r="AM44" s="170"/>
      <c r="AN44" s="170"/>
      <c r="AO44" s="170"/>
      <c r="AP44" s="170">
        <f t="shared" si="27"/>
        <v>0</v>
      </c>
      <c r="AQ44" s="170"/>
      <c r="AR44" s="170">
        <f t="shared" si="28"/>
        <v>8643060</v>
      </c>
      <c r="AS44" s="170"/>
      <c r="AT44" s="170"/>
      <c r="AU44" s="170">
        <f t="shared" si="29"/>
        <v>86431</v>
      </c>
      <c r="AV44" s="170">
        <f>IFERROR(VLOOKUP(B44,'BS lương'!$B$2:$M$181,11,0),0)</f>
        <v>0</v>
      </c>
      <c r="AW44" s="170"/>
      <c r="AX44" s="170">
        <f t="shared" si="30"/>
        <v>8556629</v>
      </c>
    </row>
    <row r="45" spans="1:51" ht="12" customHeight="1" x14ac:dyDescent="0.3">
      <c r="A45" s="205">
        <f t="shared" si="21"/>
        <v>22</v>
      </c>
      <c r="B45" s="171" t="s">
        <v>297</v>
      </c>
      <c r="C45" s="171" t="s">
        <v>298</v>
      </c>
      <c r="D45" s="171" t="s">
        <v>66</v>
      </c>
      <c r="E45" s="172"/>
      <c r="F45" s="172">
        <v>1.85</v>
      </c>
      <c r="G45" s="209">
        <f>VLOOKUP(B45,'Bảng lương tính trên HTfast'!$B$13:$H$194,6,0)</f>
        <v>20</v>
      </c>
      <c r="H45" s="170">
        <f>VLOOKUP(B45,'Bảng lương tính trên HTfast'!$B$13:$H$194,7,0)</f>
        <v>8278000</v>
      </c>
      <c r="I45" s="173">
        <f>IFERROR(VLOOKUP(B45,'Luong vitri'!$C$6:$O$179,10,0),0)</f>
        <v>0</v>
      </c>
      <c r="J45" s="174">
        <f>VLOOKUP(B45,'Bảng lương tính trên HTfast'!$B$13:$I$194,8,0)</f>
        <v>1</v>
      </c>
      <c r="K45" s="173">
        <f>IFERROR(VLOOKUP(B45,'Luong vitri'!$C$6:$O$201,12,0),0)</f>
        <v>0.45</v>
      </c>
      <c r="L45" s="170">
        <f t="shared" si="22"/>
        <v>3725100</v>
      </c>
      <c r="M45" s="170">
        <f t="shared" si="23"/>
        <v>1117530</v>
      </c>
      <c r="N45" s="170">
        <f t="shared" si="24"/>
        <v>9395530</v>
      </c>
      <c r="O45" s="170">
        <f>IFERROR(VLOOKUP(B45,'Bảng lương tính trên HTfast'!$B$13:$O$194,12,0),0)</f>
        <v>0</v>
      </c>
      <c r="P45" s="170">
        <f>IFERROR(VLOOKUP(B45,'BS lương'!$B$2:$M$188,9,0),0)</f>
        <v>370370</v>
      </c>
      <c r="Q45" s="170">
        <f>IFERROR(VLOOKUP(B45,'BS lương'!$B$2:$M$188,10,0),0)</f>
        <v>0</v>
      </c>
      <c r="R45" s="170">
        <f t="shared" si="25"/>
        <v>9765900</v>
      </c>
      <c r="S45" s="170">
        <f>IFERROR(VLOOKUP(B45,'Bảng lương tính trên HTfast'!$B$13:$U$194,16,0),0)</f>
        <v>869190</v>
      </c>
      <c r="T45" s="170"/>
      <c r="U45" s="170"/>
      <c r="V45" s="170"/>
      <c r="W45" s="170">
        <f>IFERROR(VLOOKUP(B45,'Bảng lương tính trên HTfast'!$B$13:$U$190,20,0),0)</f>
        <v>19800000</v>
      </c>
      <c r="X45" s="170"/>
      <c r="Y45" s="170"/>
      <c r="Z45" s="170"/>
      <c r="AA45" s="170">
        <f t="shared" si="26"/>
        <v>0</v>
      </c>
      <c r="AB45" s="170"/>
      <c r="AC45" s="170"/>
      <c r="AD45" s="170"/>
      <c r="AE45" s="170"/>
      <c r="AF45" s="170"/>
      <c r="AG45" s="170"/>
      <c r="AH45" s="170"/>
      <c r="AI45" s="170"/>
      <c r="AJ45" s="170"/>
      <c r="AK45" s="170"/>
      <c r="AL45" s="170"/>
      <c r="AM45" s="170"/>
      <c r="AN45" s="170"/>
      <c r="AO45" s="170"/>
      <c r="AP45" s="170">
        <f t="shared" si="27"/>
        <v>0</v>
      </c>
      <c r="AQ45" s="170"/>
      <c r="AR45" s="170">
        <f t="shared" si="28"/>
        <v>8896710</v>
      </c>
      <c r="AS45" s="170"/>
      <c r="AT45" s="170"/>
      <c r="AU45" s="170">
        <f t="shared" si="29"/>
        <v>88967</v>
      </c>
      <c r="AV45" s="170">
        <f>IFERROR(VLOOKUP(B45,'BS lương'!$B$2:$M$181,11,0),0)</f>
        <v>0</v>
      </c>
      <c r="AW45" s="170"/>
      <c r="AX45" s="170">
        <f t="shared" si="30"/>
        <v>8807743</v>
      </c>
    </row>
    <row r="46" spans="1:51" ht="12" customHeight="1" x14ac:dyDescent="0.3">
      <c r="A46" s="205">
        <f t="shared" si="21"/>
        <v>23</v>
      </c>
      <c r="B46" s="171" t="s">
        <v>359</v>
      </c>
      <c r="C46" s="171" t="s">
        <v>360</v>
      </c>
      <c r="D46" s="171" t="s">
        <v>66</v>
      </c>
      <c r="E46" s="172"/>
      <c r="F46" s="172">
        <v>6.25</v>
      </c>
      <c r="G46" s="209">
        <f>VLOOKUP(B46,'Bảng lương tính trên HTfast'!$B$13:$H$194,6,0)</f>
        <v>20</v>
      </c>
      <c r="H46" s="170">
        <f>VLOOKUP(B46,'Bảng lương tính trên HTfast'!$B$13:$H$194,7,0)</f>
        <v>7801000</v>
      </c>
      <c r="I46" s="173">
        <f>IFERROR(VLOOKUP(B46,'Luong vitri'!$C$6:$O$179,10,0),0)</f>
        <v>0</v>
      </c>
      <c r="J46" s="174">
        <f>VLOOKUP(B46,'Bảng lương tính trên HTfast'!$B$13:$I$194,8,0)</f>
        <v>1</v>
      </c>
      <c r="K46" s="173">
        <f>IFERROR(VLOOKUP(B46,'Luong vitri'!$C$6:$O$201,12,0),0)</f>
        <v>0.35</v>
      </c>
      <c r="L46" s="170">
        <f t="shared" si="22"/>
        <v>2730350</v>
      </c>
      <c r="M46" s="170">
        <f t="shared" si="23"/>
        <v>819105</v>
      </c>
      <c r="N46" s="170">
        <f t="shared" si="24"/>
        <v>8620105</v>
      </c>
      <c r="O46" s="170">
        <f>IFERROR(VLOOKUP(B46,'Bảng lương tính trên HTfast'!$B$13:$O$194,12,0),0)</f>
        <v>730000</v>
      </c>
      <c r="P46" s="170">
        <f>IFERROR(VLOOKUP(B46,'BS lương'!$B$2:$M$188,9,0),0)</f>
        <v>0</v>
      </c>
      <c r="Q46" s="170">
        <f>IFERROR(VLOOKUP(B46,'BS lương'!$B$2:$M$188,10,0),0)</f>
        <v>0</v>
      </c>
      <c r="R46" s="170">
        <f t="shared" si="25"/>
        <v>9350105</v>
      </c>
      <c r="S46" s="170">
        <f>IFERROR(VLOOKUP(B46,'Bảng lương tính trên HTfast'!$B$13:$U$194,16,0),0)</f>
        <v>819105</v>
      </c>
      <c r="T46" s="170"/>
      <c r="U46" s="170"/>
      <c r="V46" s="170"/>
      <c r="W46" s="170">
        <f>IFERROR(VLOOKUP(B46,'Bảng lương tính trên HTfast'!$B$13:$U$190,20,0),0)</f>
        <v>9000000</v>
      </c>
      <c r="X46" s="170"/>
      <c r="Y46" s="170"/>
      <c r="Z46" s="170"/>
      <c r="AA46" s="170">
        <f t="shared" si="26"/>
        <v>0</v>
      </c>
      <c r="AB46" s="170"/>
      <c r="AC46" s="170"/>
      <c r="AD46" s="170"/>
      <c r="AE46" s="170"/>
      <c r="AF46" s="170"/>
      <c r="AG46" s="170"/>
      <c r="AH46" s="170"/>
      <c r="AI46" s="170"/>
      <c r="AJ46" s="170"/>
      <c r="AK46" s="170"/>
      <c r="AL46" s="170"/>
      <c r="AM46" s="170"/>
      <c r="AN46" s="170"/>
      <c r="AO46" s="170"/>
      <c r="AP46" s="170">
        <f t="shared" si="27"/>
        <v>0</v>
      </c>
      <c r="AQ46" s="170"/>
      <c r="AR46" s="170">
        <f t="shared" si="28"/>
        <v>8531000</v>
      </c>
      <c r="AS46" s="170"/>
      <c r="AT46" s="170"/>
      <c r="AU46" s="170">
        <f t="shared" si="29"/>
        <v>85310</v>
      </c>
      <c r="AV46" s="170">
        <f>IFERROR(VLOOKUP(B46,'BS lương'!$B$2:$M$181,11,0),0)</f>
        <v>0</v>
      </c>
      <c r="AW46" s="170"/>
      <c r="AX46" s="170">
        <f t="shared" si="30"/>
        <v>8445690</v>
      </c>
    </row>
    <row r="47" spans="1:51" ht="12" customHeight="1" x14ac:dyDescent="0.3">
      <c r="A47" s="205">
        <f t="shared" si="21"/>
        <v>24</v>
      </c>
      <c r="B47" s="171" t="s">
        <v>212</v>
      </c>
      <c r="C47" s="171" t="s">
        <v>213</v>
      </c>
      <c r="D47" s="171" t="s">
        <v>214</v>
      </c>
      <c r="E47" s="172"/>
      <c r="F47" s="172">
        <v>2.29</v>
      </c>
      <c r="G47" s="209">
        <f>VLOOKUP(B47,'Bảng lương tính trên HTfast'!$B$13:$H$194,6,0)</f>
        <v>20</v>
      </c>
      <c r="H47" s="170">
        <f>VLOOKUP(B47,'Bảng lương tính trên HTfast'!$B$13:$H$194,7,0)</f>
        <v>16238000</v>
      </c>
      <c r="I47" s="173">
        <f>IFERROR(VLOOKUP(B47,'Luong vitri'!$C$6:$O$179,10,0),0)</f>
        <v>0</v>
      </c>
      <c r="J47" s="174">
        <f>VLOOKUP(B47,'Bảng lương tính trên HTfast'!$B$13:$I$194,8,0)</f>
        <v>1</v>
      </c>
      <c r="K47" s="173">
        <f>IFERROR(VLOOKUP(B47,'Luong vitri'!$C$6:$O$201,12,0),0)</f>
        <v>0.55000000000000004</v>
      </c>
      <c r="L47" s="170">
        <f t="shared" si="22"/>
        <v>8930900</v>
      </c>
      <c r="M47" s="170">
        <f t="shared" si="23"/>
        <v>2679270</v>
      </c>
      <c r="N47" s="170">
        <f t="shared" si="24"/>
        <v>18917270</v>
      </c>
      <c r="O47" s="170">
        <f>IFERROR(VLOOKUP(B47,'Bảng lương tính trên HTfast'!$B$13:$O$194,12,0),0)</f>
        <v>0</v>
      </c>
      <c r="P47" s="170">
        <f>IFERROR(VLOOKUP(B47,'BS lương'!$B$2:$M$188,9,0),0)</f>
        <v>588235</v>
      </c>
      <c r="Q47" s="170">
        <f>IFERROR(VLOOKUP(B47,'BS lương'!$B$2:$M$188,10,0),0)</f>
        <v>0</v>
      </c>
      <c r="R47" s="170">
        <f t="shared" si="25"/>
        <v>19505505</v>
      </c>
      <c r="S47" s="170">
        <f>IFERROR(VLOOKUP(B47,'Bảng lương tính trên HTfast'!$B$13:$U$194,16,0),0)</f>
        <v>1704990</v>
      </c>
      <c r="T47" s="170"/>
      <c r="U47" s="170"/>
      <c r="V47" s="170"/>
      <c r="W47" s="170">
        <f>IFERROR(VLOOKUP(B47,'Bảng lương tính trên HTfast'!$B$13:$U$190,20,0),0)</f>
        <v>19800000</v>
      </c>
      <c r="X47" s="170"/>
      <c r="Y47" s="170"/>
      <c r="Z47" s="170"/>
      <c r="AA47" s="170">
        <f t="shared" si="26"/>
        <v>0</v>
      </c>
      <c r="AB47" s="170"/>
      <c r="AC47" s="170"/>
      <c r="AD47" s="170"/>
      <c r="AE47" s="170"/>
      <c r="AF47" s="170"/>
      <c r="AG47" s="170"/>
      <c r="AH47" s="170"/>
      <c r="AI47" s="170"/>
      <c r="AJ47" s="170"/>
      <c r="AK47" s="170"/>
      <c r="AL47" s="170"/>
      <c r="AM47" s="170"/>
      <c r="AN47" s="170"/>
      <c r="AO47" s="170"/>
      <c r="AP47" s="170">
        <f t="shared" si="27"/>
        <v>0</v>
      </c>
      <c r="AQ47" s="170"/>
      <c r="AR47" s="170">
        <f t="shared" si="28"/>
        <v>17800515</v>
      </c>
      <c r="AS47" s="170"/>
      <c r="AT47" s="170"/>
      <c r="AU47" s="170">
        <f t="shared" si="29"/>
        <v>149000</v>
      </c>
      <c r="AV47" s="170">
        <f>IFERROR(VLOOKUP(B47,'BS lương'!$B$2:$M$181,11,0),0)</f>
        <v>0</v>
      </c>
      <c r="AW47" s="170"/>
      <c r="AX47" s="170">
        <f t="shared" si="30"/>
        <v>17651515</v>
      </c>
    </row>
    <row r="48" spans="1:51" ht="12" customHeight="1" x14ac:dyDescent="0.3">
      <c r="A48" s="205">
        <f t="shared" si="21"/>
        <v>25</v>
      </c>
      <c r="B48" s="171" t="s">
        <v>151</v>
      </c>
      <c r="C48" s="171" t="s">
        <v>152</v>
      </c>
      <c r="D48" s="171" t="s">
        <v>66</v>
      </c>
      <c r="E48" s="172"/>
      <c r="F48" s="172">
        <v>1.85</v>
      </c>
      <c r="G48" s="209">
        <f>VLOOKUP(B48,'Bảng lương tính trên HTfast'!$B$13:$H$194,6,0)</f>
        <v>20</v>
      </c>
      <c r="H48" s="170">
        <f>VLOOKUP(B48,'Bảng lương tính trên HTfast'!$B$13:$H$194,7,0)</f>
        <v>8318000</v>
      </c>
      <c r="I48" s="173">
        <f>IFERROR(VLOOKUP(B48,'Luong vitri'!$C$6:$O$179,10,0),0)</f>
        <v>0</v>
      </c>
      <c r="J48" s="174">
        <f>VLOOKUP(B48,'Bảng lương tính trên HTfast'!$B$13:$I$194,8,0)</f>
        <v>1.1299999999999999</v>
      </c>
      <c r="K48" s="173">
        <f>IFERROR(VLOOKUP(B48,'Luong vitri'!$C$6:$O$201,12,0),0)</f>
        <v>0.35</v>
      </c>
      <c r="L48" s="170">
        <f t="shared" si="22"/>
        <v>2911300</v>
      </c>
      <c r="M48" s="170">
        <f t="shared" si="23"/>
        <v>873390</v>
      </c>
      <c r="N48" s="170">
        <f t="shared" si="24"/>
        <v>10272730</v>
      </c>
      <c r="O48" s="170">
        <f>IFERROR(VLOOKUP(B48,'Bảng lương tính trên HTfast'!$B$13:$O$194,12,0),0)</f>
        <v>0</v>
      </c>
      <c r="P48" s="170">
        <f>IFERROR(VLOOKUP(B48,'BS lương'!$B$2:$M$188,9,0),0)</f>
        <v>5567136</v>
      </c>
      <c r="Q48" s="170">
        <f>IFERROR(VLOOKUP(B48,'BS lương'!$B$2:$M$188,10,0),0)</f>
        <v>567136</v>
      </c>
      <c r="R48" s="170">
        <f t="shared" si="25"/>
        <v>16407002</v>
      </c>
      <c r="S48" s="170">
        <f>IFERROR(VLOOKUP(B48,'Bảng lương tính trên HTfast'!$B$13:$U$194,16,0),0)</f>
        <v>873390</v>
      </c>
      <c r="T48" s="170"/>
      <c r="U48" s="170"/>
      <c r="V48" s="170"/>
      <c r="W48" s="170">
        <f>IFERROR(VLOOKUP(B48,'Bảng lương tính trên HTfast'!$B$13:$U$190,20,0),0)</f>
        <v>12600000</v>
      </c>
      <c r="X48" s="170"/>
      <c r="Y48" s="170"/>
      <c r="Z48" s="170"/>
      <c r="AA48" s="170">
        <f t="shared" si="26"/>
        <v>2366476</v>
      </c>
      <c r="AB48" s="170"/>
      <c r="AC48" s="170"/>
      <c r="AD48" s="170"/>
      <c r="AE48" s="170"/>
      <c r="AF48" s="170"/>
      <c r="AG48" s="170"/>
      <c r="AH48" s="170"/>
      <c r="AI48" s="170"/>
      <c r="AJ48" s="170"/>
      <c r="AK48" s="170"/>
      <c r="AL48" s="170"/>
      <c r="AM48" s="170"/>
      <c r="AN48" s="170"/>
      <c r="AO48" s="170"/>
      <c r="AP48" s="170">
        <f t="shared" si="27"/>
        <v>118324</v>
      </c>
      <c r="AQ48" s="170"/>
      <c r="AR48" s="170">
        <f t="shared" si="28"/>
        <v>15415288</v>
      </c>
      <c r="AS48" s="170"/>
      <c r="AT48" s="170"/>
      <c r="AU48" s="170">
        <f t="shared" si="29"/>
        <v>149000</v>
      </c>
      <c r="AV48" s="170">
        <f>IFERROR(VLOOKUP(B48,'BS lương'!$B$2:$M$181,11,0),0)</f>
        <v>0</v>
      </c>
      <c r="AW48" s="170"/>
      <c r="AX48" s="170">
        <f t="shared" si="30"/>
        <v>15266288</v>
      </c>
    </row>
    <row r="49" spans="1:51" ht="12" customHeight="1" x14ac:dyDescent="0.3">
      <c r="A49" s="205">
        <f t="shared" si="21"/>
        <v>26</v>
      </c>
      <c r="B49" s="171" t="s">
        <v>392</v>
      </c>
      <c r="C49" s="171" t="s">
        <v>393</v>
      </c>
      <c r="D49" s="171" t="s">
        <v>66</v>
      </c>
      <c r="E49" s="172"/>
      <c r="F49" s="172">
        <v>1.85</v>
      </c>
      <c r="G49" s="209">
        <f>VLOOKUP(B49,'Bảng lương tính trên HTfast'!$B$13:$H$194,6,0)</f>
        <v>20</v>
      </c>
      <c r="H49" s="170">
        <f>VLOOKUP(B49,'Bảng lương tính trên HTfast'!$B$13:$H$194,7,0)</f>
        <v>7363000</v>
      </c>
      <c r="I49" s="173">
        <f>IFERROR(VLOOKUP(B49,'Luong vitri'!$C$6:$O$179,10,0),0)</f>
        <v>0</v>
      </c>
      <c r="J49" s="174">
        <f>VLOOKUP(B49,'Bảng lương tính trên HTfast'!$B$13:$I$194,8,0)</f>
        <v>1.1299999999999999</v>
      </c>
      <c r="K49" s="173">
        <f>IFERROR(VLOOKUP(B49,'Luong vitri'!$C$6:$O$201,12,0),0)</f>
        <v>0.35</v>
      </c>
      <c r="L49" s="170">
        <f t="shared" si="22"/>
        <v>2577050</v>
      </c>
      <c r="M49" s="170">
        <f t="shared" si="23"/>
        <v>773115</v>
      </c>
      <c r="N49" s="170">
        <f t="shared" si="24"/>
        <v>9093305</v>
      </c>
      <c r="O49" s="170">
        <f>IFERROR(VLOOKUP(B49,'Bảng lương tính trên HTfast'!$B$13:$O$194,12,0),0)</f>
        <v>0</v>
      </c>
      <c r="P49" s="170">
        <f>IFERROR(VLOOKUP(B49,'BS lương'!$B$2:$M$188,9,0),0)</f>
        <v>5000000</v>
      </c>
      <c r="Q49" s="170">
        <f>IFERROR(VLOOKUP(B49,'BS lương'!$B$2:$M$188,10,0),0)</f>
        <v>0</v>
      </c>
      <c r="R49" s="170">
        <f t="shared" si="25"/>
        <v>14093305</v>
      </c>
      <c r="S49" s="170">
        <f>IFERROR(VLOOKUP(B49,'Bảng lương tính trên HTfast'!$B$13:$U$194,16,0),0)</f>
        <v>773115</v>
      </c>
      <c r="T49" s="170"/>
      <c r="U49" s="170"/>
      <c r="V49" s="170"/>
      <c r="W49" s="170">
        <f>IFERROR(VLOOKUP(B49,'Bảng lương tính trên HTfast'!$B$13:$U$190,20,0),0)</f>
        <v>12600000</v>
      </c>
      <c r="X49" s="170"/>
      <c r="Y49" s="170"/>
      <c r="Z49" s="170"/>
      <c r="AA49" s="170">
        <f t="shared" si="26"/>
        <v>720190</v>
      </c>
      <c r="AB49" s="170"/>
      <c r="AC49" s="170"/>
      <c r="AD49" s="170"/>
      <c r="AE49" s="170"/>
      <c r="AF49" s="170"/>
      <c r="AG49" s="170"/>
      <c r="AH49" s="170"/>
      <c r="AI49" s="170"/>
      <c r="AJ49" s="170"/>
      <c r="AK49" s="170"/>
      <c r="AL49" s="170"/>
      <c r="AM49" s="170"/>
      <c r="AN49" s="170"/>
      <c r="AO49" s="170"/>
      <c r="AP49" s="170">
        <f t="shared" si="27"/>
        <v>36010</v>
      </c>
      <c r="AQ49" s="170"/>
      <c r="AR49" s="170">
        <f t="shared" si="28"/>
        <v>13284180</v>
      </c>
      <c r="AS49" s="170"/>
      <c r="AT49" s="170"/>
      <c r="AU49" s="170">
        <f t="shared" si="29"/>
        <v>132842</v>
      </c>
      <c r="AV49" s="170">
        <f>IFERROR(VLOOKUP(B49,'BS lương'!$B$2:$M$181,11,0),0)</f>
        <v>0</v>
      </c>
      <c r="AW49" s="170"/>
      <c r="AX49" s="170">
        <f t="shared" si="30"/>
        <v>13151338</v>
      </c>
    </row>
    <row r="50" spans="1:51" ht="12" customHeight="1" x14ac:dyDescent="0.3">
      <c r="A50" s="205">
        <f t="shared" si="21"/>
        <v>27</v>
      </c>
      <c r="B50" s="171" t="s">
        <v>375</v>
      </c>
      <c r="C50" s="171" t="s">
        <v>376</v>
      </c>
      <c r="D50" s="171" t="s">
        <v>66</v>
      </c>
      <c r="E50" s="172"/>
      <c r="F50" s="172">
        <v>1.85</v>
      </c>
      <c r="G50" s="209">
        <f>VLOOKUP(B50,'Bảng lương tính trên HTfast'!$B$13:$H$194,6,0)</f>
        <v>20</v>
      </c>
      <c r="H50" s="170">
        <f>VLOOKUP(B50,'Bảng lương tính trên HTfast'!$B$13:$H$194,7,0)</f>
        <v>7323000</v>
      </c>
      <c r="I50" s="173">
        <f>IFERROR(VLOOKUP(B50,'Luong vitri'!$C$6:$O$179,10,0),0)</f>
        <v>0</v>
      </c>
      <c r="J50" s="174">
        <f>VLOOKUP(B50,'Bảng lương tính trên HTfast'!$B$13:$I$194,8,0)</f>
        <v>1</v>
      </c>
      <c r="K50" s="173">
        <f>IFERROR(VLOOKUP(B50,'Luong vitri'!$C$6:$O$201,12,0),0)</f>
        <v>0.45</v>
      </c>
      <c r="L50" s="170">
        <f t="shared" si="22"/>
        <v>3295350</v>
      </c>
      <c r="M50" s="170">
        <f t="shared" si="23"/>
        <v>988605</v>
      </c>
      <c r="N50" s="170">
        <f t="shared" si="24"/>
        <v>8311605</v>
      </c>
      <c r="O50" s="170">
        <f>IFERROR(VLOOKUP(B50,'Bảng lương tính trên HTfast'!$B$13:$O$194,12,0),0)</f>
        <v>730000</v>
      </c>
      <c r="P50" s="170">
        <f>IFERROR(VLOOKUP(B50,'BS lương'!$B$2:$M$188,9,0),0)</f>
        <v>0</v>
      </c>
      <c r="Q50" s="170">
        <f>IFERROR(VLOOKUP(B50,'BS lương'!$B$2:$M$188,10,0),0)</f>
        <v>0</v>
      </c>
      <c r="R50" s="170">
        <f t="shared" si="25"/>
        <v>9041605</v>
      </c>
      <c r="S50" s="170">
        <f>IFERROR(VLOOKUP(B50,'Bảng lương tính trên HTfast'!$B$13:$U$194,16,0),0)</f>
        <v>768915</v>
      </c>
      <c r="T50" s="170"/>
      <c r="U50" s="170"/>
      <c r="V50" s="170"/>
      <c r="W50" s="170">
        <f>IFERROR(VLOOKUP(B50,'Bảng lương tính trên HTfast'!$B$13:$U$190,20,0),0)</f>
        <v>9000000</v>
      </c>
      <c r="X50" s="170"/>
      <c r="Y50" s="170"/>
      <c r="Z50" s="170"/>
      <c r="AA50" s="170">
        <f t="shared" si="26"/>
        <v>0</v>
      </c>
      <c r="AB50" s="170"/>
      <c r="AC50" s="170"/>
      <c r="AD50" s="170"/>
      <c r="AE50" s="170"/>
      <c r="AF50" s="170"/>
      <c r="AG50" s="170"/>
      <c r="AH50" s="170"/>
      <c r="AI50" s="170"/>
      <c r="AJ50" s="170"/>
      <c r="AK50" s="170"/>
      <c r="AL50" s="170"/>
      <c r="AM50" s="170"/>
      <c r="AN50" s="170"/>
      <c r="AO50" s="170"/>
      <c r="AP50" s="170">
        <f t="shared" si="27"/>
        <v>0</v>
      </c>
      <c r="AQ50" s="170"/>
      <c r="AR50" s="170">
        <f t="shared" si="28"/>
        <v>8272690</v>
      </c>
      <c r="AS50" s="170"/>
      <c r="AT50" s="170"/>
      <c r="AU50" s="170">
        <f t="shared" si="29"/>
        <v>82727</v>
      </c>
      <c r="AV50" s="170">
        <f>IFERROR(VLOOKUP(B50,'BS lương'!$B$2:$M$181,11,0),0)</f>
        <v>0</v>
      </c>
      <c r="AW50" s="170"/>
      <c r="AX50" s="170">
        <f t="shared" si="30"/>
        <v>8189963</v>
      </c>
    </row>
    <row r="51" spans="1:51" ht="12" customHeight="1" x14ac:dyDescent="0.3">
      <c r="A51" s="205">
        <f t="shared" si="21"/>
        <v>28</v>
      </c>
      <c r="B51" s="171" t="s">
        <v>413</v>
      </c>
      <c r="C51" s="171" t="s">
        <v>414</v>
      </c>
      <c r="D51" s="171" t="s">
        <v>66</v>
      </c>
      <c r="E51" s="172"/>
      <c r="F51" s="172">
        <v>1.85</v>
      </c>
      <c r="G51" s="209">
        <f>VLOOKUP(B51,'Bảng lương tính trên HTfast'!$B$13:$H$194,6,0)</f>
        <v>20</v>
      </c>
      <c r="H51" s="170">
        <f>VLOOKUP(B51,'Bảng lương tính trên HTfast'!$B$13:$H$194,7,0)</f>
        <v>7323000</v>
      </c>
      <c r="I51" s="173">
        <f>IFERROR(VLOOKUP(B51,'Luong vitri'!$C$6:$O$179,10,0),0)</f>
        <v>0</v>
      </c>
      <c r="J51" s="174">
        <f>VLOOKUP(B51,'Bảng lương tính trên HTfast'!$B$13:$I$194,8,0)</f>
        <v>1.1299999999999999</v>
      </c>
      <c r="K51" s="173">
        <f>IFERROR(VLOOKUP(B51,'Luong vitri'!$C$6:$O$201,12,0),0)</f>
        <v>0.45</v>
      </c>
      <c r="L51" s="170">
        <f t="shared" si="22"/>
        <v>3295350</v>
      </c>
      <c r="M51" s="170">
        <f t="shared" si="23"/>
        <v>988605</v>
      </c>
      <c r="N51" s="170">
        <f t="shared" si="24"/>
        <v>9263595</v>
      </c>
      <c r="O51" s="170">
        <f>IFERROR(VLOOKUP(B51,'Bảng lương tính trên HTfast'!$B$13:$O$194,12,0),0)</f>
        <v>0</v>
      </c>
      <c r="P51" s="170">
        <f>IFERROR(VLOOKUP(B51,'BS lương'!$B$2:$M$188,9,0),0)</f>
        <v>0</v>
      </c>
      <c r="Q51" s="170">
        <f>IFERROR(VLOOKUP(B51,'BS lương'!$B$2:$M$188,10,0),0)</f>
        <v>0</v>
      </c>
      <c r="R51" s="170">
        <f t="shared" si="25"/>
        <v>9263595</v>
      </c>
      <c r="S51" s="170">
        <f>IFERROR(VLOOKUP(B51,'Bảng lương tính trên HTfast'!$B$13:$U$194,16,0),0)</f>
        <v>768915</v>
      </c>
      <c r="T51" s="170"/>
      <c r="U51" s="170"/>
      <c r="V51" s="170"/>
      <c r="W51" s="170">
        <f>IFERROR(VLOOKUP(B51,'Bảng lương tính trên HTfast'!$B$13:$U$190,20,0),0)</f>
        <v>9000000</v>
      </c>
      <c r="X51" s="170"/>
      <c r="Y51" s="170"/>
      <c r="Z51" s="170"/>
      <c r="AA51" s="170">
        <f t="shared" si="26"/>
        <v>0</v>
      </c>
      <c r="AB51" s="170"/>
      <c r="AC51" s="170"/>
      <c r="AD51" s="170"/>
      <c r="AE51" s="170"/>
      <c r="AF51" s="170"/>
      <c r="AG51" s="170"/>
      <c r="AH51" s="170"/>
      <c r="AI51" s="170"/>
      <c r="AJ51" s="170"/>
      <c r="AK51" s="170"/>
      <c r="AL51" s="170"/>
      <c r="AM51" s="170"/>
      <c r="AN51" s="170"/>
      <c r="AO51" s="170"/>
      <c r="AP51" s="170">
        <f t="shared" si="27"/>
        <v>0</v>
      </c>
      <c r="AQ51" s="170"/>
      <c r="AR51" s="170">
        <f t="shared" si="28"/>
        <v>8494680</v>
      </c>
      <c r="AS51" s="170"/>
      <c r="AT51" s="170"/>
      <c r="AU51" s="170">
        <f t="shared" si="29"/>
        <v>84947</v>
      </c>
      <c r="AV51" s="170">
        <f>IFERROR(VLOOKUP(B51,'BS lương'!$B$2:$M$181,11,0),0)</f>
        <v>0</v>
      </c>
      <c r="AW51" s="170"/>
      <c r="AX51" s="170">
        <f t="shared" si="30"/>
        <v>8409733</v>
      </c>
    </row>
    <row r="52" spans="1:51" ht="12" customHeight="1" x14ac:dyDescent="0.3">
      <c r="A52" s="205">
        <f t="shared" si="21"/>
        <v>29</v>
      </c>
      <c r="B52" s="171" t="s">
        <v>123</v>
      </c>
      <c r="C52" s="171" t="s">
        <v>124</v>
      </c>
      <c r="D52" s="171" t="s">
        <v>66</v>
      </c>
      <c r="E52" s="172"/>
      <c r="F52" s="172">
        <v>1.85</v>
      </c>
      <c r="G52" s="209">
        <f>VLOOKUP(B52,'Bảng lương tính trên HTfast'!$B$13:$H$194,6,0)</f>
        <v>20</v>
      </c>
      <c r="H52" s="170">
        <f>VLOOKUP(B52,'Bảng lương tính trên HTfast'!$B$13:$H$194,7,0)</f>
        <v>7801000</v>
      </c>
      <c r="I52" s="173">
        <f>IFERROR(VLOOKUP(B52,'Luong vitri'!$C$6:$O$179,10,0),0)</f>
        <v>0</v>
      </c>
      <c r="J52" s="174">
        <f>VLOOKUP(B52,'Bảng lương tính trên HTfast'!$B$13:$I$194,8,0)</f>
        <v>1.1299999999999999</v>
      </c>
      <c r="K52" s="173">
        <f>IFERROR(VLOOKUP(B52,'Luong vitri'!$C$6:$O$201,12,0),0)</f>
        <v>0.35</v>
      </c>
      <c r="L52" s="170">
        <f t="shared" si="22"/>
        <v>2730350</v>
      </c>
      <c r="M52" s="170">
        <f t="shared" si="23"/>
        <v>819105</v>
      </c>
      <c r="N52" s="170">
        <f t="shared" si="24"/>
        <v>9634235</v>
      </c>
      <c r="O52" s="170">
        <f>IFERROR(VLOOKUP(B52,'Bảng lương tính trên HTfast'!$B$13:$O$194,12,0),0)</f>
        <v>0</v>
      </c>
      <c r="P52" s="170">
        <f>IFERROR(VLOOKUP(B52,'BS lương'!$B$2:$M$188,9,0),0)</f>
        <v>1428571</v>
      </c>
      <c r="Q52" s="170">
        <f>IFERROR(VLOOKUP(B52,'BS lương'!$B$2:$M$188,10,0),0)</f>
        <v>0</v>
      </c>
      <c r="R52" s="170">
        <f t="shared" si="25"/>
        <v>11062806</v>
      </c>
      <c r="S52" s="170">
        <f>IFERROR(VLOOKUP(B52,'Bảng lương tính trên HTfast'!$B$13:$U$194,16,0),0)</f>
        <v>819105</v>
      </c>
      <c r="T52" s="170"/>
      <c r="U52" s="170"/>
      <c r="V52" s="170"/>
      <c r="W52" s="170">
        <f>IFERROR(VLOOKUP(B52,'Bảng lương tính trên HTfast'!$B$13:$U$190,20,0),0)</f>
        <v>19800000</v>
      </c>
      <c r="X52" s="170"/>
      <c r="Y52" s="170"/>
      <c r="Z52" s="170"/>
      <c r="AA52" s="170">
        <f t="shared" si="26"/>
        <v>0</v>
      </c>
      <c r="AB52" s="170"/>
      <c r="AC52" s="170"/>
      <c r="AD52" s="170"/>
      <c r="AE52" s="170"/>
      <c r="AF52" s="170"/>
      <c r="AG52" s="170"/>
      <c r="AH52" s="170"/>
      <c r="AI52" s="170"/>
      <c r="AJ52" s="170"/>
      <c r="AK52" s="170"/>
      <c r="AL52" s="170"/>
      <c r="AM52" s="170"/>
      <c r="AN52" s="170"/>
      <c r="AO52" s="170"/>
      <c r="AP52" s="170">
        <f t="shared" si="27"/>
        <v>0</v>
      </c>
      <c r="AQ52" s="170"/>
      <c r="AR52" s="170">
        <f t="shared" si="28"/>
        <v>10243701</v>
      </c>
      <c r="AS52" s="170"/>
      <c r="AT52" s="170"/>
      <c r="AU52" s="170">
        <f t="shared" si="29"/>
        <v>102437</v>
      </c>
      <c r="AV52" s="170">
        <f>IFERROR(VLOOKUP(B52,'BS lương'!$B$2:$M$181,11,0),0)</f>
        <v>0</v>
      </c>
      <c r="AW52" s="170"/>
      <c r="AX52" s="170">
        <f t="shared" si="30"/>
        <v>10141264</v>
      </c>
    </row>
    <row r="53" spans="1:51" ht="12" customHeight="1" x14ac:dyDescent="0.3">
      <c r="A53" s="205">
        <f t="shared" si="21"/>
        <v>30</v>
      </c>
      <c r="B53" s="171" t="s">
        <v>338</v>
      </c>
      <c r="C53" s="171" t="s">
        <v>339</v>
      </c>
      <c r="D53" s="171" t="s">
        <v>238</v>
      </c>
      <c r="E53" s="172"/>
      <c r="F53" s="172">
        <v>2.29</v>
      </c>
      <c r="G53" s="209">
        <f>VLOOKUP(B53,'Bảng lương tính trên HTfast'!$B$13:$H$194,6,0)</f>
        <v>20</v>
      </c>
      <c r="H53" s="170">
        <f>VLOOKUP(B53,'Bảng lương tính trên HTfast'!$B$13:$H$194,7,0)</f>
        <v>7323000</v>
      </c>
      <c r="I53" s="173">
        <f>IFERROR(VLOOKUP(B53,'Luong vitri'!$C$6:$O$179,10,0),0)</f>
        <v>0</v>
      </c>
      <c r="J53" s="174">
        <f>VLOOKUP(B53,'Bảng lương tính trên HTfast'!$B$13:$I$194,8,0)</f>
        <v>1</v>
      </c>
      <c r="K53" s="173">
        <f>IFERROR(VLOOKUP(B53,'Luong vitri'!$C$6:$O$201,12,0),0)</f>
        <v>0.45</v>
      </c>
      <c r="L53" s="170">
        <f t="shared" si="22"/>
        <v>3295350</v>
      </c>
      <c r="M53" s="170">
        <f t="shared" si="23"/>
        <v>988605</v>
      </c>
      <c r="N53" s="170">
        <f t="shared" si="24"/>
        <v>8311605</v>
      </c>
      <c r="O53" s="170">
        <f>IFERROR(VLOOKUP(B53,'Bảng lương tính trên HTfast'!$B$13:$O$194,12,0),0)</f>
        <v>730000</v>
      </c>
      <c r="P53" s="170">
        <f>IFERROR(VLOOKUP(B53,'BS lương'!$B$2:$M$188,9,0),0)</f>
        <v>370380</v>
      </c>
      <c r="Q53" s="170">
        <f>IFERROR(VLOOKUP(B53,'BS lương'!$B$2:$M$188,10,0),0)</f>
        <v>0</v>
      </c>
      <c r="R53" s="170">
        <f t="shared" si="25"/>
        <v>9411985</v>
      </c>
      <c r="S53" s="170">
        <f>IFERROR(VLOOKUP(B53,'Bảng lương tính trên HTfast'!$B$13:$U$194,16,0),0)</f>
        <v>768915</v>
      </c>
      <c r="T53" s="170"/>
      <c r="U53" s="170"/>
      <c r="V53" s="170"/>
      <c r="W53" s="170">
        <f>IFERROR(VLOOKUP(B53,'Bảng lương tính trên HTfast'!$B$13:$U$190,20,0),0)</f>
        <v>16200000</v>
      </c>
      <c r="X53" s="170"/>
      <c r="Y53" s="170"/>
      <c r="Z53" s="170"/>
      <c r="AA53" s="170">
        <f t="shared" si="26"/>
        <v>0</v>
      </c>
      <c r="AB53" s="170"/>
      <c r="AC53" s="170"/>
      <c r="AD53" s="170"/>
      <c r="AE53" s="170"/>
      <c r="AF53" s="170"/>
      <c r="AG53" s="170"/>
      <c r="AH53" s="170"/>
      <c r="AI53" s="170"/>
      <c r="AJ53" s="170"/>
      <c r="AK53" s="170"/>
      <c r="AL53" s="170"/>
      <c r="AM53" s="170"/>
      <c r="AN53" s="170"/>
      <c r="AO53" s="170"/>
      <c r="AP53" s="170">
        <f t="shared" si="27"/>
        <v>0</v>
      </c>
      <c r="AQ53" s="170"/>
      <c r="AR53" s="170">
        <f t="shared" si="28"/>
        <v>8643070</v>
      </c>
      <c r="AS53" s="170"/>
      <c r="AT53" s="170"/>
      <c r="AU53" s="170">
        <f t="shared" si="29"/>
        <v>86431</v>
      </c>
      <c r="AV53" s="170">
        <f>IFERROR(VLOOKUP(B53,'BS lương'!$B$2:$M$181,11,0),0)</f>
        <v>0</v>
      </c>
      <c r="AW53" s="170"/>
      <c r="AX53" s="170">
        <f t="shared" si="30"/>
        <v>8556639</v>
      </c>
    </row>
    <row r="54" spans="1:51" ht="12" customHeight="1" x14ac:dyDescent="0.3">
      <c r="A54" s="205">
        <f t="shared" si="21"/>
        <v>31</v>
      </c>
      <c r="B54" s="171" t="s">
        <v>293</v>
      </c>
      <c r="C54" s="171" t="s">
        <v>294</v>
      </c>
      <c r="D54" s="171" t="s">
        <v>217</v>
      </c>
      <c r="E54" s="172"/>
      <c r="F54" s="172">
        <v>1.85</v>
      </c>
      <c r="G54" s="209">
        <f>VLOOKUP(B54,'Bảng lương tính trên HTfast'!$B$13:$H$194,6,0)</f>
        <v>20</v>
      </c>
      <c r="H54" s="170">
        <f>VLOOKUP(B54,'Bảng lương tính trên HTfast'!$B$13:$H$194,7,0)</f>
        <v>9831000</v>
      </c>
      <c r="I54" s="173">
        <f>IFERROR(VLOOKUP(B54,'Luong vitri'!$C$6:$O$179,10,0),0)</f>
        <v>0</v>
      </c>
      <c r="J54" s="174">
        <f>VLOOKUP(B54,'Bảng lương tính trên HTfast'!$B$13:$I$194,8,0)</f>
        <v>1</v>
      </c>
      <c r="K54" s="173">
        <f>IFERROR(VLOOKUP(B54,'Luong vitri'!$C$6:$O$201,12,0),0)</f>
        <v>0.4</v>
      </c>
      <c r="L54" s="170">
        <f t="shared" si="22"/>
        <v>3932400</v>
      </c>
      <c r="M54" s="170">
        <f t="shared" si="23"/>
        <v>1179720</v>
      </c>
      <c r="N54" s="170">
        <f t="shared" si="24"/>
        <v>11010720</v>
      </c>
      <c r="O54" s="170">
        <f>IFERROR(VLOOKUP(B54,'Bảng lương tính trên HTfast'!$B$13:$O$194,12,0),0)</f>
        <v>0</v>
      </c>
      <c r="P54" s="170">
        <f>IFERROR(VLOOKUP(B54,'BS lương'!$B$2:$M$188,9,0),0)</f>
        <v>5370370</v>
      </c>
      <c r="Q54" s="170">
        <f>IFERROR(VLOOKUP(B54,'BS lương'!$B$2:$M$188,10,0),0)</f>
        <v>0</v>
      </c>
      <c r="R54" s="170">
        <f t="shared" si="25"/>
        <v>16381090</v>
      </c>
      <c r="S54" s="170">
        <f>IFERROR(VLOOKUP(B54,'Bảng lương tính trên HTfast'!$B$13:$U$194,16,0),0)</f>
        <v>1032255</v>
      </c>
      <c r="T54" s="170"/>
      <c r="U54" s="170"/>
      <c r="V54" s="170"/>
      <c r="W54" s="170">
        <f>IFERROR(VLOOKUP(B54,'Bảng lương tính trên HTfast'!$B$13:$U$190,20,0),0)</f>
        <v>16200000</v>
      </c>
      <c r="X54" s="170"/>
      <c r="Y54" s="170"/>
      <c r="Z54" s="170"/>
      <c r="AA54" s="170">
        <f t="shared" si="26"/>
        <v>0</v>
      </c>
      <c r="AB54" s="170"/>
      <c r="AC54" s="170"/>
      <c r="AD54" s="170"/>
      <c r="AE54" s="170"/>
      <c r="AF54" s="170"/>
      <c r="AG54" s="170"/>
      <c r="AH54" s="170"/>
      <c r="AI54" s="170"/>
      <c r="AJ54" s="170"/>
      <c r="AK54" s="170"/>
      <c r="AL54" s="170"/>
      <c r="AM54" s="170"/>
      <c r="AN54" s="170"/>
      <c r="AO54" s="170"/>
      <c r="AP54" s="170">
        <f t="shared" si="27"/>
        <v>0</v>
      </c>
      <c r="AQ54" s="170"/>
      <c r="AR54" s="170">
        <f t="shared" si="28"/>
        <v>15348835</v>
      </c>
      <c r="AS54" s="170"/>
      <c r="AT54" s="170"/>
      <c r="AU54" s="170">
        <f t="shared" si="29"/>
        <v>149000</v>
      </c>
      <c r="AV54" s="170">
        <f>IFERROR(VLOOKUP(B54,'BS lương'!$B$2:$M$181,11,0),0)</f>
        <v>0</v>
      </c>
      <c r="AW54" s="170"/>
      <c r="AX54" s="170">
        <f t="shared" si="30"/>
        <v>15199835</v>
      </c>
    </row>
    <row r="55" spans="1:51" ht="12" customHeight="1" x14ac:dyDescent="0.3">
      <c r="A55" s="205">
        <f t="shared" si="21"/>
        <v>32</v>
      </c>
      <c r="B55" s="171" t="s">
        <v>282</v>
      </c>
      <c r="C55" s="171" t="s">
        <v>283</v>
      </c>
      <c r="D55" s="171" t="s">
        <v>66</v>
      </c>
      <c r="E55" s="172"/>
      <c r="F55" s="172">
        <v>55.36</v>
      </c>
      <c r="G55" s="209">
        <f>VLOOKUP(B55,'Bảng lương tính trên HTfast'!$B$13:$H$194,6,0)</f>
        <v>20</v>
      </c>
      <c r="H55" s="170">
        <f>VLOOKUP(B55,'Bảng lương tính trên HTfast'!$B$13:$H$194,7,0)</f>
        <v>7323000</v>
      </c>
      <c r="I55" s="173">
        <f>IFERROR(VLOOKUP(B55,'Luong vitri'!$C$6:$O$179,10,0),0)</f>
        <v>0</v>
      </c>
      <c r="J55" s="174">
        <f>VLOOKUP(B55,'Bảng lương tính trên HTfast'!$B$13:$I$194,8,0)</f>
        <v>1</v>
      </c>
      <c r="K55" s="173">
        <f>IFERROR(VLOOKUP(B55,'Luong vitri'!$C$6:$O$201,12,0),0)</f>
        <v>0.45</v>
      </c>
      <c r="L55" s="170">
        <f t="shared" si="22"/>
        <v>3295350</v>
      </c>
      <c r="M55" s="170">
        <f t="shared" si="23"/>
        <v>988605</v>
      </c>
      <c r="N55" s="170">
        <f t="shared" si="24"/>
        <v>8311605</v>
      </c>
      <c r="O55" s="170">
        <f>IFERROR(VLOOKUP(B55,'Bảng lương tính trên HTfast'!$B$13:$O$194,12,0),0)</f>
        <v>0</v>
      </c>
      <c r="P55" s="170">
        <f>IFERROR(VLOOKUP(B55,'BS lương'!$B$2:$M$188,9,0),0)</f>
        <v>5555556</v>
      </c>
      <c r="Q55" s="170">
        <f>IFERROR(VLOOKUP(B55,'BS lương'!$B$2:$M$188,10,0),0)</f>
        <v>0</v>
      </c>
      <c r="R55" s="170">
        <f t="shared" si="25"/>
        <v>13867161</v>
      </c>
      <c r="S55" s="170">
        <f>IFERROR(VLOOKUP(B55,'Bảng lương tính trên HTfast'!$B$13:$U$194,16,0),0)</f>
        <v>768915</v>
      </c>
      <c r="T55" s="170"/>
      <c r="U55" s="170"/>
      <c r="V55" s="170"/>
      <c r="W55" s="170">
        <f>IFERROR(VLOOKUP(B55,'Bảng lương tính trên HTfast'!$B$13:$U$190,20,0),0)</f>
        <v>9000000</v>
      </c>
      <c r="X55" s="170"/>
      <c r="Y55" s="170"/>
      <c r="Z55" s="170"/>
      <c r="AA55" s="170">
        <f t="shared" si="26"/>
        <v>4098246</v>
      </c>
      <c r="AB55" s="170"/>
      <c r="AC55" s="170"/>
      <c r="AD55" s="170"/>
      <c r="AE55" s="170"/>
      <c r="AF55" s="170"/>
      <c r="AG55" s="170"/>
      <c r="AH55" s="170"/>
      <c r="AI55" s="170"/>
      <c r="AJ55" s="170"/>
      <c r="AK55" s="170"/>
      <c r="AL55" s="170"/>
      <c r="AM55" s="170"/>
      <c r="AN55" s="170"/>
      <c r="AO55" s="170"/>
      <c r="AP55" s="170">
        <f t="shared" si="27"/>
        <v>204912</v>
      </c>
      <c r="AQ55" s="170"/>
      <c r="AR55" s="170">
        <f t="shared" si="28"/>
        <v>12893334</v>
      </c>
      <c r="AS55" s="170"/>
      <c r="AT55" s="170"/>
      <c r="AU55" s="170">
        <f t="shared" si="29"/>
        <v>128933</v>
      </c>
      <c r="AV55" s="170">
        <f>IFERROR(VLOOKUP(B55,'BS lương'!$B$2:$M$181,11,0),0)</f>
        <v>0</v>
      </c>
      <c r="AW55" s="170"/>
      <c r="AX55" s="170">
        <f t="shared" si="30"/>
        <v>12764401</v>
      </c>
    </row>
    <row r="56" spans="1:51" ht="12" customHeight="1" x14ac:dyDescent="0.3">
      <c r="A56" s="205">
        <f t="shared" ref="A56:A87" si="31">A55+1</f>
        <v>33</v>
      </c>
      <c r="B56" s="171" t="s">
        <v>75</v>
      </c>
      <c r="C56" s="171" t="s">
        <v>76</v>
      </c>
      <c r="D56" s="171" t="s">
        <v>66</v>
      </c>
      <c r="E56" s="172"/>
      <c r="F56" s="172">
        <v>1.85</v>
      </c>
      <c r="G56" s="209">
        <f>VLOOKUP(B56,'Bảng lương tính trên HTfast'!$B$13:$H$194,6,0)</f>
        <v>20</v>
      </c>
      <c r="H56" s="170">
        <f>VLOOKUP(B56,'Bảng lương tính trên HTfast'!$B$13:$H$194,7,0)</f>
        <v>7841000</v>
      </c>
      <c r="I56" s="173">
        <f>IFERROR(VLOOKUP(B56,'Luong vitri'!$C$6:$O$179,10,0),0)</f>
        <v>0</v>
      </c>
      <c r="J56" s="174">
        <f>VLOOKUP(B56,'Bảng lương tính trên HTfast'!$B$13:$I$194,8,0)</f>
        <v>1.1299999999999999</v>
      </c>
      <c r="K56" s="173">
        <f>IFERROR(VLOOKUP(B56,'Luong vitri'!$C$6:$O$187,12,0),0)</f>
        <v>0.45</v>
      </c>
      <c r="L56" s="170">
        <f t="shared" ref="L56:L87" si="32">ROUND((H56+H56*I56)*K56,0)</f>
        <v>3528450</v>
      </c>
      <c r="M56" s="170">
        <f t="shared" ref="M56:M87" si="33">ROUND(L56*0.3,0)</f>
        <v>1058535</v>
      </c>
      <c r="N56" s="170">
        <f t="shared" ref="N56:N87" si="34">ROUND((H56+H56*I56)*J56+M56,0)</f>
        <v>9918865</v>
      </c>
      <c r="O56" s="170">
        <f>IFERROR(VLOOKUP(B56,'Bảng lương tính trên HTfast'!$B$13:$O$194,12,0),0)</f>
        <v>0</v>
      </c>
      <c r="P56" s="170">
        <f>IFERROR(VLOOKUP(B56,'BS lương'!$B$2:$M$188,9,0),0)</f>
        <v>0</v>
      </c>
      <c r="Q56" s="170">
        <f>IFERROR(VLOOKUP(B56,'BS lương'!$B$2:$M$188,10,0),0)</f>
        <v>0</v>
      </c>
      <c r="R56" s="170">
        <f t="shared" ref="R56:R87" si="35">N56+O56+P56+Q56</f>
        <v>9918865</v>
      </c>
      <c r="S56" s="170">
        <f>IFERROR(VLOOKUP(B56,'Bảng lương tính trên HTfast'!$B$13:$U$194,16,0),0)</f>
        <v>823305</v>
      </c>
      <c r="T56" s="170"/>
      <c r="U56" s="170"/>
      <c r="V56" s="170"/>
      <c r="W56" s="170">
        <f>IFERROR(VLOOKUP(B56,'Bảng lương tính trên HTfast'!$B$13:$U$190,20,0),0)</f>
        <v>9000000</v>
      </c>
      <c r="X56" s="170"/>
      <c r="Y56" s="170"/>
      <c r="Z56" s="170"/>
      <c r="AA56" s="170">
        <f t="shared" ref="AA56:AA87" si="36">IF((R56-S56-W56-O56-Q56)&gt;0,(R56-S56-W56-O56-Q56),0)</f>
        <v>95560</v>
      </c>
      <c r="AB56" s="170"/>
      <c r="AC56" s="170"/>
      <c r="AD56" s="170"/>
      <c r="AE56" s="170"/>
      <c r="AF56" s="170"/>
      <c r="AG56" s="170"/>
      <c r="AH56" s="170"/>
      <c r="AI56" s="170"/>
      <c r="AJ56" s="170"/>
      <c r="AK56" s="170"/>
      <c r="AL56" s="170"/>
      <c r="AM56" s="170"/>
      <c r="AN56" s="170"/>
      <c r="AO56" s="170"/>
      <c r="AP56" s="170">
        <f t="shared" ref="AP56:AP87" si="37">ROUND(IF(AA56&lt;5000000,AA56*0.05,IF(AA56&lt;10000000,250000+(AA56-5000000)*0.1,IF(AA56&lt;18000000,750000+(AA56-10000000)*0.15,IF(AA56&lt;32000000,1950000+(AA56-18000000)*0.2,IF(AA56&lt;52000000,4750000+(AA56-32000000)*0.25,IF(AA56&lt;80000000,9750000+(AA56-52000000)*0.3,IF(AA56&gt;80000000,18150000+(AA56-80000000)*0.35,0))))))),0)</f>
        <v>4778</v>
      </c>
      <c r="AQ56" s="170"/>
      <c r="AR56" s="170">
        <f t="shared" ref="AR56:AR87" si="38">R56-S56-AP56</f>
        <v>9090782</v>
      </c>
      <c r="AS56" s="170"/>
      <c r="AT56" s="170"/>
      <c r="AU56" s="170">
        <f t="shared" ref="AU56:AU87" si="39">IF(G56&gt;0,IF(AR56*1%&gt;149000,149000,ROUND(AR56*1%,0)),0)</f>
        <v>90908</v>
      </c>
      <c r="AV56" s="170">
        <f>IFERROR(VLOOKUP(B56,'BS lương'!$B$2:$M$181,11,0),0)</f>
        <v>0</v>
      </c>
      <c r="AW56" s="170"/>
      <c r="AX56" s="170">
        <f t="shared" ref="AX56:AX87" si="40">AR56-AU56-AV56-AW56</f>
        <v>8999874</v>
      </c>
    </row>
    <row r="57" spans="1:51" ht="12" customHeight="1" x14ac:dyDescent="0.3">
      <c r="A57" s="205">
        <f t="shared" si="31"/>
        <v>34</v>
      </c>
      <c r="B57" s="171" t="s">
        <v>198</v>
      </c>
      <c r="C57" s="171" t="s">
        <v>199</v>
      </c>
      <c r="D57" s="171" t="s">
        <v>200</v>
      </c>
      <c r="E57" s="172"/>
      <c r="F57" s="172">
        <v>1</v>
      </c>
      <c r="G57" s="209">
        <f>VLOOKUP(B57,'Bảng lương tính trên HTfast'!$B$13:$H$194,6,0)</f>
        <v>20</v>
      </c>
      <c r="H57" s="170">
        <f>VLOOKUP(B57,'Bảng lương tính trên HTfast'!$B$13:$H$194,7,0)</f>
        <v>6567000</v>
      </c>
      <c r="I57" s="173">
        <f>IFERROR(VLOOKUP(B57,'Luong vitri'!$C$6:$O$179,10,0),0)</f>
        <v>0</v>
      </c>
      <c r="J57" s="174">
        <f>VLOOKUP(B57,'Bảng lương tính trên HTfast'!$B$13:$I$194,8,0)</f>
        <v>1.1299999999999999</v>
      </c>
      <c r="K57" s="173">
        <f>IFERROR(VLOOKUP(B57,'Luong vitri'!$C$6:$O$201,12,0),0)</f>
        <v>0.35</v>
      </c>
      <c r="L57" s="170">
        <f t="shared" si="32"/>
        <v>2298450</v>
      </c>
      <c r="M57" s="170">
        <f t="shared" si="33"/>
        <v>689535</v>
      </c>
      <c r="N57" s="170">
        <f t="shared" si="34"/>
        <v>8110245</v>
      </c>
      <c r="O57" s="170">
        <f>IFERROR(VLOOKUP(B57,'Bảng lương tính trên HTfast'!$B$13:$O$194,12,0),0)</f>
        <v>0</v>
      </c>
      <c r="P57" s="170">
        <f>IFERROR(VLOOKUP(B57,'BS lương'!$B$2:$M$188,9,0),0)</f>
        <v>714286</v>
      </c>
      <c r="Q57" s="170">
        <f>IFERROR(VLOOKUP(B57,'BS lương'!$B$2:$M$188,10,0),0)</f>
        <v>0</v>
      </c>
      <c r="R57" s="170">
        <f t="shared" si="35"/>
        <v>8824531</v>
      </c>
      <c r="S57" s="170">
        <f>IFERROR(VLOOKUP(B57,'Bảng lương tính trên HTfast'!$B$13:$U$194,16,0),0)</f>
        <v>689535</v>
      </c>
      <c r="T57" s="170"/>
      <c r="U57" s="170"/>
      <c r="V57" s="170"/>
      <c r="W57" s="170">
        <f>IFERROR(VLOOKUP(B57,'Bảng lương tính trên HTfast'!$B$13:$U$190,20,0),0)</f>
        <v>9000000</v>
      </c>
      <c r="X57" s="170"/>
      <c r="Y57" s="170"/>
      <c r="Z57" s="170"/>
      <c r="AA57" s="170">
        <f t="shared" si="36"/>
        <v>0</v>
      </c>
      <c r="AB57" s="170"/>
      <c r="AC57" s="170"/>
      <c r="AD57" s="170"/>
      <c r="AE57" s="170"/>
      <c r="AF57" s="170"/>
      <c r="AG57" s="170"/>
      <c r="AH57" s="170"/>
      <c r="AI57" s="170"/>
      <c r="AJ57" s="170"/>
      <c r="AK57" s="170"/>
      <c r="AL57" s="170"/>
      <c r="AM57" s="170"/>
      <c r="AN57" s="170"/>
      <c r="AO57" s="170"/>
      <c r="AP57" s="170">
        <f t="shared" si="37"/>
        <v>0</v>
      </c>
      <c r="AQ57" s="170"/>
      <c r="AR57" s="170">
        <f t="shared" si="38"/>
        <v>8134996</v>
      </c>
      <c r="AS57" s="170"/>
      <c r="AT57" s="170"/>
      <c r="AU57" s="170">
        <f t="shared" si="39"/>
        <v>81350</v>
      </c>
      <c r="AV57" s="170">
        <f>IFERROR(VLOOKUP(B57,'BS lương'!$B$2:$M$181,11,0),0)</f>
        <v>0</v>
      </c>
      <c r="AW57" s="170"/>
      <c r="AX57" s="170">
        <f t="shared" si="40"/>
        <v>8053646</v>
      </c>
    </row>
    <row r="58" spans="1:51" ht="12" customHeight="1" x14ac:dyDescent="0.3">
      <c r="A58" s="205">
        <f t="shared" si="31"/>
        <v>35</v>
      </c>
      <c r="B58" s="171" t="s">
        <v>201</v>
      </c>
      <c r="C58" s="171" t="s">
        <v>202</v>
      </c>
      <c r="D58" s="171" t="s">
        <v>200</v>
      </c>
      <c r="E58" s="172"/>
      <c r="F58" s="172">
        <v>1.1000000000000001</v>
      </c>
      <c r="G58" s="209">
        <f>VLOOKUP(B58,'Bảng lương tính trên HTfast'!$B$13:$H$194,6,0)</f>
        <v>20</v>
      </c>
      <c r="H58" s="170">
        <f>VLOOKUP(B58,'Bảng lương tính trên HTfast'!$B$13:$H$194,7,0)</f>
        <v>7267700</v>
      </c>
      <c r="I58" s="173">
        <f>IFERROR(VLOOKUP(B58,'Luong vitri'!$C$6:$O$179,10,0),0)</f>
        <v>0</v>
      </c>
      <c r="J58" s="174">
        <f>VLOOKUP(B58,'Bảng lương tính trên HTfast'!$B$13:$I$194,8,0)</f>
        <v>1.1299999999999999</v>
      </c>
      <c r="K58" s="173">
        <f>IFERROR(VLOOKUP(B58,'Luong vitri'!$C$6:$O$201,12,0),0)</f>
        <v>0.35</v>
      </c>
      <c r="L58" s="170">
        <f t="shared" si="32"/>
        <v>2543695</v>
      </c>
      <c r="M58" s="170">
        <f t="shared" si="33"/>
        <v>763109</v>
      </c>
      <c r="N58" s="170">
        <f t="shared" si="34"/>
        <v>8975610</v>
      </c>
      <c r="O58" s="170">
        <f>IFERROR(VLOOKUP(B58,'Bảng lương tính trên HTfast'!$B$13:$O$194,12,0),0)</f>
        <v>0</v>
      </c>
      <c r="P58" s="170">
        <f>IFERROR(VLOOKUP(B58,'BS lương'!$B$2:$M$188,9,0),0)</f>
        <v>714286</v>
      </c>
      <c r="Q58" s="170">
        <f>IFERROR(VLOOKUP(B58,'BS lương'!$B$2:$M$188,10,0),0)</f>
        <v>0</v>
      </c>
      <c r="R58" s="170">
        <f t="shared" si="35"/>
        <v>9689896</v>
      </c>
      <c r="S58" s="170">
        <f>IFERROR(VLOOKUP(B58,'Bảng lương tính trên HTfast'!$B$13:$U$194,16,0),0)</f>
        <v>763109</v>
      </c>
      <c r="T58" s="170"/>
      <c r="U58" s="170"/>
      <c r="V58" s="170"/>
      <c r="W58" s="170">
        <f>IFERROR(VLOOKUP(B58,'Bảng lương tính trên HTfast'!$B$13:$U$190,20,0),0)</f>
        <v>12600000</v>
      </c>
      <c r="X58" s="170"/>
      <c r="Y58" s="170"/>
      <c r="Z58" s="170"/>
      <c r="AA58" s="170">
        <f t="shared" si="36"/>
        <v>0</v>
      </c>
      <c r="AB58" s="170"/>
      <c r="AC58" s="170"/>
      <c r="AD58" s="170"/>
      <c r="AE58" s="170"/>
      <c r="AF58" s="170"/>
      <c r="AG58" s="170"/>
      <c r="AH58" s="170"/>
      <c r="AI58" s="170"/>
      <c r="AJ58" s="170"/>
      <c r="AK58" s="170"/>
      <c r="AL58" s="170"/>
      <c r="AM58" s="170"/>
      <c r="AN58" s="170"/>
      <c r="AO58" s="170"/>
      <c r="AP58" s="170">
        <f t="shared" si="37"/>
        <v>0</v>
      </c>
      <c r="AQ58" s="170"/>
      <c r="AR58" s="170">
        <f t="shared" si="38"/>
        <v>8926787</v>
      </c>
      <c r="AS58" s="170"/>
      <c r="AT58" s="170"/>
      <c r="AU58" s="170">
        <f t="shared" si="39"/>
        <v>89268</v>
      </c>
      <c r="AV58" s="170">
        <f>IFERROR(VLOOKUP(B58,'BS lương'!$B$2:$M$181,11,0),0)</f>
        <v>0</v>
      </c>
      <c r="AW58" s="170"/>
      <c r="AX58" s="170">
        <f t="shared" si="40"/>
        <v>8837519</v>
      </c>
    </row>
    <row r="59" spans="1:51" ht="12" customHeight="1" x14ac:dyDescent="0.3">
      <c r="A59" s="205">
        <f t="shared" si="31"/>
        <v>36</v>
      </c>
      <c r="B59" s="171" t="s">
        <v>168</v>
      </c>
      <c r="C59" s="171" t="s">
        <v>169</v>
      </c>
      <c r="D59" s="171" t="s">
        <v>66</v>
      </c>
      <c r="E59" s="172"/>
      <c r="F59" s="172">
        <v>4.8099999999999996</v>
      </c>
      <c r="G59" s="209">
        <f>VLOOKUP(B59,'Bảng lương tính trên HTfast'!$B$13:$H$194,6,0)</f>
        <v>20</v>
      </c>
      <c r="H59" s="170">
        <f>VLOOKUP(B59,'Bảng lương tính trên HTfast'!$B$13:$H$194,7,0)</f>
        <v>7323000</v>
      </c>
      <c r="I59" s="173">
        <f>IFERROR(VLOOKUP(B59,'Luong vitri'!$C$6:$O$179,10,0),0)</f>
        <v>0</v>
      </c>
      <c r="J59" s="174">
        <f>VLOOKUP(B59,'Bảng lương tính trên HTfast'!$B$13:$I$194,8,0)</f>
        <v>1.1299999999999999</v>
      </c>
      <c r="K59" s="173">
        <f>IFERROR(VLOOKUP(B59,'Luong vitri'!$C$6:$O$201,12,0),0)</f>
        <v>0.35</v>
      </c>
      <c r="L59" s="170">
        <f t="shared" si="32"/>
        <v>2563050</v>
      </c>
      <c r="M59" s="170">
        <f t="shared" si="33"/>
        <v>768915</v>
      </c>
      <c r="N59" s="170">
        <f t="shared" si="34"/>
        <v>9043905</v>
      </c>
      <c r="O59" s="170">
        <f>IFERROR(VLOOKUP(B59,'Bảng lương tính trên HTfast'!$B$13:$O$194,12,0),0)</f>
        <v>0</v>
      </c>
      <c r="P59" s="170">
        <f>IFERROR(VLOOKUP(B59,'BS lương'!$B$2:$M$188,9,0),0)</f>
        <v>0</v>
      </c>
      <c r="Q59" s="170">
        <f>IFERROR(VLOOKUP(B59,'BS lương'!$B$2:$M$188,10,0),0)</f>
        <v>0</v>
      </c>
      <c r="R59" s="170">
        <f t="shared" si="35"/>
        <v>9043905</v>
      </c>
      <c r="S59" s="170">
        <f>IFERROR(VLOOKUP(B59,'Bảng lương tính trên HTfast'!$B$13:$U$194,16,0),0)</f>
        <v>768915</v>
      </c>
      <c r="T59" s="170"/>
      <c r="U59" s="170"/>
      <c r="V59" s="170"/>
      <c r="W59" s="170">
        <f>IFERROR(VLOOKUP(B59,'Bảng lương tính trên HTfast'!$B$13:$U$190,20,0),0)</f>
        <v>9000000</v>
      </c>
      <c r="X59" s="170"/>
      <c r="Y59" s="170"/>
      <c r="Z59" s="170"/>
      <c r="AA59" s="170">
        <f t="shared" si="36"/>
        <v>0</v>
      </c>
      <c r="AB59" s="170"/>
      <c r="AC59" s="170"/>
      <c r="AD59" s="170"/>
      <c r="AE59" s="170"/>
      <c r="AF59" s="170"/>
      <c r="AG59" s="170"/>
      <c r="AH59" s="170"/>
      <c r="AI59" s="170"/>
      <c r="AJ59" s="170"/>
      <c r="AK59" s="170"/>
      <c r="AL59" s="170"/>
      <c r="AM59" s="170"/>
      <c r="AN59" s="170"/>
      <c r="AO59" s="170"/>
      <c r="AP59" s="170">
        <f t="shared" si="37"/>
        <v>0</v>
      </c>
      <c r="AQ59" s="170"/>
      <c r="AR59" s="170">
        <f t="shared" si="38"/>
        <v>8274990</v>
      </c>
      <c r="AS59" s="170"/>
      <c r="AT59" s="170"/>
      <c r="AU59" s="170">
        <f t="shared" si="39"/>
        <v>82750</v>
      </c>
      <c r="AV59" s="170">
        <f>IFERROR(VLOOKUP(B59,'BS lương'!$B$2:$M$181,11,0),0)</f>
        <v>0</v>
      </c>
      <c r="AW59" s="170"/>
      <c r="AX59" s="170">
        <f t="shared" si="40"/>
        <v>8192240</v>
      </c>
    </row>
    <row r="60" spans="1:51" ht="12" customHeight="1" x14ac:dyDescent="0.3">
      <c r="A60" s="205">
        <f t="shared" si="31"/>
        <v>37</v>
      </c>
      <c r="B60" s="171" t="s">
        <v>232</v>
      </c>
      <c r="C60" s="171" t="s">
        <v>233</v>
      </c>
      <c r="D60" s="171" t="s">
        <v>66</v>
      </c>
      <c r="E60" s="172"/>
      <c r="F60" s="172">
        <v>1.85</v>
      </c>
      <c r="G60" s="209">
        <f>VLOOKUP(B60,'Bảng lương tính trên HTfast'!$B$13:$H$194,6,0)</f>
        <v>20</v>
      </c>
      <c r="H60" s="170">
        <f>VLOOKUP(B60,'Bảng lương tính trên HTfast'!$B$13:$H$194,7,0)</f>
        <v>7323000</v>
      </c>
      <c r="I60" s="173">
        <f>IFERROR(VLOOKUP(B60,'Luong vitri'!$C$6:$O$179,10,0),0)</f>
        <v>0</v>
      </c>
      <c r="J60" s="174">
        <f>VLOOKUP(B60,'Bảng lương tính trên HTfast'!$B$13:$I$194,8,0)</f>
        <v>1</v>
      </c>
      <c r="K60" s="173">
        <f>IFERROR(VLOOKUP(B60,'Luong vitri'!$C$6:$O$201,12,0),0)</f>
        <v>0.45</v>
      </c>
      <c r="L60" s="170">
        <f t="shared" si="32"/>
        <v>3295350</v>
      </c>
      <c r="M60" s="170">
        <f t="shared" si="33"/>
        <v>988605</v>
      </c>
      <c r="N60" s="170">
        <f t="shared" si="34"/>
        <v>8311605</v>
      </c>
      <c r="O60" s="170">
        <f>IFERROR(VLOOKUP(B60,'Bảng lương tính trên HTfast'!$B$13:$O$194,12,0),0)</f>
        <v>0</v>
      </c>
      <c r="P60" s="170">
        <f>IFERROR(VLOOKUP(B60,'BS lương'!$B$2:$M$188,9,0),0)</f>
        <v>588235</v>
      </c>
      <c r="Q60" s="170">
        <f>IFERROR(VLOOKUP(B60,'BS lương'!$B$2:$M$188,10,0),0)</f>
        <v>0</v>
      </c>
      <c r="R60" s="170">
        <f t="shared" si="35"/>
        <v>8899840</v>
      </c>
      <c r="S60" s="170">
        <f>IFERROR(VLOOKUP(B60,'Bảng lương tính trên HTfast'!$B$13:$U$194,16,0),0)</f>
        <v>768915</v>
      </c>
      <c r="T60" s="170"/>
      <c r="U60" s="170"/>
      <c r="V60" s="170"/>
      <c r="W60" s="170">
        <f>IFERROR(VLOOKUP(B60,'Bảng lương tính trên HTfast'!$B$13:$U$190,20,0),0)</f>
        <v>12600000</v>
      </c>
      <c r="X60" s="170"/>
      <c r="Y60" s="170"/>
      <c r="Z60" s="170"/>
      <c r="AA60" s="170">
        <f t="shared" si="36"/>
        <v>0</v>
      </c>
      <c r="AB60" s="170"/>
      <c r="AC60" s="170"/>
      <c r="AD60" s="170"/>
      <c r="AE60" s="170"/>
      <c r="AF60" s="170"/>
      <c r="AG60" s="170"/>
      <c r="AH60" s="170"/>
      <c r="AI60" s="170"/>
      <c r="AJ60" s="170"/>
      <c r="AK60" s="170"/>
      <c r="AL60" s="170"/>
      <c r="AM60" s="170"/>
      <c r="AN60" s="170"/>
      <c r="AO60" s="170"/>
      <c r="AP60" s="170">
        <f t="shared" si="37"/>
        <v>0</v>
      </c>
      <c r="AQ60" s="170"/>
      <c r="AR60" s="170">
        <f t="shared" si="38"/>
        <v>8130925</v>
      </c>
      <c r="AS60" s="170"/>
      <c r="AT60" s="170"/>
      <c r="AU60" s="170">
        <f t="shared" si="39"/>
        <v>81309</v>
      </c>
      <c r="AV60" s="170">
        <f>IFERROR(VLOOKUP(B60,'BS lương'!$B$2:$M$181,11,0),0)</f>
        <v>0</v>
      </c>
      <c r="AW60" s="170"/>
      <c r="AX60" s="170">
        <f t="shared" si="40"/>
        <v>8049616</v>
      </c>
    </row>
    <row r="61" spans="1:51" ht="12" customHeight="1" x14ac:dyDescent="0.3">
      <c r="A61" s="205">
        <f t="shared" si="31"/>
        <v>38</v>
      </c>
      <c r="B61" s="171" t="s">
        <v>90</v>
      </c>
      <c r="C61" s="171" t="s">
        <v>91</v>
      </c>
      <c r="D61" s="171" t="s">
        <v>66</v>
      </c>
      <c r="E61" s="172"/>
      <c r="F61" s="172">
        <v>1.85</v>
      </c>
      <c r="G61" s="209">
        <f>VLOOKUP(B61,'Bảng lương tính trên HTfast'!$B$13:$H$194,6,0)</f>
        <v>20</v>
      </c>
      <c r="H61" s="170">
        <f>VLOOKUP(B61,'Bảng lương tính trên HTfast'!$B$13:$H$194,7,0)</f>
        <v>7841000</v>
      </c>
      <c r="I61" s="173">
        <f>IFERROR(VLOOKUP(B61,'Luong vitri'!$C$6:$O$179,10,0),0)</f>
        <v>0</v>
      </c>
      <c r="J61" s="174">
        <f>VLOOKUP(B61,'Bảng lương tính trên HTfast'!$B$13:$I$194,8,0)</f>
        <v>1.1299999999999999</v>
      </c>
      <c r="K61" s="173">
        <f>IFERROR(VLOOKUP(B61,'Luong vitri'!$C$6:$O$201,12,0),0)</f>
        <v>0.35</v>
      </c>
      <c r="L61" s="170">
        <f t="shared" si="32"/>
        <v>2744350</v>
      </c>
      <c r="M61" s="170">
        <f t="shared" si="33"/>
        <v>823305</v>
      </c>
      <c r="N61" s="170">
        <f t="shared" si="34"/>
        <v>9683635</v>
      </c>
      <c r="O61" s="170">
        <f>IFERROR(VLOOKUP(B61,'Bảng lương tính trên HTfast'!$B$13:$O$194,12,0),0)</f>
        <v>0</v>
      </c>
      <c r="P61" s="170">
        <f>IFERROR(VLOOKUP(B61,'BS lương'!$B$2:$M$188,9,0),0)</f>
        <v>7712818</v>
      </c>
      <c r="Q61" s="170">
        <f>IFERROR(VLOOKUP(B61,'BS lương'!$B$2:$M$188,10,0),0)</f>
        <v>490063</v>
      </c>
      <c r="R61" s="170">
        <f t="shared" si="35"/>
        <v>17886516</v>
      </c>
      <c r="S61" s="170">
        <f>IFERROR(VLOOKUP(B61,'Bảng lương tính trên HTfast'!$B$13:$U$194,16,0),0)</f>
        <v>823305</v>
      </c>
      <c r="T61" s="170"/>
      <c r="U61" s="170"/>
      <c r="V61" s="170"/>
      <c r="W61" s="170">
        <f>IFERROR(VLOOKUP(B61,'Bảng lương tính trên HTfast'!$B$13:$U$190,20,0),0)</f>
        <v>12600000</v>
      </c>
      <c r="X61" s="170"/>
      <c r="Y61" s="170"/>
      <c r="Z61" s="170"/>
      <c r="AA61" s="170">
        <f t="shared" si="36"/>
        <v>3973148</v>
      </c>
      <c r="AB61" s="170"/>
      <c r="AC61" s="170"/>
      <c r="AD61" s="170"/>
      <c r="AE61" s="170"/>
      <c r="AF61" s="170"/>
      <c r="AG61" s="170"/>
      <c r="AH61" s="170"/>
      <c r="AI61" s="170"/>
      <c r="AJ61" s="170"/>
      <c r="AK61" s="170"/>
      <c r="AL61" s="170"/>
      <c r="AM61" s="170"/>
      <c r="AN61" s="170"/>
      <c r="AO61" s="170"/>
      <c r="AP61" s="170">
        <f t="shared" si="37"/>
        <v>198657</v>
      </c>
      <c r="AQ61" s="170"/>
      <c r="AR61" s="170">
        <f t="shared" si="38"/>
        <v>16864554</v>
      </c>
      <c r="AS61" s="170"/>
      <c r="AT61" s="170"/>
      <c r="AU61" s="170">
        <f t="shared" si="39"/>
        <v>149000</v>
      </c>
      <c r="AV61" s="170">
        <f>IFERROR(VLOOKUP(B61,'BS lương'!$B$2:$M$181,11,0),0)</f>
        <v>0</v>
      </c>
      <c r="AW61" s="170"/>
      <c r="AX61" s="170">
        <f t="shared" si="40"/>
        <v>16715554</v>
      </c>
    </row>
    <row r="62" spans="1:51" ht="12" customHeight="1" x14ac:dyDescent="0.3">
      <c r="A62" s="205">
        <f t="shared" si="31"/>
        <v>39</v>
      </c>
      <c r="B62" s="171" t="s">
        <v>407</v>
      </c>
      <c r="C62" s="171" t="s">
        <v>408</v>
      </c>
      <c r="D62" s="171" t="s">
        <v>66</v>
      </c>
      <c r="E62" s="172"/>
      <c r="F62" s="172">
        <v>1.54</v>
      </c>
      <c r="G62" s="209">
        <f>VLOOKUP(B62,'Bảng lương tính trên HTfast'!$B$13:$H$194,6,0)</f>
        <v>20</v>
      </c>
      <c r="H62" s="170">
        <f>VLOOKUP(B62,'Bảng lương tính trên HTfast'!$B$13:$H$194,7,0)</f>
        <v>7323000</v>
      </c>
      <c r="I62" s="173">
        <f>IFERROR(VLOOKUP(B62,'Luong vitri'!$C$6:$O$179,10,0),0)</f>
        <v>0</v>
      </c>
      <c r="J62" s="174">
        <f>VLOOKUP(B62,'Bảng lương tính trên HTfast'!$B$13:$I$194,8,0)</f>
        <v>1.1299999999999999</v>
      </c>
      <c r="K62" s="173">
        <f>IFERROR(VLOOKUP(B62,'Luong vitri'!$C$6:$O$201,12,0),0)</f>
        <v>0.45</v>
      </c>
      <c r="L62" s="170">
        <f t="shared" si="32"/>
        <v>3295350</v>
      </c>
      <c r="M62" s="170">
        <f t="shared" si="33"/>
        <v>988605</v>
      </c>
      <c r="N62" s="170">
        <f t="shared" si="34"/>
        <v>9263595</v>
      </c>
      <c r="O62" s="170">
        <f>IFERROR(VLOOKUP(B62,'Bảng lương tính trên HTfast'!$B$13:$O$194,12,0),0)</f>
        <v>0</v>
      </c>
      <c r="P62" s="170">
        <f>IFERROR(VLOOKUP(B62,'BS lương'!$B$2:$M$188,9,0),0)</f>
        <v>1956983</v>
      </c>
      <c r="Q62" s="170">
        <f>IFERROR(VLOOKUP(B62,'BS lương'!$B$2:$M$188,10,0),0)</f>
        <v>665728</v>
      </c>
      <c r="R62" s="170">
        <f t="shared" si="35"/>
        <v>11886306</v>
      </c>
      <c r="S62" s="170">
        <f>IFERROR(VLOOKUP(B62,'Bảng lương tính trên HTfast'!$B$13:$U$194,16,0),0)</f>
        <v>768915</v>
      </c>
      <c r="T62" s="170"/>
      <c r="U62" s="170"/>
      <c r="V62" s="170"/>
      <c r="W62" s="170">
        <f>IFERROR(VLOOKUP(B62,'Bảng lương tính trên HTfast'!$B$13:$U$193,20,0),0)</f>
        <v>9000000</v>
      </c>
      <c r="X62" s="170"/>
      <c r="Y62" s="170"/>
      <c r="Z62" s="170"/>
      <c r="AA62" s="170">
        <f t="shared" si="36"/>
        <v>1451663</v>
      </c>
      <c r="AB62" s="170"/>
      <c r="AC62" s="170"/>
      <c r="AD62" s="170"/>
      <c r="AE62" s="170"/>
      <c r="AF62" s="170"/>
      <c r="AG62" s="170"/>
      <c r="AH62" s="170"/>
      <c r="AI62" s="170"/>
      <c r="AJ62" s="170"/>
      <c r="AK62" s="170"/>
      <c r="AL62" s="170"/>
      <c r="AM62" s="170"/>
      <c r="AN62" s="170"/>
      <c r="AO62" s="170"/>
      <c r="AP62" s="170">
        <f t="shared" si="37"/>
        <v>72583</v>
      </c>
      <c r="AQ62" s="170"/>
      <c r="AR62" s="170">
        <f t="shared" si="38"/>
        <v>11044808</v>
      </c>
      <c r="AS62" s="170"/>
      <c r="AT62" s="170"/>
      <c r="AU62" s="170">
        <f t="shared" si="39"/>
        <v>110448</v>
      </c>
      <c r="AV62" s="170">
        <f>IFERROR(VLOOKUP(B62,'BS lương'!$B$2:$M$181,11,0),0)</f>
        <v>0</v>
      </c>
      <c r="AW62" s="170"/>
      <c r="AX62" s="170">
        <f t="shared" si="40"/>
        <v>10934360</v>
      </c>
    </row>
    <row r="63" spans="1:51" ht="12" customHeight="1" x14ac:dyDescent="0.3">
      <c r="A63" s="205">
        <f t="shared" si="31"/>
        <v>40</v>
      </c>
      <c r="B63" s="171" t="s">
        <v>347</v>
      </c>
      <c r="C63" s="171" t="s">
        <v>348</v>
      </c>
      <c r="D63" s="171" t="s">
        <v>217</v>
      </c>
      <c r="E63" s="172"/>
      <c r="F63" s="172">
        <v>1.85</v>
      </c>
      <c r="G63" s="209">
        <f>VLOOKUP(B63,'Bảng lương tính trên HTfast'!$B$13:$H$194,6,0)</f>
        <v>20</v>
      </c>
      <c r="H63" s="170">
        <f>VLOOKUP(B63,'Bảng lương tính trên HTfast'!$B$13:$H$194,7,0)</f>
        <v>9831000</v>
      </c>
      <c r="I63" s="173">
        <f>IFERROR(VLOOKUP(B63,'Luong vitri'!$C$6:$O$179,10,0),0)</f>
        <v>0</v>
      </c>
      <c r="J63" s="174">
        <f>VLOOKUP(B63,'Bảng lương tính trên HTfast'!$B$13:$I$194,8,0)</f>
        <v>1</v>
      </c>
      <c r="K63" s="173">
        <f>IFERROR(VLOOKUP(B63,'Luong vitri'!$C$6:$O$201,12,0),0)</f>
        <v>0.4</v>
      </c>
      <c r="L63" s="170">
        <f t="shared" si="32"/>
        <v>3932400</v>
      </c>
      <c r="M63" s="170">
        <f t="shared" si="33"/>
        <v>1179720</v>
      </c>
      <c r="N63" s="170">
        <f t="shared" si="34"/>
        <v>11010720</v>
      </c>
      <c r="O63" s="170">
        <f>IFERROR(VLOOKUP(B63,'Bảng lương tính trên HTfast'!$B$13:$O$194,12,0),0)</f>
        <v>730000</v>
      </c>
      <c r="P63" s="170">
        <f>IFERROR(VLOOKUP(B63,'BS lương'!$B$2:$M$188,9,0),0)</f>
        <v>0</v>
      </c>
      <c r="Q63" s="170">
        <f>IFERROR(VLOOKUP(B63,'BS lương'!$B$2:$M$188,10,0),0)</f>
        <v>0</v>
      </c>
      <c r="R63" s="170">
        <f t="shared" si="35"/>
        <v>11740720</v>
      </c>
      <c r="S63" s="170">
        <f>IFERROR(VLOOKUP(B63,'Bảng lương tính trên HTfast'!$B$13:$U$194,16,0),0)</f>
        <v>1032255</v>
      </c>
      <c r="T63" s="170"/>
      <c r="U63" s="170"/>
      <c r="V63" s="170"/>
      <c r="W63" s="170">
        <f>IFERROR(VLOOKUP(B63,'Bảng lương tính trên HTfast'!$B$13:$U$190,20,0),0)</f>
        <v>19800000</v>
      </c>
      <c r="X63" s="170"/>
      <c r="Y63" s="170"/>
      <c r="Z63" s="170"/>
      <c r="AA63" s="170">
        <f t="shared" si="36"/>
        <v>0</v>
      </c>
      <c r="AB63" s="170"/>
      <c r="AC63" s="170"/>
      <c r="AD63" s="170"/>
      <c r="AE63" s="170"/>
      <c r="AF63" s="170"/>
      <c r="AG63" s="170"/>
      <c r="AH63" s="170"/>
      <c r="AI63" s="170"/>
      <c r="AJ63" s="170"/>
      <c r="AK63" s="170"/>
      <c r="AL63" s="170"/>
      <c r="AM63" s="170"/>
      <c r="AN63" s="170"/>
      <c r="AO63" s="170"/>
      <c r="AP63" s="170">
        <f t="shared" si="37"/>
        <v>0</v>
      </c>
      <c r="AQ63" s="170"/>
      <c r="AR63" s="170">
        <f t="shared" si="38"/>
        <v>10708465</v>
      </c>
      <c r="AS63" s="170"/>
      <c r="AT63" s="170"/>
      <c r="AU63" s="170">
        <f t="shared" si="39"/>
        <v>107085</v>
      </c>
      <c r="AV63" s="170">
        <f>IFERROR(VLOOKUP(B63,'BS lương'!$B$2:$M$181,11,0),0)</f>
        <v>0</v>
      </c>
      <c r="AW63" s="170"/>
      <c r="AX63" s="170">
        <f t="shared" si="40"/>
        <v>10601380</v>
      </c>
    </row>
    <row r="64" spans="1:51" ht="12" customHeight="1" x14ac:dyDescent="0.3">
      <c r="A64" s="205">
        <f t="shared" si="31"/>
        <v>41</v>
      </c>
      <c r="B64" s="164" t="s">
        <v>826</v>
      </c>
      <c r="C64" s="164" t="s">
        <v>827</v>
      </c>
      <c r="D64" s="164" t="s">
        <v>66</v>
      </c>
      <c r="E64" s="230"/>
      <c r="F64" s="230">
        <v>1.85</v>
      </c>
      <c r="G64" s="209">
        <f>VLOOKUP(B64,'Bảng lương tính trên HTfast'!$B$13:$H$194,6,0)</f>
        <v>10</v>
      </c>
      <c r="H64" s="170">
        <f>VLOOKUP(B64,'Bảng lương tính trên HTfast'!$B$13:$H$194,7,0)</f>
        <v>3250000</v>
      </c>
      <c r="I64" s="173">
        <f>IFERROR(VLOOKUP(B64,'Luong vitri'!$C$6:$O$179,10,0),0)</f>
        <v>0</v>
      </c>
      <c r="J64" s="174">
        <f>VLOOKUP(B64,'Bảng lương tính trên HTfast'!$B$13:$I$194,8,0)</f>
        <v>1</v>
      </c>
      <c r="K64" s="231">
        <f>IFERROR(VLOOKUP(B64,'Luong vitri'!$C$6:$O$201,12,0),0)</f>
        <v>0</v>
      </c>
      <c r="L64" s="178">
        <f t="shared" si="32"/>
        <v>0</v>
      </c>
      <c r="M64" s="178">
        <f t="shared" si="33"/>
        <v>0</v>
      </c>
      <c r="N64" s="178">
        <f t="shared" si="34"/>
        <v>3250000</v>
      </c>
      <c r="O64" s="170">
        <f>IFERROR(VLOOKUP(B64,'Bảng lương tính trên HTfast'!$B$13:$O$194,12,0),0)</f>
        <v>0</v>
      </c>
      <c r="P64" s="170">
        <f>IFERROR(VLOOKUP(B64,'BS lương'!$B$2:$M$188,9,0),0)</f>
        <v>0</v>
      </c>
      <c r="Q64" s="170">
        <f>IFERROR(VLOOKUP(B64,'BS lương'!$B$2:$M$188,10,0),0)</f>
        <v>0</v>
      </c>
      <c r="R64" s="178">
        <f t="shared" si="35"/>
        <v>3250000</v>
      </c>
      <c r="S64" s="170">
        <f>IFERROR(VLOOKUP(B64,'Bảng lương tính trên HTfast'!$B$13:$U$194,16,0),0)</f>
        <v>0</v>
      </c>
      <c r="T64" s="178"/>
      <c r="U64" s="178"/>
      <c r="V64" s="178"/>
      <c r="W64" s="178">
        <f>IFERROR(VLOOKUP(B64,'Bảng lương tính trên HTfast'!$B$13:$U$190,20,0),0)</f>
        <v>9000000</v>
      </c>
      <c r="X64" s="178"/>
      <c r="Y64" s="178"/>
      <c r="Z64" s="178"/>
      <c r="AA64" s="178">
        <f t="shared" si="36"/>
        <v>0</v>
      </c>
      <c r="AB64" s="178"/>
      <c r="AC64" s="178"/>
      <c r="AD64" s="178"/>
      <c r="AE64" s="178"/>
      <c r="AF64" s="178"/>
      <c r="AG64" s="178"/>
      <c r="AH64" s="178"/>
      <c r="AI64" s="178"/>
      <c r="AJ64" s="178"/>
      <c r="AK64" s="178"/>
      <c r="AL64" s="178"/>
      <c r="AM64" s="178"/>
      <c r="AN64" s="178"/>
      <c r="AO64" s="178"/>
      <c r="AP64" s="178">
        <f t="shared" si="37"/>
        <v>0</v>
      </c>
      <c r="AQ64" s="178"/>
      <c r="AR64" s="178">
        <f t="shared" si="38"/>
        <v>3250000</v>
      </c>
      <c r="AS64" s="178"/>
      <c r="AT64" s="178"/>
      <c r="AU64" s="178">
        <f t="shared" si="39"/>
        <v>32500</v>
      </c>
      <c r="AV64" s="178">
        <f>IFERROR(VLOOKUP(B64,'BS lương'!$B$2:$M$181,11,0),0)</f>
        <v>0</v>
      </c>
      <c r="AW64" s="178"/>
      <c r="AX64" s="178">
        <f t="shared" si="40"/>
        <v>3217500</v>
      </c>
      <c r="AY64" s="232"/>
    </row>
    <row r="65" spans="1:51" ht="12" customHeight="1" x14ac:dyDescent="0.3">
      <c r="A65" s="205">
        <f t="shared" si="31"/>
        <v>42</v>
      </c>
      <c r="B65" s="171" t="s">
        <v>256</v>
      </c>
      <c r="C65" s="171" t="s">
        <v>257</v>
      </c>
      <c r="D65" s="171" t="s">
        <v>66</v>
      </c>
      <c r="E65" s="172"/>
      <c r="F65" s="172">
        <v>2.29</v>
      </c>
      <c r="G65" s="209">
        <f>VLOOKUP(B65,'Bảng lương tính trên HTfast'!$B$13:$H$194,6,0)</f>
        <v>20</v>
      </c>
      <c r="H65" s="170">
        <f>VLOOKUP(B65,'Bảng lương tính trên HTfast'!$B$13:$H$194,7,0)</f>
        <v>7801000</v>
      </c>
      <c r="I65" s="173">
        <f>IFERROR(VLOOKUP(B65,'Luong vitri'!$C$6:$O$179,10,0),0)</f>
        <v>0</v>
      </c>
      <c r="J65" s="174">
        <f>VLOOKUP(B65,'Bảng lương tính trên HTfast'!$B$13:$I$194,8,0)</f>
        <v>1</v>
      </c>
      <c r="K65" s="173">
        <f>IFERROR(VLOOKUP(B65,'Luong vitri'!$C$6:$O$201,12,0),0)</f>
        <v>0.35</v>
      </c>
      <c r="L65" s="170">
        <f t="shared" si="32"/>
        <v>2730350</v>
      </c>
      <c r="M65" s="170">
        <f t="shared" si="33"/>
        <v>819105</v>
      </c>
      <c r="N65" s="170">
        <f t="shared" si="34"/>
        <v>8620105</v>
      </c>
      <c r="O65" s="170">
        <f>IFERROR(VLOOKUP(B65,'Bảng lương tính trên HTfast'!$B$13:$O$194,12,0),0)</f>
        <v>0</v>
      </c>
      <c r="P65" s="170">
        <f>IFERROR(VLOOKUP(B65,'BS lương'!$B$2:$M$188,9,0),0)</f>
        <v>555556</v>
      </c>
      <c r="Q65" s="170">
        <f>IFERROR(VLOOKUP(B65,'BS lương'!$B$2:$M$188,10,0),0)</f>
        <v>0</v>
      </c>
      <c r="R65" s="170">
        <f t="shared" si="35"/>
        <v>9175661</v>
      </c>
      <c r="S65" s="170">
        <f>IFERROR(VLOOKUP(B65,'Bảng lương tính trên HTfast'!$B$13:$U$194,16,0),0)</f>
        <v>819105</v>
      </c>
      <c r="T65" s="170"/>
      <c r="U65" s="170"/>
      <c r="V65" s="170"/>
      <c r="W65" s="170">
        <f>IFERROR(VLOOKUP(B65,'Bảng lương tính trên HTfast'!$B$13:$U$190,20,0),0)</f>
        <v>12600000</v>
      </c>
      <c r="X65" s="170"/>
      <c r="Y65" s="170"/>
      <c r="Z65" s="170"/>
      <c r="AA65" s="170">
        <f t="shared" si="36"/>
        <v>0</v>
      </c>
      <c r="AB65" s="170"/>
      <c r="AC65" s="170"/>
      <c r="AD65" s="170"/>
      <c r="AE65" s="170"/>
      <c r="AF65" s="170"/>
      <c r="AG65" s="170"/>
      <c r="AH65" s="170"/>
      <c r="AI65" s="170"/>
      <c r="AJ65" s="170"/>
      <c r="AK65" s="170"/>
      <c r="AL65" s="170"/>
      <c r="AM65" s="170"/>
      <c r="AN65" s="170"/>
      <c r="AO65" s="170"/>
      <c r="AP65" s="170">
        <f t="shared" si="37"/>
        <v>0</v>
      </c>
      <c r="AQ65" s="170"/>
      <c r="AR65" s="170">
        <f t="shared" si="38"/>
        <v>8356556</v>
      </c>
      <c r="AS65" s="170"/>
      <c r="AT65" s="170"/>
      <c r="AU65" s="170">
        <f t="shared" si="39"/>
        <v>83566</v>
      </c>
      <c r="AV65" s="170">
        <f>IFERROR(VLOOKUP(B65,'BS lương'!$B$2:$M$181,11,0),0)</f>
        <v>0</v>
      </c>
      <c r="AW65" s="170"/>
      <c r="AX65" s="170">
        <f t="shared" si="40"/>
        <v>8272990</v>
      </c>
    </row>
    <row r="66" spans="1:51" ht="12" customHeight="1" x14ac:dyDescent="0.3">
      <c r="A66" s="205">
        <f t="shared" si="31"/>
        <v>43</v>
      </c>
      <c r="B66" s="171" t="s">
        <v>155</v>
      </c>
      <c r="C66" s="171" t="s">
        <v>156</v>
      </c>
      <c r="D66" s="171" t="s">
        <v>66</v>
      </c>
      <c r="E66" s="172"/>
      <c r="F66" s="172">
        <v>14.62</v>
      </c>
      <c r="G66" s="209">
        <f>VLOOKUP(B66,'Bảng lương tính trên HTfast'!$B$13:$H$194,6,0)</f>
        <v>20</v>
      </c>
      <c r="H66" s="170">
        <f>VLOOKUP(B66,'Bảng lương tính trên HTfast'!$B$13:$H$194,7,0)</f>
        <v>7841000</v>
      </c>
      <c r="I66" s="173">
        <f>IFERROR(VLOOKUP(B66,'Luong vitri'!$C$6:$O$179,10,0),0)</f>
        <v>0</v>
      </c>
      <c r="J66" s="174">
        <f>VLOOKUP(B66,'Bảng lương tính trên HTfast'!$B$13:$I$194,8,0)</f>
        <v>1.1299999999999999</v>
      </c>
      <c r="K66" s="173">
        <f>IFERROR(VLOOKUP(B66,'Luong vitri'!$C$6:$O$201,12,0),0)</f>
        <v>0.35</v>
      </c>
      <c r="L66" s="170">
        <f t="shared" si="32"/>
        <v>2744350</v>
      </c>
      <c r="M66" s="170">
        <f t="shared" si="33"/>
        <v>823305</v>
      </c>
      <c r="N66" s="170">
        <f t="shared" si="34"/>
        <v>9683635</v>
      </c>
      <c r="O66" s="170">
        <f>IFERROR(VLOOKUP(B66,'Bảng lương tính trên HTfast'!$B$13:$O$194,12,0),0)</f>
        <v>0</v>
      </c>
      <c r="P66" s="170">
        <f>IFERROR(VLOOKUP(B66,'BS lương'!$B$2:$M$188,9,0),0)</f>
        <v>3400960</v>
      </c>
      <c r="Q66" s="170">
        <f>IFERROR(VLOOKUP(B66,'BS lương'!$B$2:$M$188,10,0),0)</f>
        <v>400960</v>
      </c>
      <c r="R66" s="170">
        <f t="shared" si="35"/>
        <v>13485555</v>
      </c>
      <c r="S66" s="170">
        <f>IFERROR(VLOOKUP(B66,'Bảng lương tính trên HTfast'!$B$13:$U$194,16,0),0)</f>
        <v>823305</v>
      </c>
      <c r="T66" s="170"/>
      <c r="U66" s="170"/>
      <c r="V66" s="170"/>
      <c r="W66" s="170">
        <f>IFERROR(VLOOKUP(B66,'Bảng lương tính trên HTfast'!$B$13:$U$190,20,0),0)</f>
        <v>16200000</v>
      </c>
      <c r="X66" s="170"/>
      <c r="Y66" s="170"/>
      <c r="Z66" s="170"/>
      <c r="AA66" s="170">
        <f t="shared" si="36"/>
        <v>0</v>
      </c>
      <c r="AB66" s="170"/>
      <c r="AC66" s="170"/>
      <c r="AD66" s="170"/>
      <c r="AE66" s="170"/>
      <c r="AF66" s="170"/>
      <c r="AG66" s="170"/>
      <c r="AH66" s="170"/>
      <c r="AI66" s="170"/>
      <c r="AJ66" s="170"/>
      <c r="AK66" s="170"/>
      <c r="AL66" s="170"/>
      <c r="AM66" s="170"/>
      <c r="AN66" s="170"/>
      <c r="AO66" s="170"/>
      <c r="AP66" s="170">
        <f t="shared" si="37"/>
        <v>0</v>
      </c>
      <c r="AQ66" s="170"/>
      <c r="AR66" s="170">
        <f t="shared" si="38"/>
        <v>12662250</v>
      </c>
      <c r="AS66" s="170"/>
      <c r="AT66" s="170"/>
      <c r="AU66" s="170">
        <f t="shared" si="39"/>
        <v>126623</v>
      </c>
      <c r="AV66" s="170">
        <f>IFERROR(VLOOKUP(B66,'BS lương'!$B$2:$M$181,11,0),0)</f>
        <v>0</v>
      </c>
      <c r="AW66" s="170"/>
      <c r="AX66" s="170">
        <f t="shared" si="40"/>
        <v>12535627</v>
      </c>
    </row>
    <row r="67" spans="1:51" ht="12" customHeight="1" x14ac:dyDescent="0.3">
      <c r="A67" s="205">
        <f t="shared" si="31"/>
        <v>44</v>
      </c>
      <c r="B67" s="171" t="s">
        <v>343</v>
      </c>
      <c r="C67" s="171" t="s">
        <v>344</v>
      </c>
      <c r="D67" s="171" t="s">
        <v>217</v>
      </c>
      <c r="E67" s="172"/>
      <c r="F67" s="172">
        <v>1.85</v>
      </c>
      <c r="G67" s="209">
        <f>VLOOKUP(B67,'Bảng lương tính trên HTfast'!$B$13:$H$194,6,0)</f>
        <v>20</v>
      </c>
      <c r="H67" s="170">
        <f>VLOOKUP(B67,'Bảng lương tính trên HTfast'!$B$13:$H$194,7,0)</f>
        <v>9831000</v>
      </c>
      <c r="I67" s="173">
        <f>IFERROR(VLOOKUP(B67,'Luong vitri'!$C$6:$O$179,10,0),0)</f>
        <v>0</v>
      </c>
      <c r="J67" s="174">
        <f>VLOOKUP(B67,'Bảng lương tính trên HTfast'!$B$13:$I$194,8,0)</f>
        <v>1</v>
      </c>
      <c r="K67" s="173">
        <f>IFERROR(VLOOKUP(B67,'Luong vitri'!$C$6:$O$201,12,0),0)</f>
        <v>0.4</v>
      </c>
      <c r="L67" s="170">
        <f t="shared" si="32"/>
        <v>3932400</v>
      </c>
      <c r="M67" s="170">
        <f t="shared" si="33"/>
        <v>1179720</v>
      </c>
      <c r="N67" s="170">
        <f t="shared" si="34"/>
        <v>11010720</v>
      </c>
      <c r="O67" s="170">
        <f>IFERROR(VLOOKUP(B67,'Bảng lương tính trên HTfast'!$B$13:$O$194,12,0),0)</f>
        <v>730000</v>
      </c>
      <c r="P67" s="170">
        <f>IFERROR(VLOOKUP(B67,'BS lương'!$B$2:$M$188,9,0),0)</f>
        <v>0</v>
      </c>
      <c r="Q67" s="170">
        <f>IFERROR(VLOOKUP(B67,'BS lương'!$B$2:$M$188,10,0),0)</f>
        <v>0</v>
      </c>
      <c r="R67" s="170">
        <f t="shared" si="35"/>
        <v>11740720</v>
      </c>
      <c r="S67" s="170">
        <f>IFERROR(VLOOKUP(B67,'Bảng lương tính trên HTfast'!$B$13:$U$194,16,0),0)</f>
        <v>1032255</v>
      </c>
      <c r="T67" s="170"/>
      <c r="U67" s="170"/>
      <c r="V67" s="170"/>
      <c r="W67" s="170">
        <f>IFERROR(VLOOKUP(B67,'Bảng lương tính trên HTfast'!$B$13:$U$190,20,0),0)</f>
        <v>12600000</v>
      </c>
      <c r="X67" s="170"/>
      <c r="Y67" s="170"/>
      <c r="Z67" s="170"/>
      <c r="AA67" s="170">
        <f t="shared" si="36"/>
        <v>0</v>
      </c>
      <c r="AB67" s="170"/>
      <c r="AC67" s="170"/>
      <c r="AD67" s="170"/>
      <c r="AE67" s="170"/>
      <c r="AF67" s="170"/>
      <c r="AG67" s="170"/>
      <c r="AH67" s="170"/>
      <c r="AI67" s="170"/>
      <c r="AJ67" s="170"/>
      <c r="AK67" s="170"/>
      <c r="AL67" s="170"/>
      <c r="AM67" s="170"/>
      <c r="AN67" s="170"/>
      <c r="AO67" s="170"/>
      <c r="AP67" s="170">
        <f t="shared" si="37"/>
        <v>0</v>
      </c>
      <c r="AQ67" s="170"/>
      <c r="AR67" s="170">
        <f t="shared" si="38"/>
        <v>10708465</v>
      </c>
      <c r="AS67" s="170"/>
      <c r="AT67" s="170"/>
      <c r="AU67" s="170">
        <f t="shared" si="39"/>
        <v>107085</v>
      </c>
      <c r="AV67" s="170">
        <f>IFERROR(VLOOKUP(B67,'BS lương'!$B$2:$M$181,11,0),0)</f>
        <v>0</v>
      </c>
      <c r="AW67" s="170"/>
      <c r="AX67" s="170">
        <f t="shared" si="40"/>
        <v>10601380</v>
      </c>
    </row>
    <row r="68" spans="1:51" ht="12" customHeight="1" x14ac:dyDescent="0.3">
      <c r="A68" s="205">
        <f t="shared" si="31"/>
        <v>45</v>
      </c>
      <c r="B68" s="171" t="s">
        <v>179</v>
      </c>
      <c r="C68" s="171" t="s">
        <v>180</v>
      </c>
      <c r="D68" s="171" t="s">
        <v>181</v>
      </c>
      <c r="E68" s="172"/>
      <c r="F68" s="172">
        <v>1.85</v>
      </c>
      <c r="G68" s="209">
        <f>VLOOKUP(B68,'Bảng lương tính trên HTfast'!$B$13:$H$194,6,0)</f>
        <v>20</v>
      </c>
      <c r="H68" s="170">
        <f>VLOOKUP(B68,'Bảng lương tính trên HTfast'!$B$13:$H$194,7,0)</f>
        <v>13054000</v>
      </c>
      <c r="I68" s="173">
        <f>IFERROR(VLOOKUP(B68,'Luong vitri'!$C$6:$O$179,10,0),0)</f>
        <v>0</v>
      </c>
      <c r="J68" s="174">
        <f>VLOOKUP(B68,'Bảng lương tính trên HTfast'!$B$13:$I$194,8,0)</f>
        <v>1.1299999999999999</v>
      </c>
      <c r="K68" s="173">
        <f>IFERROR(VLOOKUP(B68,'Luong vitri'!$C$6:$O$201,12,0),0)</f>
        <v>0.4</v>
      </c>
      <c r="L68" s="170">
        <f t="shared" si="32"/>
        <v>5221600</v>
      </c>
      <c r="M68" s="170">
        <f t="shared" si="33"/>
        <v>1566480</v>
      </c>
      <c r="N68" s="170">
        <f t="shared" si="34"/>
        <v>16317500</v>
      </c>
      <c r="O68" s="170">
        <f>IFERROR(VLOOKUP(B68,'Bảng lương tính trên HTfast'!$B$13:$O$194,12,0),0)</f>
        <v>0</v>
      </c>
      <c r="P68" s="170">
        <f>IFERROR(VLOOKUP(B68,'BS lương'!$B$2:$M$188,9,0),0)</f>
        <v>3346036</v>
      </c>
      <c r="Q68" s="170">
        <f>IFERROR(VLOOKUP(B68,'BS lương'!$B$2:$M$188,10,0),0)</f>
        <v>1038387</v>
      </c>
      <c r="R68" s="170">
        <f t="shared" si="35"/>
        <v>20701923</v>
      </c>
      <c r="S68" s="170">
        <f>IFERROR(VLOOKUP(B68,'Bảng lương tính trên HTfast'!$B$13:$U$194,16,0),0)</f>
        <v>1370670</v>
      </c>
      <c r="T68" s="170"/>
      <c r="U68" s="170"/>
      <c r="V68" s="170"/>
      <c r="W68" s="170">
        <f>IFERROR(VLOOKUP(B68,'Bảng lương tính trên HTfast'!$B$13:$U$190,20,0),0)</f>
        <v>12600000</v>
      </c>
      <c r="X68" s="170"/>
      <c r="Y68" s="170"/>
      <c r="Z68" s="170"/>
      <c r="AA68" s="170">
        <f t="shared" si="36"/>
        <v>5692866</v>
      </c>
      <c r="AB68" s="170"/>
      <c r="AC68" s="170"/>
      <c r="AD68" s="170"/>
      <c r="AE68" s="170"/>
      <c r="AF68" s="170"/>
      <c r="AG68" s="170"/>
      <c r="AH68" s="170"/>
      <c r="AI68" s="170"/>
      <c r="AJ68" s="170"/>
      <c r="AK68" s="170"/>
      <c r="AL68" s="170"/>
      <c r="AM68" s="170"/>
      <c r="AN68" s="170"/>
      <c r="AO68" s="170"/>
      <c r="AP68" s="170">
        <f t="shared" si="37"/>
        <v>319287</v>
      </c>
      <c r="AQ68" s="170"/>
      <c r="AR68" s="170">
        <f t="shared" si="38"/>
        <v>19011966</v>
      </c>
      <c r="AS68" s="170"/>
      <c r="AT68" s="170"/>
      <c r="AU68" s="170">
        <f t="shared" si="39"/>
        <v>149000</v>
      </c>
      <c r="AV68" s="170">
        <f>IFERROR(VLOOKUP(B68,'BS lương'!$B$2:$M$181,11,0),0)</f>
        <v>0</v>
      </c>
      <c r="AW68" s="170"/>
      <c r="AX68" s="170">
        <f t="shared" si="40"/>
        <v>18862966</v>
      </c>
    </row>
    <row r="69" spans="1:51" ht="12" customHeight="1" x14ac:dyDescent="0.3">
      <c r="A69" s="205">
        <f t="shared" si="31"/>
        <v>46</v>
      </c>
      <c r="B69" s="171" t="s">
        <v>157</v>
      </c>
      <c r="C69" s="171" t="s">
        <v>158</v>
      </c>
      <c r="D69" s="171" t="s">
        <v>66</v>
      </c>
      <c r="E69" s="172"/>
      <c r="F69" s="172">
        <v>4.8099999999999996</v>
      </c>
      <c r="G69" s="209">
        <f>VLOOKUP(B69,'Bảng lương tính trên HTfast'!$B$13:$H$194,6,0)</f>
        <v>20</v>
      </c>
      <c r="H69" s="170">
        <f>VLOOKUP(B69,'Bảng lương tính trên HTfast'!$B$13:$H$194,7,0)</f>
        <v>7323000</v>
      </c>
      <c r="I69" s="173">
        <f>IFERROR(VLOOKUP(B69,'Luong vitri'!$C$6:$O$179,10,0),0)</f>
        <v>0</v>
      </c>
      <c r="J69" s="174">
        <f>VLOOKUP(B69,'Bảng lương tính trên HTfast'!$B$13:$I$194,8,0)</f>
        <v>1.1299999999999999</v>
      </c>
      <c r="K69" s="173">
        <f>IFERROR(VLOOKUP(B69,'Luong vitri'!$C$6:$O$201,12,0),0)</f>
        <v>0.35</v>
      </c>
      <c r="L69" s="170">
        <f t="shared" si="32"/>
        <v>2563050</v>
      </c>
      <c r="M69" s="170">
        <f t="shared" si="33"/>
        <v>768915</v>
      </c>
      <c r="N69" s="170">
        <f t="shared" si="34"/>
        <v>9043905</v>
      </c>
      <c r="O69" s="170">
        <f>IFERROR(VLOOKUP(B69,'Bảng lương tính trên HTfast'!$B$13:$O$194,12,0),0)</f>
        <v>0</v>
      </c>
      <c r="P69" s="170">
        <f>IFERROR(VLOOKUP(B69,'BS lương'!$B$2:$M$188,9,0),0)</f>
        <v>10289847</v>
      </c>
      <c r="Q69" s="170">
        <f>IFERROR(VLOOKUP(B69,'BS lương'!$B$2:$M$188,10,0),0)</f>
        <v>956983</v>
      </c>
      <c r="R69" s="170">
        <f t="shared" si="35"/>
        <v>20290735</v>
      </c>
      <c r="S69" s="170">
        <f>IFERROR(VLOOKUP(B69,'Bảng lương tính trên HTfast'!$B$13:$U$194,16,0),0)</f>
        <v>768915</v>
      </c>
      <c r="T69" s="170"/>
      <c r="U69" s="170"/>
      <c r="V69" s="170"/>
      <c r="W69" s="170">
        <f>IFERROR(VLOOKUP(B69,'Bảng lương tính trên HTfast'!$B$13:$U$190,20,0),0)</f>
        <v>12600000</v>
      </c>
      <c r="X69" s="170"/>
      <c r="Y69" s="170"/>
      <c r="Z69" s="170"/>
      <c r="AA69" s="170">
        <f t="shared" si="36"/>
        <v>5964837</v>
      </c>
      <c r="AB69" s="170"/>
      <c r="AC69" s="170"/>
      <c r="AD69" s="170"/>
      <c r="AE69" s="170"/>
      <c r="AF69" s="170"/>
      <c r="AG69" s="170"/>
      <c r="AH69" s="170"/>
      <c r="AI69" s="170"/>
      <c r="AJ69" s="170"/>
      <c r="AK69" s="170"/>
      <c r="AL69" s="170"/>
      <c r="AM69" s="170"/>
      <c r="AN69" s="170"/>
      <c r="AO69" s="170"/>
      <c r="AP69" s="170">
        <f t="shared" si="37"/>
        <v>346484</v>
      </c>
      <c r="AQ69" s="170"/>
      <c r="AR69" s="170">
        <f t="shared" si="38"/>
        <v>19175336</v>
      </c>
      <c r="AS69" s="170"/>
      <c r="AT69" s="170"/>
      <c r="AU69" s="170">
        <f t="shared" si="39"/>
        <v>149000</v>
      </c>
      <c r="AV69" s="170">
        <f>IFERROR(VLOOKUP(B69,'BS lương'!$B$2:$M$181,11,0),0)</f>
        <v>0</v>
      </c>
      <c r="AW69" s="170"/>
      <c r="AX69" s="170">
        <f t="shared" si="40"/>
        <v>19026336</v>
      </c>
    </row>
    <row r="70" spans="1:51" ht="12" customHeight="1" x14ac:dyDescent="0.3">
      <c r="A70" s="205">
        <f t="shared" si="31"/>
        <v>47</v>
      </c>
      <c r="B70" s="171" t="s">
        <v>228</v>
      </c>
      <c r="C70" s="171" t="s">
        <v>229</v>
      </c>
      <c r="D70" s="171" t="s">
        <v>66</v>
      </c>
      <c r="E70" s="172"/>
      <c r="F70" s="172">
        <v>1.85</v>
      </c>
      <c r="G70" s="209">
        <f>VLOOKUP(B70,'Bảng lương tính trên HTfast'!$B$13:$H$194,6,0)</f>
        <v>20</v>
      </c>
      <c r="H70" s="170">
        <f>VLOOKUP(B70,'Bảng lương tính trên HTfast'!$B$13:$H$194,7,0)</f>
        <v>7323000</v>
      </c>
      <c r="I70" s="173">
        <f>IFERROR(VLOOKUP(B70,'Luong vitri'!$C$6:$O$179,10,0),0)</f>
        <v>0.1</v>
      </c>
      <c r="J70" s="174">
        <f>VLOOKUP(B70,'Bảng lương tính trên HTfast'!$B$13:$I$194,8,0)</f>
        <v>1</v>
      </c>
      <c r="K70" s="173">
        <f>IFERROR(VLOOKUP(B70,'Luong vitri'!$C$6:$O$201,12,0),0)</f>
        <v>0.45</v>
      </c>
      <c r="L70" s="170">
        <f t="shared" si="32"/>
        <v>3624885</v>
      </c>
      <c r="M70" s="170">
        <f t="shared" si="33"/>
        <v>1087466</v>
      </c>
      <c r="N70" s="170">
        <f t="shared" si="34"/>
        <v>9142766</v>
      </c>
      <c r="O70" s="170">
        <f>IFERROR(VLOOKUP(B70,'Bảng lương tính trên HTfast'!$B$13:$O$194,12,0),0)</f>
        <v>0</v>
      </c>
      <c r="P70" s="170">
        <f>IFERROR(VLOOKUP(B70,'BS lương'!$B$2:$M$188,9,0),0)</f>
        <v>588235</v>
      </c>
      <c r="Q70" s="170">
        <f>IFERROR(VLOOKUP(B70,'BS lương'!$B$2:$M$188,10,0),0)</f>
        <v>0</v>
      </c>
      <c r="R70" s="170">
        <f t="shared" si="35"/>
        <v>9731001</v>
      </c>
      <c r="S70" s="170">
        <f>IFERROR(VLOOKUP(B70,'Bảng lương tính trên HTfast'!$B$13:$U$194,16,0),0)</f>
        <v>768915</v>
      </c>
      <c r="T70" s="170"/>
      <c r="U70" s="170"/>
      <c r="V70" s="170"/>
      <c r="W70" s="170">
        <f>IFERROR(VLOOKUP(B70,'Bảng lương tính trên HTfast'!$B$13:$U$190,20,0),0)</f>
        <v>9000000</v>
      </c>
      <c r="X70" s="170"/>
      <c r="Y70" s="170"/>
      <c r="Z70" s="170"/>
      <c r="AA70" s="170">
        <f t="shared" si="36"/>
        <v>0</v>
      </c>
      <c r="AB70" s="170"/>
      <c r="AC70" s="170"/>
      <c r="AD70" s="170"/>
      <c r="AE70" s="170"/>
      <c r="AF70" s="170"/>
      <c r="AG70" s="170"/>
      <c r="AH70" s="170"/>
      <c r="AI70" s="170"/>
      <c r="AJ70" s="170"/>
      <c r="AK70" s="170"/>
      <c r="AL70" s="170"/>
      <c r="AM70" s="170"/>
      <c r="AN70" s="170"/>
      <c r="AO70" s="170"/>
      <c r="AP70" s="170">
        <f t="shared" si="37"/>
        <v>0</v>
      </c>
      <c r="AQ70" s="170"/>
      <c r="AR70" s="170">
        <f t="shared" si="38"/>
        <v>8962086</v>
      </c>
      <c r="AS70" s="170"/>
      <c r="AT70" s="170"/>
      <c r="AU70" s="170">
        <f t="shared" si="39"/>
        <v>89621</v>
      </c>
      <c r="AV70" s="170">
        <f>IFERROR(VLOOKUP(B70,'BS lương'!$B$2:$M$181,11,0),0)</f>
        <v>0</v>
      </c>
      <c r="AW70" s="170"/>
      <c r="AX70" s="170">
        <f t="shared" si="40"/>
        <v>8872465</v>
      </c>
    </row>
    <row r="71" spans="1:51" ht="12" customHeight="1" x14ac:dyDescent="0.3">
      <c r="A71" s="205">
        <f t="shared" si="31"/>
        <v>48</v>
      </c>
      <c r="B71" s="171" t="s">
        <v>230</v>
      </c>
      <c r="C71" s="171" t="s">
        <v>231</v>
      </c>
      <c r="D71" s="171" t="s">
        <v>66</v>
      </c>
      <c r="E71" s="172"/>
      <c r="F71" s="172">
        <v>1.85</v>
      </c>
      <c r="G71" s="209">
        <f>VLOOKUP(B71,'Bảng lương tính trên HTfast'!$B$13:$H$194,6,0)</f>
        <v>20</v>
      </c>
      <c r="H71" s="170">
        <f>VLOOKUP(B71,'Bảng lương tính trên HTfast'!$B$13:$H$194,7,0)</f>
        <v>7323000</v>
      </c>
      <c r="I71" s="173">
        <f>IFERROR(VLOOKUP(B71,'Luong vitri'!$C$6:$O$179,10,0),0)</f>
        <v>0</v>
      </c>
      <c r="J71" s="174">
        <f>VLOOKUP(B71,'Bảng lương tính trên HTfast'!$B$13:$I$194,8,0)</f>
        <v>1</v>
      </c>
      <c r="K71" s="173">
        <f>IFERROR(VLOOKUP(B71,'Luong vitri'!$C$6:$O$201,12,0),0)</f>
        <v>0.35</v>
      </c>
      <c r="L71" s="170">
        <f t="shared" si="32"/>
        <v>2563050</v>
      </c>
      <c r="M71" s="170">
        <f t="shared" si="33"/>
        <v>768915</v>
      </c>
      <c r="N71" s="170">
        <f t="shared" si="34"/>
        <v>8091915</v>
      </c>
      <c r="O71" s="170">
        <f>IFERROR(VLOOKUP(B71,'Bảng lương tính trên HTfast'!$B$13:$O$194,12,0),0)</f>
        <v>0</v>
      </c>
      <c r="P71" s="170">
        <f>IFERROR(VLOOKUP(B71,'BS lương'!$B$2:$M$188,9,0),0)</f>
        <v>588235</v>
      </c>
      <c r="Q71" s="170">
        <f>IFERROR(VLOOKUP(B71,'BS lương'!$B$2:$M$188,10,0),0)</f>
        <v>0</v>
      </c>
      <c r="R71" s="170">
        <f t="shared" si="35"/>
        <v>8680150</v>
      </c>
      <c r="S71" s="170">
        <f>IFERROR(VLOOKUP(B71,'Bảng lương tính trên HTfast'!$B$13:$U$194,16,0),0)</f>
        <v>768915</v>
      </c>
      <c r="T71" s="170"/>
      <c r="U71" s="170"/>
      <c r="V71" s="170"/>
      <c r="W71" s="170">
        <f>IFERROR(VLOOKUP(B71,'Bảng lương tính trên HTfast'!$B$13:$U$190,20,0),0)</f>
        <v>9000000</v>
      </c>
      <c r="X71" s="170"/>
      <c r="Y71" s="170"/>
      <c r="Z71" s="170"/>
      <c r="AA71" s="170">
        <f t="shared" si="36"/>
        <v>0</v>
      </c>
      <c r="AB71" s="170"/>
      <c r="AC71" s="170"/>
      <c r="AD71" s="170"/>
      <c r="AE71" s="170"/>
      <c r="AF71" s="170"/>
      <c r="AG71" s="170"/>
      <c r="AH71" s="170"/>
      <c r="AI71" s="170"/>
      <c r="AJ71" s="170"/>
      <c r="AK71" s="170"/>
      <c r="AL71" s="170"/>
      <c r="AM71" s="170"/>
      <c r="AN71" s="170"/>
      <c r="AO71" s="170"/>
      <c r="AP71" s="170">
        <f t="shared" si="37"/>
        <v>0</v>
      </c>
      <c r="AQ71" s="170"/>
      <c r="AR71" s="170">
        <f t="shared" si="38"/>
        <v>7911235</v>
      </c>
      <c r="AS71" s="170"/>
      <c r="AT71" s="170"/>
      <c r="AU71" s="170">
        <f t="shared" si="39"/>
        <v>79112</v>
      </c>
      <c r="AV71" s="170">
        <f>IFERROR(VLOOKUP(B71,'BS lương'!$B$2:$M$181,11,0),0)</f>
        <v>0</v>
      </c>
      <c r="AW71" s="170"/>
      <c r="AX71" s="170">
        <f t="shared" si="40"/>
        <v>7832123</v>
      </c>
    </row>
    <row r="72" spans="1:51" ht="12" customHeight="1" x14ac:dyDescent="0.3">
      <c r="A72" s="205">
        <f t="shared" si="31"/>
        <v>49</v>
      </c>
      <c r="B72" s="171" t="s">
        <v>373</v>
      </c>
      <c r="C72" s="171" t="s">
        <v>374</v>
      </c>
      <c r="D72" s="171" t="s">
        <v>66</v>
      </c>
      <c r="E72" s="172"/>
      <c r="F72" s="172">
        <v>1.85</v>
      </c>
      <c r="G72" s="209">
        <f>VLOOKUP(B72,'Bảng lương tính trên HTfast'!$B$13:$H$194,6,0)</f>
        <v>20</v>
      </c>
      <c r="H72" s="170">
        <f>VLOOKUP(B72,'Bảng lương tính trên HTfast'!$B$13:$H$194,7,0)</f>
        <v>7323000</v>
      </c>
      <c r="I72" s="173">
        <f>IFERROR(VLOOKUP(B72,'Luong vitri'!$C$6:$O$179,10,0),0)</f>
        <v>0</v>
      </c>
      <c r="J72" s="174">
        <f>VLOOKUP(B72,'Bảng lương tính trên HTfast'!$B$13:$I$194,8,0)</f>
        <v>1</v>
      </c>
      <c r="K72" s="173">
        <f>IFERROR(VLOOKUP(B72,'Luong vitri'!$C$6:$O$201,12,0),0)</f>
        <v>0.45</v>
      </c>
      <c r="L72" s="170">
        <f t="shared" si="32"/>
        <v>3295350</v>
      </c>
      <c r="M72" s="170">
        <f t="shared" si="33"/>
        <v>988605</v>
      </c>
      <c r="N72" s="170">
        <f t="shared" si="34"/>
        <v>8311605</v>
      </c>
      <c r="O72" s="170">
        <f>IFERROR(VLOOKUP(B72,'Bảng lương tính trên HTfast'!$B$13:$O$194,12,0),0)</f>
        <v>730000</v>
      </c>
      <c r="P72" s="170">
        <f>IFERROR(VLOOKUP(B72,'BS lương'!$B$2:$M$188,9,0),0)</f>
        <v>0</v>
      </c>
      <c r="Q72" s="170">
        <f>IFERROR(VLOOKUP(B72,'BS lương'!$B$2:$M$188,10,0),0)</f>
        <v>0</v>
      </c>
      <c r="R72" s="170">
        <f t="shared" si="35"/>
        <v>9041605</v>
      </c>
      <c r="S72" s="170">
        <f>IFERROR(VLOOKUP(B72,'Bảng lương tính trên HTfast'!$B$13:$U$194,16,0),0)</f>
        <v>768915</v>
      </c>
      <c r="T72" s="170"/>
      <c r="U72" s="170"/>
      <c r="V72" s="170"/>
      <c r="W72" s="170">
        <f>IFERROR(VLOOKUP(B72,'Bảng lương tính trên HTfast'!$B$13:$U$190,20,0),0)</f>
        <v>9000000</v>
      </c>
      <c r="X72" s="170"/>
      <c r="Y72" s="170"/>
      <c r="Z72" s="170"/>
      <c r="AA72" s="170">
        <f t="shared" si="36"/>
        <v>0</v>
      </c>
      <c r="AB72" s="170"/>
      <c r="AC72" s="170"/>
      <c r="AD72" s="170"/>
      <c r="AE72" s="170"/>
      <c r="AF72" s="170"/>
      <c r="AG72" s="170"/>
      <c r="AH72" s="170"/>
      <c r="AI72" s="170"/>
      <c r="AJ72" s="170"/>
      <c r="AK72" s="170"/>
      <c r="AL72" s="170"/>
      <c r="AM72" s="170"/>
      <c r="AN72" s="170"/>
      <c r="AO72" s="170"/>
      <c r="AP72" s="170">
        <f t="shared" si="37"/>
        <v>0</v>
      </c>
      <c r="AQ72" s="170"/>
      <c r="AR72" s="170">
        <f t="shared" si="38"/>
        <v>8272690</v>
      </c>
      <c r="AS72" s="170"/>
      <c r="AT72" s="170"/>
      <c r="AU72" s="170">
        <f t="shared" si="39"/>
        <v>82727</v>
      </c>
      <c r="AV72" s="170">
        <f>IFERROR(VLOOKUP(B72,'BS lương'!$B$2:$M$181,11,0),0)</f>
        <v>0</v>
      </c>
      <c r="AW72" s="170"/>
      <c r="AX72" s="170">
        <f t="shared" si="40"/>
        <v>8189963</v>
      </c>
    </row>
    <row r="73" spans="1:51" ht="12" customHeight="1" x14ac:dyDescent="0.3">
      <c r="A73" s="205">
        <f t="shared" si="31"/>
        <v>50</v>
      </c>
      <c r="B73" s="171" t="s">
        <v>125</v>
      </c>
      <c r="C73" s="171" t="s">
        <v>126</v>
      </c>
      <c r="D73" s="171" t="s">
        <v>66</v>
      </c>
      <c r="E73" s="172"/>
      <c r="F73" s="172">
        <v>0</v>
      </c>
      <c r="G73" s="209">
        <f>VLOOKUP(B73,'Bảng lương tính trên HTfast'!$B$13:$H$194,6,0)</f>
        <v>10</v>
      </c>
      <c r="H73" s="170">
        <f>VLOOKUP(B73,'Bảng lương tính trên HTfast'!$B$13:$H$194,7,0)</f>
        <v>3920500</v>
      </c>
      <c r="I73" s="173">
        <f>IFERROR(VLOOKUP(B73,'Luong vitri'!$C$6:$O$179,10,0),0)</f>
        <v>0</v>
      </c>
      <c r="J73" s="174">
        <f>VLOOKUP(B73,'Bảng lương tính trên HTfast'!$B$13:$I$194,8,0)</f>
        <v>1.1299999999999999</v>
      </c>
      <c r="K73" s="173">
        <f>IFERROR(VLOOKUP(B73,'Luong vitri'!$C$6:$O$201,12,0),0)</f>
        <v>0.35</v>
      </c>
      <c r="L73" s="170">
        <f t="shared" si="32"/>
        <v>1372175</v>
      </c>
      <c r="M73" s="170">
        <f t="shared" si="33"/>
        <v>411653</v>
      </c>
      <c r="N73" s="170">
        <f t="shared" si="34"/>
        <v>4841818</v>
      </c>
      <c r="O73" s="170">
        <f>IFERROR(VLOOKUP(B73,'Bảng lương tính trên HTfast'!$B$13:$O$194,12,0),0)</f>
        <v>0</v>
      </c>
      <c r="P73" s="170">
        <f>IFERROR(VLOOKUP(B73,'BS lương'!$B$2:$M$188,9,0),0)</f>
        <v>1428574</v>
      </c>
      <c r="Q73" s="170">
        <f>IFERROR(VLOOKUP(B73,'BS lương'!$B$2:$M$188,10,0),0)</f>
        <v>0</v>
      </c>
      <c r="R73" s="170">
        <f t="shared" si="35"/>
        <v>6270392</v>
      </c>
      <c r="S73" s="170">
        <f>IFERROR(VLOOKUP(B73,'Bảng lương tính trên HTfast'!$B$13:$U$194,16,0),0)</f>
        <v>823305</v>
      </c>
      <c r="T73" s="170"/>
      <c r="U73" s="170"/>
      <c r="V73" s="170"/>
      <c r="W73" s="170">
        <f>IFERROR(VLOOKUP(B73,'Bảng lương tính trên HTfast'!$B$13:$U$190,20,0),0)</f>
        <v>9000000</v>
      </c>
      <c r="X73" s="170"/>
      <c r="Y73" s="170"/>
      <c r="Z73" s="170"/>
      <c r="AA73" s="170">
        <f t="shared" si="36"/>
        <v>0</v>
      </c>
      <c r="AB73" s="170"/>
      <c r="AC73" s="170"/>
      <c r="AD73" s="170"/>
      <c r="AE73" s="170"/>
      <c r="AF73" s="170"/>
      <c r="AG73" s="170"/>
      <c r="AH73" s="170"/>
      <c r="AI73" s="170"/>
      <c r="AJ73" s="170"/>
      <c r="AK73" s="170"/>
      <c r="AL73" s="170"/>
      <c r="AM73" s="170"/>
      <c r="AN73" s="170"/>
      <c r="AO73" s="170"/>
      <c r="AP73" s="170">
        <f t="shared" si="37"/>
        <v>0</v>
      </c>
      <c r="AQ73" s="170"/>
      <c r="AR73" s="170">
        <f t="shared" si="38"/>
        <v>5447087</v>
      </c>
      <c r="AS73" s="170"/>
      <c r="AT73" s="170"/>
      <c r="AU73" s="170">
        <f t="shared" si="39"/>
        <v>54471</v>
      </c>
      <c r="AV73" s="170">
        <f>IFERROR(VLOOKUP(B73,'BS lương'!$B$2:$M$181,11,0),0)</f>
        <v>0</v>
      </c>
      <c r="AW73" s="170"/>
      <c r="AX73" s="170">
        <f t="shared" si="40"/>
        <v>5392616</v>
      </c>
    </row>
    <row r="74" spans="1:51" s="212" customFormat="1" ht="12" customHeight="1" x14ac:dyDescent="0.3">
      <c r="A74" s="205">
        <f t="shared" si="31"/>
        <v>51</v>
      </c>
      <c r="B74" s="171" t="s">
        <v>332</v>
      </c>
      <c r="C74" s="171" t="s">
        <v>333</v>
      </c>
      <c r="D74" s="171" t="s">
        <v>66</v>
      </c>
      <c r="E74" s="172"/>
      <c r="F74" s="172">
        <v>1.85</v>
      </c>
      <c r="G74" s="209">
        <f>VLOOKUP(B74,'Bảng lương tính trên HTfast'!$B$13:$H$194,6,0)</f>
        <v>20</v>
      </c>
      <c r="H74" s="170">
        <f>VLOOKUP(B74,'Bảng lương tính trên HTfast'!$B$13:$H$194,7,0)</f>
        <v>7323000</v>
      </c>
      <c r="I74" s="173">
        <f>IFERROR(VLOOKUP(B74,'Luong vitri'!$C$6:$O$179,10,0),0)</f>
        <v>0.1</v>
      </c>
      <c r="J74" s="174">
        <f>VLOOKUP(B74,'Bảng lương tính trên HTfast'!$B$13:$I$194,8,0)</f>
        <v>1</v>
      </c>
      <c r="K74" s="173">
        <f>IFERROR(VLOOKUP(B74,'Luong vitri'!$C$6:$O$201,12,0),0)</f>
        <v>0.45</v>
      </c>
      <c r="L74" s="170">
        <f t="shared" si="32"/>
        <v>3624885</v>
      </c>
      <c r="M74" s="170">
        <f t="shared" si="33"/>
        <v>1087466</v>
      </c>
      <c r="N74" s="170">
        <f t="shared" si="34"/>
        <v>9142766</v>
      </c>
      <c r="O74" s="170">
        <f>IFERROR(VLOOKUP(B74,'Bảng lương tính trên HTfast'!$B$13:$O$194,12,0),0)</f>
        <v>0</v>
      </c>
      <c r="P74" s="170">
        <f>IFERROR(VLOOKUP(B74,'BS lương'!$B$2:$M$188,9,0),0)</f>
        <v>370370</v>
      </c>
      <c r="Q74" s="170">
        <f>IFERROR(VLOOKUP(B74,'BS lương'!$B$2:$M$188,10,0),0)</f>
        <v>0</v>
      </c>
      <c r="R74" s="170">
        <f t="shared" si="35"/>
        <v>9513136</v>
      </c>
      <c r="S74" s="170">
        <f>IFERROR(VLOOKUP(B74,'Bảng lương tính trên HTfast'!$B$13:$U$194,16,0),0)</f>
        <v>768915</v>
      </c>
      <c r="T74" s="170"/>
      <c r="U74" s="170"/>
      <c r="V74" s="170"/>
      <c r="W74" s="170">
        <f>IFERROR(VLOOKUP(B74,'Bảng lương tính trên HTfast'!$B$13:$U$190,20,0),0)</f>
        <v>16200000</v>
      </c>
      <c r="X74" s="170"/>
      <c r="Y74" s="170"/>
      <c r="Z74" s="170"/>
      <c r="AA74" s="170">
        <f t="shared" si="36"/>
        <v>0</v>
      </c>
      <c r="AB74" s="170"/>
      <c r="AC74" s="170"/>
      <c r="AD74" s="170"/>
      <c r="AE74" s="170"/>
      <c r="AF74" s="170"/>
      <c r="AG74" s="170"/>
      <c r="AH74" s="170"/>
      <c r="AI74" s="170"/>
      <c r="AJ74" s="170"/>
      <c r="AK74" s="170"/>
      <c r="AL74" s="170"/>
      <c r="AM74" s="170"/>
      <c r="AN74" s="170"/>
      <c r="AO74" s="170"/>
      <c r="AP74" s="170">
        <f t="shared" si="37"/>
        <v>0</v>
      </c>
      <c r="AQ74" s="170"/>
      <c r="AR74" s="170">
        <f t="shared" si="38"/>
        <v>8744221</v>
      </c>
      <c r="AS74" s="170"/>
      <c r="AT74" s="170"/>
      <c r="AU74" s="170">
        <f t="shared" si="39"/>
        <v>87442</v>
      </c>
      <c r="AV74" s="170">
        <f>IFERROR(VLOOKUP(B74,'BS lương'!$B$2:$M$181,11,0),0)</f>
        <v>0</v>
      </c>
      <c r="AW74" s="170"/>
      <c r="AX74" s="170">
        <f t="shared" si="40"/>
        <v>8656779</v>
      </c>
      <c r="AY74" s="175"/>
    </row>
    <row r="75" spans="1:51" s="232" customFormat="1" ht="12" customHeight="1" x14ac:dyDescent="0.3">
      <c r="A75" s="205">
        <f t="shared" si="31"/>
        <v>52</v>
      </c>
      <c r="B75" s="171" t="s">
        <v>84</v>
      </c>
      <c r="C75" s="171" t="s">
        <v>85</v>
      </c>
      <c r="D75" s="171" t="s">
        <v>66</v>
      </c>
      <c r="E75" s="172"/>
      <c r="F75" s="172">
        <v>1.85</v>
      </c>
      <c r="G75" s="209">
        <f>VLOOKUP(B75,'Bảng lương tính trên HTfast'!$B$13:$H$194,6,0)</f>
        <v>20</v>
      </c>
      <c r="H75" s="170">
        <f>VLOOKUP(B75,'Bảng lương tính trên HTfast'!$B$13:$H$194,7,0)</f>
        <v>8875000</v>
      </c>
      <c r="I75" s="173">
        <f>IFERROR(VLOOKUP(B75,'Luong vitri'!$C$6:$O$179,10,0),0)</f>
        <v>0</v>
      </c>
      <c r="J75" s="174">
        <f>VLOOKUP(B75,'Bảng lương tính trên HTfast'!$B$13:$I$194,8,0)</f>
        <v>1.1299999999999999</v>
      </c>
      <c r="K75" s="173">
        <f>IFERROR(VLOOKUP(B75,'Luong vitri'!$C$6:$O$201,12,0),0)</f>
        <v>0.35</v>
      </c>
      <c r="L75" s="170">
        <f t="shared" si="32"/>
        <v>3106250</v>
      </c>
      <c r="M75" s="170">
        <f t="shared" si="33"/>
        <v>931875</v>
      </c>
      <c r="N75" s="170">
        <f t="shared" si="34"/>
        <v>10960625</v>
      </c>
      <c r="O75" s="170">
        <f>IFERROR(VLOOKUP(B75,'Bảng lương tính trên HTfast'!$B$13:$O$194,12,0),0)</f>
        <v>0</v>
      </c>
      <c r="P75" s="170">
        <f>IFERROR(VLOOKUP(B75,'BS lương'!$B$2:$M$188,9,0),0)</f>
        <v>705966</v>
      </c>
      <c r="Q75" s="170">
        <f>IFERROR(VLOOKUP(B75,'BS lương'!$B$2:$M$188,10,0),0)</f>
        <v>504262</v>
      </c>
      <c r="R75" s="170">
        <f t="shared" si="35"/>
        <v>12170853</v>
      </c>
      <c r="S75" s="170">
        <f>IFERROR(VLOOKUP(B75,'Bảng lương tính trên HTfast'!$B$13:$U$194,16,0),0)</f>
        <v>931875</v>
      </c>
      <c r="T75" s="170"/>
      <c r="U75" s="170"/>
      <c r="V75" s="170"/>
      <c r="W75" s="170">
        <f>IFERROR(VLOOKUP(B75,'Bảng lương tính trên HTfast'!$B$13:$U$190,20,0),0)</f>
        <v>16200000</v>
      </c>
      <c r="X75" s="170"/>
      <c r="Y75" s="170"/>
      <c r="Z75" s="170"/>
      <c r="AA75" s="170">
        <f t="shared" si="36"/>
        <v>0</v>
      </c>
      <c r="AB75" s="170"/>
      <c r="AC75" s="170"/>
      <c r="AD75" s="170"/>
      <c r="AE75" s="170"/>
      <c r="AF75" s="170"/>
      <c r="AG75" s="170"/>
      <c r="AH75" s="170"/>
      <c r="AI75" s="170"/>
      <c r="AJ75" s="170"/>
      <c r="AK75" s="170"/>
      <c r="AL75" s="170"/>
      <c r="AM75" s="170"/>
      <c r="AN75" s="170"/>
      <c r="AO75" s="170"/>
      <c r="AP75" s="170">
        <f t="shared" si="37"/>
        <v>0</v>
      </c>
      <c r="AQ75" s="170"/>
      <c r="AR75" s="170">
        <f t="shared" si="38"/>
        <v>11238978</v>
      </c>
      <c r="AS75" s="170"/>
      <c r="AT75" s="170"/>
      <c r="AU75" s="170">
        <f t="shared" si="39"/>
        <v>112390</v>
      </c>
      <c r="AV75" s="170">
        <f>IFERROR(VLOOKUP(B75,'BS lương'!$B$2:$M$181,11,0),0)</f>
        <v>0</v>
      </c>
      <c r="AW75" s="170"/>
      <c r="AX75" s="170">
        <f t="shared" si="40"/>
        <v>11126588</v>
      </c>
      <c r="AY75" s="175"/>
    </row>
    <row r="76" spans="1:51" ht="12" customHeight="1" x14ac:dyDescent="0.3">
      <c r="A76" s="205">
        <f t="shared" si="31"/>
        <v>53</v>
      </c>
      <c r="B76" s="171" t="s">
        <v>371</v>
      </c>
      <c r="C76" s="171" t="s">
        <v>372</v>
      </c>
      <c r="D76" s="171" t="s">
        <v>66</v>
      </c>
      <c r="E76" s="172"/>
      <c r="F76" s="172">
        <v>1.85</v>
      </c>
      <c r="G76" s="209">
        <f>VLOOKUP(B76,'Bảng lương tính trên HTfast'!$B$13:$H$194,6,0)</f>
        <v>20</v>
      </c>
      <c r="H76" s="170">
        <f>VLOOKUP(B76,'Bảng lương tính trên HTfast'!$B$13:$H$194,7,0)</f>
        <v>7323000</v>
      </c>
      <c r="I76" s="173">
        <f>IFERROR(VLOOKUP(B76,'Luong vitri'!$C$6:$O$179,10,0),0)</f>
        <v>0</v>
      </c>
      <c r="J76" s="174">
        <f>VLOOKUP(B76,'Bảng lương tính trên HTfast'!$B$13:$I$194,8,0)</f>
        <v>1</v>
      </c>
      <c r="K76" s="173">
        <f>IFERROR(VLOOKUP(B76,'Luong vitri'!$C$6:$O$201,12,0),0)</f>
        <v>0.45</v>
      </c>
      <c r="L76" s="170">
        <f t="shared" si="32"/>
        <v>3295350</v>
      </c>
      <c r="M76" s="170">
        <f t="shared" si="33"/>
        <v>988605</v>
      </c>
      <c r="N76" s="170">
        <f t="shared" si="34"/>
        <v>8311605</v>
      </c>
      <c r="O76" s="170">
        <f>IFERROR(VLOOKUP(B76,'Bảng lương tính trên HTfast'!$B$13:$O$194,12,0),0)</f>
        <v>730000</v>
      </c>
      <c r="P76" s="170">
        <f>IFERROR(VLOOKUP(B76,'BS lương'!$B$2:$M$188,9,0),0)</f>
        <v>0</v>
      </c>
      <c r="Q76" s="170">
        <f>IFERROR(VLOOKUP(B76,'BS lương'!$B$2:$M$188,10,0),0)</f>
        <v>0</v>
      </c>
      <c r="R76" s="170">
        <f t="shared" si="35"/>
        <v>9041605</v>
      </c>
      <c r="S76" s="170">
        <f>IFERROR(VLOOKUP(B76,'Bảng lương tính trên HTfast'!$B$13:$U$194,16,0),0)</f>
        <v>768915</v>
      </c>
      <c r="T76" s="170"/>
      <c r="U76" s="170"/>
      <c r="V76" s="170"/>
      <c r="W76" s="170">
        <f>IFERROR(VLOOKUP(B76,'Bảng lương tính trên HTfast'!$B$13:$U$190,20,0),0)</f>
        <v>9000000</v>
      </c>
      <c r="X76" s="170"/>
      <c r="Y76" s="170"/>
      <c r="Z76" s="170"/>
      <c r="AA76" s="170">
        <f t="shared" si="36"/>
        <v>0</v>
      </c>
      <c r="AB76" s="170"/>
      <c r="AC76" s="170"/>
      <c r="AD76" s="170"/>
      <c r="AE76" s="170"/>
      <c r="AF76" s="170"/>
      <c r="AG76" s="170"/>
      <c r="AH76" s="170"/>
      <c r="AI76" s="170"/>
      <c r="AJ76" s="170"/>
      <c r="AK76" s="170"/>
      <c r="AL76" s="170"/>
      <c r="AM76" s="170"/>
      <c r="AN76" s="170"/>
      <c r="AO76" s="170"/>
      <c r="AP76" s="170">
        <f t="shared" si="37"/>
        <v>0</v>
      </c>
      <c r="AQ76" s="170"/>
      <c r="AR76" s="170">
        <f t="shared" si="38"/>
        <v>8272690</v>
      </c>
      <c r="AS76" s="170"/>
      <c r="AT76" s="170"/>
      <c r="AU76" s="170">
        <f t="shared" si="39"/>
        <v>82727</v>
      </c>
      <c r="AV76" s="170">
        <f>IFERROR(VLOOKUP(B76,'BS lương'!$B$2:$M$181,11,0),0)</f>
        <v>0</v>
      </c>
      <c r="AW76" s="170"/>
      <c r="AX76" s="170">
        <f t="shared" si="40"/>
        <v>8189963</v>
      </c>
    </row>
    <row r="77" spans="1:51" ht="12" customHeight="1" x14ac:dyDescent="0.3">
      <c r="A77" s="205">
        <f t="shared" si="31"/>
        <v>54</v>
      </c>
      <c r="B77" s="171" t="s">
        <v>234</v>
      </c>
      <c r="C77" s="171" t="s">
        <v>235</v>
      </c>
      <c r="D77" s="171" t="s">
        <v>66</v>
      </c>
      <c r="E77" s="172"/>
      <c r="F77" s="172">
        <v>39.81</v>
      </c>
      <c r="G77" s="209">
        <f>VLOOKUP(B77,'Bảng lương tính trên HTfast'!$B$13:$H$194,6,0)</f>
        <v>20</v>
      </c>
      <c r="H77" s="170">
        <f>VLOOKUP(B77,'Bảng lương tính trên HTfast'!$B$13:$H$194,7,0)</f>
        <v>7841000</v>
      </c>
      <c r="I77" s="173">
        <f>IFERROR(VLOOKUP(B77,'Luong vitri'!$C$6:$O$179,10,0),0)</f>
        <v>0</v>
      </c>
      <c r="J77" s="174">
        <f>VLOOKUP(B77,'Bảng lương tính trên HTfast'!$B$13:$I$194,8,0)</f>
        <v>1</v>
      </c>
      <c r="K77" s="173">
        <f>IFERROR(VLOOKUP(B77,'Luong vitri'!$C$6:$O$201,12,0),0)</f>
        <v>0.35</v>
      </c>
      <c r="L77" s="170">
        <f t="shared" si="32"/>
        <v>2744350</v>
      </c>
      <c r="M77" s="170">
        <f t="shared" si="33"/>
        <v>823305</v>
      </c>
      <c r="N77" s="170">
        <f t="shared" si="34"/>
        <v>8664305</v>
      </c>
      <c r="O77" s="170">
        <f>IFERROR(VLOOKUP(B77,'Bảng lương tính trên HTfast'!$B$13:$O$194,12,0),0)</f>
        <v>0</v>
      </c>
      <c r="P77" s="170">
        <f>IFERROR(VLOOKUP(B77,'BS lương'!$B$2:$M$188,9,0),0)</f>
        <v>5588235</v>
      </c>
      <c r="Q77" s="170">
        <f>IFERROR(VLOOKUP(B77,'BS lương'!$B$2:$M$188,10,0),0)</f>
        <v>0</v>
      </c>
      <c r="R77" s="170">
        <f t="shared" si="35"/>
        <v>14252540</v>
      </c>
      <c r="S77" s="170">
        <f>IFERROR(VLOOKUP(B77,'Bảng lương tính trên HTfast'!$B$13:$U$194,16,0),0)</f>
        <v>823305</v>
      </c>
      <c r="T77" s="170"/>
      <c r="U77" s="170"/>
      <c r="V77" s="170"/>
      <c r="W77" s="170">
        <f>IFERROR(VLOOKUP(B77,'Bảng lương tính trên HTfast'!$B$13:$U$190,20,0),0)</f>
        <v>9000000</v>
      </c>
      <c r="X77" s="170"/>
      <c r="Y77" s="170"/>
      <c r="Z77" s="170"/>
      <c r="AA77" s="170">
        <f t="shared" si="36"/>
        <v>4429235</v>
      </c>
      <c r="AB77" s="170"/>
      <c r="AC77" s="170"/>
      <c r="AD77" s="170"/>
      <c r="AE77" s="170"/>
      <c r="AF77" s="170"/>
      <c r="AG77" s="170"/>
      <c r="AH77" s="170"/>
      <c r="AI77" s="170"/>
      <c r="AJ77" s="170"/>
      <c r="AK77" s="170"/>
      <c r="AL77" s="170"/>
      <c r="AM77" s="170"/>
      <c r="AN77" s="170"/>
      <c r="AO77" s="170"/>
      <c r="AP77" s="170">
        <f t="shared" si="37"/>
        <v>221462</v>
      </c>
      <c r="AQ77" s="170"/>
      <c r="AR77" s="170">
        <f t="shared" si="38"/>
        <v>13207773</v>
      </c>
      <c r="AS77" s="170"/>
      <c r="AT77" s="170"/>
      <c r="AU77" s="170">
        <f t="shared" si="39"/>
        <v>132078</v>
      </c>
      <c r="AV77" s="170">
        <f>IFERROR(VLOOKUP(B77,'BS lương'!$B$2:$M$181,11,0),0)</f>
        <v>0</v>
      </c>
      <c r="AW77" s="170"/>
      <c r="AX77" s="170">
        <f t="shared" si="40"/>
        <v>13075695</v>
      </c>
    </row>
    <row r="78" spans="1:51" ht="12" customHeight="1" x14ac:dyDescent="0.3">
      <c r="A78" s="205">
        <f t="shared" si="31"/>
        <v>55</v>
      </c>
      <c r="B78" s="171" t="s">
        <v>129</v>
      </c>
      <c r="C78" s="171" t="s">
        <v>130</v>
      </c>
      <c r="D78" s="171" t="s">
        <v>66</v>
      </c>
      <c r="E78" s="172"/>
      <c r="F78" s="172">
        <v>4.8099999999999996</v>
      </c>
      <c r="G78" s="209">
        <f>VLOOKUP(B78,'Bảng lương tính trên HTfast'!$B$13:$H$194,6,0)</f>
        <v>20</v>
      </c>
      <c r="H78" s="170">
        <f>VLOOKUP(B78,'Bảng lương tính trên HTfast'!$B$13:$H$194,7,0)</f>
        <v>7841000</v>
      </c>
      <c r="I78" s="173">
        <f>IFERROR(VLOOKUP(B78,'Luong vitri'!$C$6:$O$179,10,0),0)</f>
        <v>0</v>
      </c>
      <c r="J78" s="174">
        <f>VLOOKUP(B78,'Bảng lương tính trên HTfast'!$B$13:$I$194,8,0)</f>
        <v>1.1299999999999999</v>
      </c>
      <c r="K78" s="173">
        <f>IFERROR(VLOOKUP(B78,'Luong vitri'!$C$6:$O$201,12,0),0)</f>
        <v>0.35</v>
      </c>
      <c r="L78" s="170">
        <f t="shared" si="32"/>
        <v>2744350</v>
      </c>
      <c r="M78" s="170">
        <f t="shared" si="33"/>
        <v>823305</v>
      </c>
      <c r="N78" s="170">
        <f t="shared" si="34"/>
        <v>9683635</v>
      </c>
      <c r="O78" s="170">
        <f>IFERROR(VLOOKUP(B78,'Bảng lương tính trên HTfast'!$B$13:$O$194,12,0),0)</f>
        <v>0</v>
      </c>
      <c r="P78" s="170">
        <f>IFERROR(VLOOKUP(B78,'BS lương'!$B$2:$M$188,9,0),0)</f>
        <v>1428571</v>
      </c>
      <c r="Q78" s="170">
        <f>IFERROR(VLOOKUP(B78,'BS lương'!$B$2:$M$188,10,0),0)</f>
        <v>0</v>
      </c>
      <c r="R78" s="170">
        <f t="shared" si="35"/>
        <v>11112206</v>
      </c>
      <c r="S78" s="170">
        <f>IFERROR(VLOOKUP(B78,'Bảng lương tính trên HTfast'!$B$13:$U$194,16,0),0)</f>
        <v>823305</v>
      </c>
      <c r="T78" s="170"/>
      <c r="U78" s="170"/>
      <c r="V78" s="170"/>
      <c r="W78" s="170">
        <f>IFERROR(VLOOKUP(B78,'Bảng lương tính trên HTfast'!$B$13:$U$190,20,0),0)</f>
        <v>9000000</v>
      </c>
      <c r="X78" s="170"/>
      <c r="Y78" s="170"/>
      <c r="Z78" s="170"/>
      <c r="AA78" s="170">
        <f t="shared" si="36"/>
        <v>1288901</v>
      </c>
      <c r="AB78" s="170"/>
      <c r="AC78" s="170"/>
      <c r="AD78" s="170"/>
      <c r="AE78" s="170"/>
      <c r="AF78" s="170"/>
      <c r="AG78" s="170"/>
      <c r="AH78" s="170"/>
      <c r="AI78" s="170"/>
      <c r="AJ78" s="170"/>
      <c r="AK78" s="170"/>
      <c r="AL78" s="170"/>
      <c r="AM78" s="170"/>
      <c r="AN78" s="170"/>
      <c r="AO78" s="170"/>
      <c r="AP78" s="170">
        <f t="shared" si="37"/>
        <v>64445</v>
      </c>
      <c r="AQ78" s="170"/>
      <c r="AR78" s="170">
        <f t="shared" si="38"/>
        <v>10224456</v>
      </c>
      <c r="AS78" s="170"/>
      <c r="AT78" s="170"/>
      <c r="AU78" s="170">
        <f t="shared" si="39"/>
        <v>102245</v>
      </c>
      <c r="AV78" s="170">
        <f>IFERROR(VLOOKUP(B78,'BS lương'!$B$2:$M$181,11,0),0)</f>
        <v>0</v>
      </c>
      <c r="AW78" s="170"/>
      <c r="AX78" s="170">
        <f t="shared" si="40"/>
        <v>10122211</v>
      </c>
    </row>
    <row r="79" spans="1:51" ht="12" customHeight="1" x14ac:dyDescent="0.3">
      <c r="A79" s="205">
        <f t="shared" si="31"/>
        <v>56</v>
      </c>
      <c r="B79" s="171" t="s">
        <v>284</v>
      </c>
      <c r="C79" s="171" t="s">
        <v>824</v>
      </c>
      <c r="D79" s="171" t="s">
        <v>208</v>
      </c>
      <c r="E79" s="172"/>
      <c r="F79" s="172">
        <v>2.29</v>
      </c>
      <c r="G79" s="209">
        <f>VLOOKUP(B79,'Bảng lương tính trên HTfast'!$B$13:$H$194,6,0)</f>
        <v>20</v>
      </c>
      <c r="H79" s="170">
        <f>VLOOKUP(B79,'Bảng lương tính trên HTfast'!$B$13:$H$194,7,0)</f>
        <v>4736000</v>
      </c>
      <c r="I79" s="173">
        <f>IFERROR(VLOOKUP(B79,'Luong vitri'!$C$6:$O$179,10,0),0)</f>
        <v>0</v>
      </c>
      <c r="J79" s="174">
        <f>VLOOKUP(B79,'Bảng lương tính trên HTfast'!$B$13:$I$194,8,0)</f>
        <v>1</v>
      </c>
      <c r="K79" s="173">
        <f>IFERROR(VLOOKUP(B79,'Luong vitri'!$C$6:$O$201,12,0),0)</f>
        <v>0.35</v>
      </c>
      <c r="L79" s="170">
        <f t="shared" si="32"/>
        <v>1657600</v>
      </c>
      <c r="M79" s="170">
        <f t="shared" si="33"/>
        <v>497280</v>
      </c>
      <c r="N79" s="170">
        <f t="shared" si="34"/>
        <v>5233280</v>
      </c>
      <c r="O79" s="170">
        <f>IFERROR(VLOOKUP(B79,'Bảng lương tính trên HTfast'!$B$13:$O$194,12,0),0)</f>
        <v>0</v>
      </c>
      <c r="P79" s="170">
        <f>IFERROR(VLOOKUP(B79,'BS lương'!$B$2:$M$188,9,0),0)</f>
        <v>555556</v>
      </c>
      <c r="Q79" s="170">
        <f>IFERROR(VLOOKUP(B79,'BS lương'!$B$2:$M$188,10,0),0)</f>
        <v>0</v>
      </c>
      <c r="R79" s="170">
        <f t="shared" si="35"/>
        <v>5788836</v>
      </c>
      <c r="S79" s="170">
        <f>IFERROR(VLOOKUP(B79,'Bảng lương tính trên HTfast'!$B$13:$U$194,16,0),0)</f>
        <v>497280</v>
      </c>
      <c r="T79" s="170"/>
      <c r="U79" s="170"/>
      <c r="V79" s="170"/>
      <c r="W79" s="170">
        <f>IFERROR(VLOOKUP(B79,'Bảng lương tính trên HTfast'!$B$13:$U$190,20,0),0)</f>
        <v>9000000</v>
      </c>
      <c r="X79" s="170"/>
      <c r="Y79" s="170"/>
      <c r="Z79" s="170"/>
      <c r="AA79" s="170">
        <f t="shared" si="36"/>
        <v>0</v>
      </c>
      <c r="AB79" s="170"/>
      <c r="AC79" s="170"/>
      <c r="AD79" s="170"/>
      <c r="AE79" s="170"/>
      <c r="AF79" s="170"/>
      <c r="AG79" s="170"/>
      <c r="AH79" s="170"/>
      <c r="AI79" s="170"/>
      <c r="AJ79" s="170"/>
      <c r="AK79" s="170"/>
      <c r="AL79" s="170"/>
      <c r="AM79" s="170"/>
      <c r="AN79" s="170"/>
      <c r="AO79" s="170"/>
      <c r="AP79" s="170">
        <f t="shared" si="37"/>
        <v>0</v>
      </c>
      <c r="AQ79" s="170"/>
      <c r="AR79" s="170">
        <f t="shared" si="38"/>
        <v>5291556</v>
      </c>
      <c r="AS79" s="170"/>
      <c r="AT79" s="170"/>
      <c r="AU79" s="170">
        <f t="shared" si="39"/>
        <v>52916</v>
      </c>
      <c r="AV79" s="170">
        <f>IFERROR(VLOOKUP(B79,'BS lương'!$B$2:$M$181,11,0),0)</f>
        <v>0</v>
      </c>
      <c r="AW79" s="170"/>
      <c r="AX79" s="170">
        <f t="shared" si="40"/>
        <v>5238640</v>
      </c>
    </row>
    <row r="80" spans="1:51" ht="12" customHeight="1" x14ac:dyDescent="0.3">
      <c r="A80" s="205">
        <f t="shared" si="31"/>
        <v>57</v>
      </c>
      <c r="B80" s="171" t="s">
        <v>209</v>
      </c>
      <c r="C80" s="171" t="s">
        <v>210</v>
      </c>
      <c r="D80" s="171" t="s">
        <v>208</v>
      </c>
      <c r="E80" s="172"/>
      <c r="F80" s="172">
        <v>6.25</v>
      </c>
      <c r="G80" s="209">
        <f>VLOOKUP(B80,'Bảng lương tính trên HTfast'!$B$13:$H$194,6,0)</f>
        <v>20</v>
      </c>
      <c r="H80" s="170">
        <f>VLOOKUP(B80,'Bảng lương tính trên HTfast'!$B$13:$H$194,7,0)</f>
        <v>5134000</v>
      </c>
      <c r="I80" s="173">
        <f>IFERROR(VLOOKUP(B80,'Luong vitri'!$C$6:$O$179,10,0),0)</f>
        <v>0</v>
      </c>
      <c r="J80" s="174">
        <f>VLOOKUP(B80,'Bảng lương tính trên HTfast'!$B$13:$I$194,8,0)</f>
        <v>1.1299999999999999</v>
      </c>
      <c r="K80" s="173">
        <f>IFERROR(VLOOKUP(B80,'Luong vitri'!$C$6:$O$201,12,0),0)</f>
        <v>0.35</v>
      </c>
      <c r="L80" s="170">
        <f t="shared" si="32"/>
        <v>1796900</v>
      </c>
      <c r="M80" s="170">
        <f t="shared" si="33"/>
        <v>539070</v>
      </c>
      <c r="N80" s="170">
        <f t="shared" si="34"/>
        <v>6340490</v>
      </c>
      <c r="O80" s="170">
        <f>IFERROR(VLOOKUP(B80,'Bảng lương tính trên HTfast'!$B$13:$O$194,12,0),0)</f>
        <v>0</v>
      </c>
      <c r="P80" s="170">
        <f>IFERROR(VLOOKUP(B80,'BS lương'!$B$2:$M$188,9,0),0)</f>
        <v>714286</v>
      </c>
      <c r="Q80" s="170">
        <f>IFERROR(VLOOKUP(B80,'BS lương'!$B$2:$M$188,10,0),0)</f>
        <v>0</v>
      </c>
      <c r="R80" s="170">
        <f t="shared" si="35"/>
        <v>7054776</v>
      </c>
      <c r="S80" s="170">
        <f>IFERROR(VLOOKUP(B80,'Bảng lương tính trên HTfast'!$B$13:$U$194,16,0),0)</f>
        <v>539070</v>
      </c>
      <c r="T80" s="170"/>
      <c r="U80" s="170"/>
      <c r="V80" s="170"/>
      <c r="W80" s="170">
        <f>IFERROR(VLOOKUP(B80,'Bảng lương tính trên HTfast'!$B$13:$U$190,20,0),0)</f>
        <v>12600000</v>
      </c>
      <c r="X80" s="170"/>
      <c r="Y80" s="170"/>
      <c r="Z80" s="170"/>
      <c r="AA80" s="170">
        <f t="shared" si="36"/>
        <v>0</v>
      </c>
      <c r="AB80" s="170"/>
      <c r="AC80" s="170"/>
      <c r="AD80" s="170"/>
      <c r="AE80" s="170"/>
      <c r="AF80" s="170"/>
      <c r="AG80" s="170"/>
      <c r="AH80" s="170"/>
      <c r="AI80" s="170"/>
      <c r="AJ80" s="170"/>
      <c r="AK80" s="170"/>
      <c r="AL80" s="170"/>
      <c r="AM80" s="170"/>
      <c r="AN80" s="170"/>
      <c r="AO80" s="170"/>
      <c r="AP80" s="170">
        <f t="shared" si="37"/>
        <v>0</v>
      </c>
      <c r="AQ80" s="170"/>
      <c r="AR80" s="170">
        <f t="shared" si="38"/>
        <v>6515706</v>
      </c>
      <c r="AS80" s="170"/>
      <c r="AT80" s="170"/>
      <c r="AU80" s="170">
        <f t="shared" si="39"/>
        <v>65157</v>
      </c>
      <c r="AV80" s="170">
        <f>IFERROR(VLOOKUP(B80,'BS lương'!$B$2:$M$181,11,0),0)</f>
        <v>0</v>
      </c>
      <c r="AW80" s="170"/>
      <c r="AX80" s="170">
        <f t="shared" si="40"/>
        <v>6450549</v>
      </c>
    </row>
    <row r="81" spans="1:50" ht="12" customHeight="1" x14ac:dyDescent="0.3">
      <c r="A81" s="205">
        <f t="shared" si="31"/>
        <v>58</v>
      </c>
      <c r="B81" s="171" t="s">
        <v>394</v>
      </c>
      <c r="C81" s="171" t="s">
        <v>395</v>
      </c>
      <c r="D81" s="171" t="s">
        <v>217</v>
      </c>
      <c r="E81" s="172"/>
      <c r="F81" s="172">
        <v>1.85</v>
      </c>
      <c r="G81" s="209">
        <f>VLOOKUP(B81,'Bảng lương tính trên HTfast'!$B$13:$H$194,6,0)</f>
        <v>20</v>
      </c>
      <c r="H81" s="170">
        <f>VLOOKUP(B81,'Bảng lương tính trên HTfast'!$B$13:$H$194,7,0)</f>
        <v>9035000</v>
      </c>
      <c r="I81" s="173">
        <f>IFERROR(VLOOKUP(B81,'Luong vitri'!$C$6:$O$179,10,0),0)</f>
        <v>0</v>
      </c>
      <c r="J81" s="174">
        <f>VLOOKUP(B81,'Bảng lương tính trên HTfast'!$B$13:$I$194,8,0)</f>
        <v>1.1299999999999999</v>
      </c>
      <c r="K81" s="173">
        <f>IFERROR(VLOOKUP(B81,'Luong vitri'!$C$6:$O$201,12,0),0)</f>
        <v>0.4</v>
      </c>
      <c r="L81" s="170">
        <f t="shared" si="32"/>
        <v>3614000</v>
      </c>
      <c r="M81" s="170">
        <f t="shared" si="33"/>
        <v>1084200</v>
      </c>
      <c r="N81" s="170">
        <f t="shared" si="34"/>
        <v>11293750</v>
      </c>
      <c r="O81" s="170">
        <f>IFERROR(VLOOKUP(B81,'Bảng lương tính trên HTfast'!$B$13:$O$194,12,0),0)</f>
        <v>0</v>
      </c>
      <c r="P81" s="170">
        <f>IFERROR(VLOOKUP(B81,'BS lương'!$B$2:$M$188,9,0),0)</f>
        <v>0</v>
      </c>
      <c r="Q81" s="170">
        <f>IFERROR(VLOOKUP(B81,'BS lương'!$B$2:$M$188,10,0),0)</f>
        <v>0</v>
      </c>
      <c r="R81" s="170">
        <f t="shared" si="35"/>
        <v>11293750</v>
      </c>
      <c r="S81" s="170">
        <f>IFERROR(VLOOKUP(B81,'Bảng lương tính trên HTfast'!$B$13:$U$194,16,0),0)</f>
        <v>948675</v>
      </c>
      <c r="T81" s="170"/>
      <c r="U81" s="170"/>
      <c r="V81" s="170"/>
      <c r="W81" s="170">
        <f>IFERROR(VLOOKUP(B81,'Bảng lương tính trên HTfast'!$B$13:$U$190,20,0),0)</f>
        <v>9000000</v>
      </c>
      <c r="X81" s="170"/>
      <c r="Y81" s="170"/>
      <c r="Z81" s="170"/>
      <c r="AA81" s="170">
        <f t="shared" si="36"/>
        <v>1345075</v>
      </c>
      <c r="AB81" s="170"/>
      <c r="AC81" s="170"/>
      <c r="AD81" s="170"/>
      <c r="AE81" s="170"/>
      <c r="AF81" s="170"/>
      <c r="AG81" s="170"/>
      <c r="AH81" s="170"/>
      <c r="AI81" s="170"/>
      <c r="AJ81" s="170"/>
      <c r="AK81" s="170"/>
      <c r="AL81" s="170"/>
      <c r="AM81" s="170"/>
      <c r="AN81" s="170"/>
      <c r="AO81" s="170"/>
      <c r="AP81" s="170">
        <f t="shared" si="37"/>
        <v>67254</v>
      </c>
      <c r="AQ81" s="170"/>
      <c r="AR81" s="170">
        <f t="shared" si="38"/>
        <v>10277821</v>
      </c>
      <c r="AS81" s="170"/>
      <c r="AT81" s="170"/>
      <c r="AU81" s="170">
        <f t="shared" si="39"/>
        <v>102778</v>
      </c>
      <c r="AV81" s="170">
        <f>IFERROR(VLOOKUP(B81,'BS lương'!$B$2:$M$181,11,0),0)</f>
        <v>0</v>
      </c>
      <c r="AW81" s="170"/>
      <c r="AX81" s="170">
        <f t="shared" si="40"/>
        <v>10175043</v>
      </c>
    </row>
    <row r="82" spans="1:50" ht="12" customHeight="1" x14ac:dyDescent="0.3">
      <c r="A82" s="205">
        <f t="shared" si="31"/>
        <v>59</v>
      </c>
      <c r="B82" s="171" t="s">
        <v>184</v>
      </c>
      <c r="C82" s="171" t="s">
        <v>185</v>
      </c>
      <c r="D82" s="171" t="s">
        <v>181</v>
      </c>
      <c r="E82" s="172"/>
      <c r="F82" s="172">
        <v>2.41</v>
      </c>
      <c r="G82" s="209">
        <f>VLOOKUP(B82,'Bảng lương tính trên HTfast'!$B$13:$H$194,6,0)</f>
        <v>20</v>
      </c>
      <c r="H82" s="170">
        <f>VLOOKUP(B82,'Bảng lương tính trên HTfast'!$B$13:$H$194,7,0)</f>
        <v>12020000</v>
      </c>
      <c r="I82" s="173">
        <f>IFERROR(VLOOKUP(B82,'Luong vitri'!$C$6:$O$179,10,0),0)</f>
        <v>0</v>
      </c>
      <c r="J82" s="174">
        <f>VLOOKUP(B82,'Bảng lương tính trên HTfast'!$B$13:$I$194,8,0)</f>
        <v>1.1299999999999999</v>
      </c>
      <c r="K82" s="173">
        <f>IFERROR(VLOOKUP(B82,'Luong vitri'!$C$6:$O$201,12,0),0)</f>
        <v>0.4</v>
      </c>
      <c r="L82" s="170">
        <f t="shared" si="32"/>
        <v>4808000</v>
      </c>
      <c r="M82" s="170">
        <f t="shared" si="33"/>
        <v>1442400</v>
      </c>
      <c r="N82" s="170">
        <f t="shared" si="34"/>
        <v>15025000</v>
      </c>
      <c r="O82" s="170">
        <f>IFERROR(VLOOKUP(B82,'Bảng lương tính trên HTfast'!$B$13:$O$194,12,0),0)</f>
        <v>0</v>
      </c>
      <c r="P82" s="170">
        <f>IFERROR(VLOOKUP(B82,'BS lương'!$B$2:$M$188,9,0),0)</f>
        <v>2943604</v>
      </c>
      <c r="Q82" s="170">
        <f>IFERROR(VLOOKUP(B82,'BS lương'!$B$2:$M$188,10,0),0)</f>
        <v>819546</v>
      </c>
      <c r="R82" s="170">
        <f t="shared" si="35"/>
        <v>18788150</v>
      </c>
      <c r="S82" s="170">
        <f>IFERROR(VLOOKUP(B82,'Bảng lương tính trên HTfast'!$B$13:$U$194,16,0),0)</f>
        <v>1262100</v>
      </c>
      <c r="T82" s="170"/>
      <c r="U82" s="170"/>
      <c r="V82" s="170"/>
      <c r="W82" s="170">
        <f>IFERROR(VLOOKUP(B82,'Bảng lương tính trên HTfast'!$B$13:$U$190,20,0),0)</f>
        <v>9000000</v>
      </c>
      <c r="X82" s="170"/>
      <c r="Y82" s="170"/>
      <c r="Z82" s="170"/>
      <c r="AA82" s="170">
        <f t="shared" si="36"/>
        <v>7706504</v>
      </c>
      <c r="AB82" s="170"/>
      <c r="AC82" s="170"/>
      <c r="AD82" s="170"/>
      <c r="AE82" s="170"/>
      <c r="AF82" s="170"/>
      <c r="AG82" s="170"/>
      <c r="AH82" s="170"/>
      <c r="AI82" s="170"/>
      <c r="AJ82" s="170"/>
      <c r="AK82" s="170"/>
      <c r="AL82" s="170"/>
      <c r="AM82" s="170"/>
      <c r="AN82" s="170"/>
      <c r="AO82" s="170"/>
      <c r="AP82" s="170">
        <f t="shared" si="37"/>
        <v>520650</v>
      </c>
      <c r="AQ82" s="170"/>
      <c r="AR82" s="170">
        <f t="shared" si="38"/>
        <v>17005400</v>
      </c>
      <c r="AS82" s="170"/>
      <c r="AT82" s="170"/>
      <c r="AU82" s="170">
        <f t="shared" si="39"/>
        <v>149000</v>
      </c>
      <c r="AV82" s="170">
        <f>IFERROR(VLOOKUP(B82,'BS lương'!$B$2:$M$181,11,0),0)</f>
        <v>0</v>
      </c>
      <c r="AW82" s="170"/>
      <c r="AX82" s="170">
        <f t="shared" si="40"/>
        <v>16856400</v>
      </c>
    </row>
    <row r="83" spans="1:50" ht="12" customHeight="1" x14ac:dyDescent="0.3">
      <c r="A83" s="205">
        <f t="shared" si="31"/>
        <v>60</v>
      </c>
      <c r="B83" s="171" t="s">
        <v>313</v>
      </c>
      <c r="C83" s="171" t="s">
        <v>314</v>
      </c>
      <c r="D83" s="171" t="s">
        <v>66</v>
      </c>
      <c r="E83" s="172"/>
      <c r="F83" s="172">
        <v>0</v>
      </c>
      <c r="G83" s="209">
        <f>VLOOKUP(B83,'Bảng lương tính trên HTfast'!$B$13:$H$194,6,0)</f>
        <v>20</v>
      </c>
      <c r="H83" s="170">
        <f>VLOOKUP(B83,'Bảng lương tính trên HTfast'!$B$13:$H$194,7,0)</f>
        <v>7801000</v>
      </c>
      <c r="I83" s="173">
        <f>IFERROR(VLOOKUP(B83,'Luong vitri'!$C$6:$O$179,10,0),0)</f>
        <v>0.1</v>
      </c>
      <c r="J83" s="174">
        <f>VLOOKUP(B83,'Bảng lương tính trên HTfast'!$B$13:$I$194,8,0)</f>
        <v>1.1299999999999999</v>
      </c>
      <c r="K83" s="173">
        <f>IFERROR(VLOOKUP(B83,'Luong vitri'!$C$6:$O$201,12,0),0)</f>
        <v>0.45</v>
      </c>
      <c r="L83" s="170">
        <f t="shared" si="32"/>
        <v>3861495</v>
      </c>
      <c r="M83" s="170">
        <f t="shared" si="33"/>
        <v>1158449</v>
      </c>
      <c r="N83" s="170">
        <f t="shared" si="34"/>
        <v>10855092</v>
      </c>
      <c r="O83" s="170">
        <f>IFERROR(VLOOKUP(B83,'Bảng lương tính trên HTfast'!$B$13:$O$194,12,0),0)</f>
        <v>730000</v>
      </c>
      <c r="P83" s="170">
        <f>IFERROR(VLOOKUP(B83,'BS lương'!$B$2:$M$188,9,0),0)</f>
        <v>370370</v>
      </c>
      <c r="Q83" s="170">
        <f>IFERROR(VLOOKUP(B83,'BS lương'!$B$2:$M$188,10,0),0)</f>
        <v>0</v>
      </c>
      <c r="R83" s="170">
        <f t="shared" si="35"/>
        <v>11955462</v>
      </c>
      <c r="S83" s="170">
        <f>IFERROR(VLOOKUP(B83,'Bảng lương tính trên HTfast'!$B$13:$U$194,16,0),0)</f>
        <v>819105</v>
      </c>
      <c r="T83" s="170"/>
      <c r="U83" s="170"/>
      <c r="V83" s="170"/>
      <c r="W83" s="170">
        <f>IFERROR(VLOOKUP(B83,'Bảng lương tính trên HTfast'!$B$13:$U$190,20,0),0)</f>
        <v>12600000</v>
      </c>
      <c r="X83" s="170"/>
      <c r="Y83" s="170"/>
      <c r="Z83" s="170"/>
      <c r="AA83" s="170">
        <f t="shared" si="36"/>
        <v>0</v>
      </c>
      <c r="AB83" s="170"/>
      <c r="AC83" s="170"/>
      <c r="AD83" s="170"/>
      <c r="AE83" s="170"/>
      <c r="AF83" s="170"/>
      <c r="AG83" s="170"/>
      <c r="AH83" s="170"/>
      <c r="AI83" s="170"/>
      <c r="AJ83" s="170"/>
      <c r="AK83" s="170"/>
      <c r="AL83" s="170"/>
      <c r="AM83" s="170"/>
      <c r="AN83" s="170"/>
      <c r="AO83" s="170"/>
      <c r="AP83" s="170">
        <f t="shared" si="37"/>
        <v>0</v>
      </c>
      <c r="AQ83" s="170"/>
      <c r="AR83" s="170">
        <f t="shared" si="38"/>
        <v>11136357</v>
      </c>
      <c r="AS83" s="170"/>
      <c r="AT83" s="170"/>
      <c r="AU83" s="170">
        <f t="shared" si="39"/>
        <v>111364</v>
      </c>
      <c r="AV83" s="170">
        <f>IFERROR(VLOOKUP(B83,'BS lương'!$B$2:$M$181,11,0),0)</f>
        <v>0</v>
      </c>
      <c r="AW83" s="170"/>
      <c r="AX83" s="170">
        <f t="shared" si="40"/>
        <v>11024993</v>
      </c>
    </row>
    <row r="84" spans="1:50" ht="12" customHeight="1" x14ac:dyDescent="0.3">
      <c r="A84" s="205">
        <f t="shared" si="31"/>
        <v>61</v>
      </c>
      <c r="B84" s="171" t="s">
        <v>62</v>
      </c>
      <c r="C84" s="171" t="s">
        <v>63</v>
      </c>
      <c r="D84" s="171" t="s">
        <v>61</v>
      </c>
      <c r="E84" s="172"/>
      <c r="F84" s="172">
        <v>3.13</v>
      </c>
      <c r="G84" s="209">
        <f>VLOOKUP(B84,'Bảng lương tính trên HTfast'!$B$13:$H$194,6,0)</f>
        <v>20</v>
      </c>
      <c r="H84" s="170">
        <f>VLOOKUP(B84,'Bảng lương tính trên HTfast'!$B$13:$H$194,7,0)</f>
        <v>13054000</v>
      </c>
      <c r="I84" s="173">
        <f>IFERROR(VLOOKUP(B84,'Luong vitri'!$C$6:$O$179,10,0),0)</f>
        <v>0</v>
      </c>
      <c r="J84" s="174">
        <f>VLOOKUP(B84,'Bảng lương tính trên HTfast'!$B$13:$I$194,8,0)</f>
        <v>1.1299999999999999</v>
      </c>
      <c r="K84" s="173">
        <f>IFERROR(VLOOKUP(B84,'Luong vitri'!$C$6:$O$187,12,0),0)</f>
        <v>0.5</v>
      </c>
      <c r="L84" s="170">
        <f t="shared" si="32"/>
        <v>6527000</v>
      </c>
      <c r="M84" s="170">
        <f t="shared" si="33"/>
        <v>1958100</v>
      </c>
      <c r="N84" s="170">
        <f t="shared" si="34"/>
        <v>16709120</v>
      </c>
      <c r="O84" s="170">
        <f>IFERROR(VLOOKUP(B84,'Bảng lương tính trên HTfast'!$B$13:$O$194,12,0),0)</f>
        <v>0</v>
      </c>
      <c r="P84" s="170">
        <f>IFERROR(VLOOKUP(B84,'BS lương'!$B$2:$M$188,9,0),0)</f>
        <v>2557580</v>
      </c>
      <c r="Q84" s="170">
        <f>IFERROR(VLOOKUP(B84,'BS lương'!$B$2:$M$188,10,0),0)</f>
        <v>1112557</v>
      </c>
      <c r="R84" s="170">
        <f t="shared" si="35"/>
        <v>20379257</v>
      </c>
      <c r="S84" s="170">
        <f>IFERROR(VLOOKUP(B84,'Bảng lương tính trên HTfast'!$B$13:$U$194,16,0),0)</f>
        <v>1370670</v>
      </c>
      <c r="T84" s="170"/>
      <c r="U84" s="170"/>
      <c r="V84" s="170"/>
      <c r="W84" s="170">
        <f>IFERROR(VLOOKUP(B84,'Bảng lương tính trên HTfast'!$B$13:$U$190,20,0),0)</f>
        <v>9000000</v>
      </c>
      <c r="X84" s="170"/>
      <c r="Y84" s="170"/>
      <c r="Z84" s="170"/>
      <c r="AA84" s="170">
        <f t="shared" si="36"/>
        <v>8896030</v>
      </c>
      <c r="AB84" s="170"/>
      <c r="AC84" s="170"/>
      <c r="AD84" s="170"/>
      <c r="AE84" s="170"/>
      <c r="AF84" s="170"/>
      <c r="AG84" s="170"/>
      <c r="AH84" s="170"/>
      <c r="AI84" s="170"/>
      <c r="AJ84" s="170"/>
      <c r="AK84" s="170"/>
      <c r="AL84" s="170"/>
      <c r="AM84" s="170"/>
      <c r="AN84" s="170"/>
      <c r="AO84" s="170"/>
      <c r="AP84" s="170">
        <f t="shared" si="37"/>
        <v>639603</v>
      </c>
      <c r="AQ84" s="170"/>
      <c r="AR84" s="170">
        <f t="shared" si="38"/>
        <v>18368984</v>
      </c>
      <c r="AS84" s="170"/>
      <c r="AT84" s="170"/>
      <c r="AU84" s="170">
        <f t="shared" si="39"/>
        <v>149000</v>
      </c>
      <c r="AV84" s="170">
        <f>IFERROR(VLOOKUP(B84,'BS lương'!$B$2:$M$181,11,0),0)</f>
        <v>0</v>
      </c>
      <c r="AW84" s="170"/>
      <c r="AX84" s="170">
        <f t="shared" si="40"/>
        <v>18219984</v>
      </c>
    </row>
    <row r="85" spans="1:50" ht="12" customHeight="1" x14ac:dyDescent="0.3">
      <c r="A85" s="205">
        <f t="shared" si="31"/>
        <v>62</v>
      </c>
      <c r="B85" s="171" t="s">
        <v>95</v>
      </c>
      <c r="C85" s="171" t="s">
        <v>96</v>
      </c>
      <c r="D85" s="171" t="s">
        <v>61</v>
      </c>
      <c r="E85" s="172"/>
      <c r="F85" s="172">
        <v>1.85</v>
      </c>
      <c r="G85" s="209">
        <f>VLOOKUP(B85,'Bảng lương tính trên HTfast'!$B$13:$H$194,6,0)</f>
        <v>20</v>
      </c>
      <c r="H85" s="170">
        <f>VLOOKUP(B85,'Bảng lương tính trên HTfast'!$B$13:$H$194,7,0)</f>
        <v>13054000</v>
      </c>
      <c r="I85" s="173">
        <f>IFERROR(VLOOKUP(B85,'Luong vitri'!$C$6:$O$179,10,0),0)</f>
        <v>0</v>
      </c>
      <c r="J85" s="174">
        <f>VLOOKUP(B85,'Bảng lương tính trên HTfast'!$B$13:$I$194,8,0)</f>
        <v>1.1299999999999999</v>
      </c>
      <c r="K85" s="173">
        <f>IFERROR(VLOOKUP(B85,'Luong vitri'!$C$6:$O$201,12,0),0)</f>
        <v>0.4</v>
      </c>
      <c r="L85" s="170">
        <f t="shared" si="32"/>
        <v>5221600</v>
      </c>
      <c r="M85" s="170">
        <f t="shared" si="33"/>
        <v>1566480</v>
      </c>
      <c r="N85" s="170">
        <f t="shared" si="34"/>
        <v>16317500</v>
      </c>
      <c r="O85" s="170">
        <f>IFERROR(VLOOKUP(B85,'Bảng lương tính trên HTfast'!$B$13:$O$194,12,0),0)</f>
        <v>0</v>
      </c>
      <c r="P85" s="170">
        <f>IFERROR(VLOOKUP(B85,'BS lương'!$B$2:$M$188,9,0),0)</f>
        <v>4557580</v>
      </c>
      <c r="Q85" s="170">
        <f>IFERROR(VLOOKUP(B85,'BS lương'!$B$2:$M$188,10,0),0)</f>
        <v>1112557</v>
      </c>
      <c r="R85" s="170">
        <f t="shared" si="35"/>
        <v>21987637</v>
      </c>
      <c r="S85" s="170">
        <f>IFERROR(VLOOKUP(B85,'Bảng lương tính trên HTfast'!$B$13:$U$194,16,0),0)</f>
        <v>1370670</v>
      </c>
      <c r="T85" s="170"/>
      <c r="U85" s="170"/>
      <c r="V85" s="170"/>
      <c r="W85" s="170">
        <f>IFERROR(VLOOKUP(B85,'Bảng lương tính trên HTfast'!$B$13:$U$190,20,0),0)</f>
        <v>12600000</v>
      </c>
      <c r="X85" s="170"/>
      <c r="Y85" s="170"/>
      <c r="Z85" s="170"/>
      <c r="AA85" s="170">
        <f t="shared" si="36"/>
        <v>6904410</v>
      </c>
      <c r="AB85" s="170"/>
      <c r="AC85" s="170"/>
      <c r="AD85" s="170"/>
      <c r="AE85" s="170"/>
      <c r="AF85" s="170"/>
      <c r="AG85" s="170"/>
      <c r="AH85" s="170"/>
      <c r="AI85" s="170"/>
      <c r="AJ85" s="170"/>
      <c r="AK85" s="170"/>
      <c r="AL85" s="170"/>
      <c r="AM85" s="170"/>
      <c r="AN85" s="170"/>
      <c r="AO85" s="170"/>
      <c r="AP85" s="170">
        <f t="shared" si="37"/>
        <v>440441</v>
      </c>
      <c r="AQ85" s="170"/>
      <c r="AR85" s="170">
        <f t="shared" si="38"/>
        <v>20176526</v>
      </c>
      <c r="AS85" s="170"/>
      <c r="AT85" s="170"/>
      <c r="AU85" s="170">
        <f t="shared" si="39"/>
        <v>149000</v>
      </c>
      <c r="AV85" s="170">
        <f>IFERROR(VLOOKUP(B85,'BS lương'!$B$2:$M$181,11,0),0)</f>
        <v>0</v>
      </c>
      <c r="AW85" s="170"/>
      <c r="AX85" s="170">
        <f t="shared" si="40"/>
        <v>20027526</v>
      </c>
    </row>
    <row r="86" spans="1:50" ht="12" customHeight="1" x14ac:dyDescent="0.3">
      <c r="A86" s="205">
        <f t="shared" si="31"/>
        <v>63</v>
      </c>
      <c r="B86" s="171" t="s">
        <v>796</v>
      </c>
      <c r="C86" s="171" t="s">
        <v>797</v>
      </c>
      <c r="D86" s="171" t="s">
        <v>66</v>
      </c>
      <c r="E86" s="172"/>
      <c r="F86" s="172">
        <v>1.85</v>
      </c>
      <c r="G86" s="209">
        <f>VLOOKUP(B86,'Bảng lương tính trên HTfast'!$B$13:$H$194,6,0)</f>
        <v>20</v>
      </c>
      <c r="H86" s="170">
        <f>VLOOKUP(B86,'Bảng lương tính trên HTfast'!$B$13:$H$194,7,0)</f>
        <v>7323000</v>
      </c>
      <c r="I86" s="173">
        <f>IFERROR(VLOOKUP(B86,'Luong vitri'!$C$6:$O$179,10,0),0)</f>
        <v>0</v>
      </c>
      <c r="J86" s="174">
        <f>VLOOKUP(B86,'Bảng lương tính trên HTfast'!$B$13:$I$194,8,0)</f>
        <v>1</v>
      </c>
      <c r="K86" s="173">
        <f>IFERROR(VLOOKUP(B86,'Luong vitri'!$C$6:$O$201,12,0),0)</f>
        <v>0.45</v>
      </c>
      <c r="L86" s="170">
        <f t="shared" si="32"/>
        <v>3295350</v>
      </c>
      <c r="M86" s="170">
        <f t="shared" si="33"/>
        <v>988605</v>
      </c>
      <c r="N86" s="170">
        <f t="shared" si="34"/>
        <v>8311605</v>
      </c>
      <c r="O86" s="170">
        <f>IFERROR(VLOOKUP(B86,'Bảng lương tính trên HTfast'!$B$13:$O$194,12,0),0)</f>
        <v>730000</v>
      </c>
      <c r="P86" s="170">
        <f>IFERROR(VLOOKUP(B86,'BS lương'!$B$2:$M$188,9,0),0)</f>
        <v>370370</v>
      </c>
      <c r="Q86" s="170">
        <f>IFERROR(VLOOKUP(B86,'BS lương'!$B$2:$M$188,10,0),0)</f>
        <v>0</v>
      </c>
      <c r="R86" s="170">
        <f t="shared" si="35"/>
        <v>9411975</v>
      </c>
      <c r="S86" s="170">
        <f>IFERROR(VLOOKUP(B86,'Bảng lương tính trên HTfast'!$B$13:$U$194,16,0),0)</f>
        <v>768915</v>
      </c>
      <c r="T86" s="170"/>
      <c r="U86" s="170"/>
      <c r="V86" s="170"/>
      <c r="W86" s="170">
        <f>IFERROR(VLOOKUP(B86,'Bảng lương tính trên HTfast'!$B$13:$U$190,20,0),0)</f>
        <v>9000000</v>
      </c>
      <c r="X86" s="170"/>
      <c r="Y86" s="170"/>
      <c r="Z86" s="170"/>
      <c r="AA86" s="170">
        <f t="shared" si="36"/>
        <v>0</v>
      </c>
      <c r="AB86" s="170"/>
      <c r="AC86" s="170"/>
      <c r="AD86" s="170"/>
      <c r="AE86" s="170"/>
      <c r="AF86" s="170"/>
      <c r="AG86" s="170"/>
      <c r="AH86" s="170"/>
      <c r="AI86" s="170"/>
      <c r="AJ86" s="170"/>
      <c r="AK86" s="170"/>
      <c r="AL86" s="170"/>
      <c r="AM86" s="170"/>
      <c r="AN86" s="170"/>
      <c r="AO86" s="170"/>
      <c r="AP86" s="170">
        <f t="shared" si="37"/>
        <v>0</v>
      </c>
      <c r="AQ86" s="170"/>
      <c r="AR86" s="170">
        <f t="shared" si="38"/>
        <v>8643060</v>
      </c>
      <c r="AS86" s="170"/>
      <c r="AT86" s="170"/>
      <c r="AU86" s="170">
        <f t="shared" si="39"/>
        <v>86431</v>
      </c>
      <c r="AV86" s="170">
        <f>IFERROR(VLOOKUP(B86,'BS lương'!$B$2:$M$181,11,0),0)</f>
        <v>0</v>
      </c>
      <c r="AW86" s="170"/>
      <c r="AX86" s="170">
        <f t="shared" si="40"/>
        <v>8556629</v>
      </c>
    </row>
    <row r="87" spans="1:50" ht="12" customHeight="1" x14ac:dyDescent="0.3">
      <c r="A87" s="205">
        <f t="shared" si="31"/>
        <v>64</v>
      </c>
      <c r="B87" s="171" t="s">
        <v>301</v>
      </c>
      <c r="C87" s="171" t="s">
        <v>302</v>
      </c>
      <c r="D87" s="171" t="s">
        <v>66</v>
      </c>
      <c r="E87" s="172"/>
      <c r="F87" s="172">
        <v>1.85</v>
      </c>
      <c r="G87" s="209">
        <f>VLOOKUP(B87,'Bảng lương tính trên HTfast'!$B$13:$H$194,6,0)</f>
        <v>20</v>
      </c>
      <c r="H87" s="170">
        <f>VLOOKUP(B87,'Bảng lương tính trên HTfast'!$B$13:$H$194,7,0)</f>
        <v>7363000</v>
      </c>
      <c r="I87" s="173">
        <f>IFERROR(VLOOKUP(B87,'Luong vitri'!$C$6:$O$179,10,0),0)</f>
        <v>0</v>
      </c>
      <c r="J87" s="174">
        <f>VLOOKUP(B87,'Bảng lương tính trên HTfast'!$B$13:$I$194,8,0)</f>
        <v>1</v>
      </c>
      <c r="K87" s="173">
        <f>IFERROR(VLOOKUP(B87,'Luong vitri'!$C$6:$O$201,12,0),0)</f>
        <v>0.35</v>
      </c>
      <c r="L87" s="170">
        <f t="shared" si="32"/>
        <v>2577050</v>
      </c>
      <c r="M87" s="170">
        <f t="shared" si="33"/>
        <v>773115</v>
      </c>
      <c r="N87" s="170">
        <f t="shared" si="34"/>
        <v>8136115</v>
      </c>
      <c r="O87" s="170">
        <f>IFERROR(VLOOKUP(B87,'Bảng lương tính trên HTfast'!$B$13:$O$194,12,0),0)</f>
        <v>0</v>
      </c>
      <c r="P87" s="170">
        <f>IFERROR(VLOOKUP(B87,'BS lương'!$B$2:$M$188,9,0),0)</f>
        <v>370370</v>
      </c>
      <c r="Q87" s="170">
        <f>IFERROR(VLOOKUP(B87,'BS lương'!$B$2:$M$188,10,0),0)</f>
        <v>0</v>
      </c>
      <c r="R87" s="170">
        <f t="shared" si="35"/>
        <v>8506485</v>
      </c>
      <c r="S87" s="170">
        <f>IFERROR(VLOOKUP(B87,'Bảng lương tính trên HTfast'!$B$13:$U$194,16,0),0)</f>
        <v>773115</v>
      </c>
      <c r="T87" s="170"/>
      <c r="U87" s="170"/>
      <c r="V87" s="170"/>
      <c r="W87" s="170">
        <f>IFERROR(VLOOKUP(B87,'Bảng lương tính trên HTfast'!$B$13:$U$190,20,0),0)</f>
        <v>9000000</v>
      </c>
      <c r="X87" s="170"/>
      <c r="Y87" s="170"/>
      <c r="Z87" s="170"/>
      <c r="AA87" s="170">
        <f t="shared" si="36"/>
        <v>0</v>
      </c>
      <c r="AB87" s="170"/>
      <c r="AC87" s="170"/>
      <c r="AD87" s="170"/>
      <c r="AE87" s="170"/>
      <c r="AF87" s="170"/>
      <c r="AG87" s="170"/>
      <c r="AH87" s="170"/>
      <c r="AI87" s="170"/>
      <c r="AJ87" s="170"/>
      <c r="AK87" s="170"/>
      <c r="AL87" s="170"/>
      <c r="AM87" s="170"/>
      <c r="AN87" s="170"/>
      <c r="AO87" s="170"/>
      <c r="AP87" s="170">
        <f t="shared" si="37"/>
        <v>0</v>
      </c>
      <c r="AQ87" s="170"/>
      <c r="AR87" s="170">
        <f t="shared" si="38"/>
        <v>7733370</v>
      </c>
      <c r="AS87" s="170"/>
      <c r="AT87" s="170"/>
      <c r="AU87" s="170">
        <f t="shared" si="39"/>
        <v>77334</v>
      </c>
      <c r="AV87" s="170">
        <f>IFERROR(VLOOKUP(B87,'BS lương'!$B$2:$M$181,11,0),0)</f>
        <v>0</v>
      </c>
      <c r="AW87" s="170"/>
      <c r="AX87" s="170">
        <f t="shared" si="40"/>
        <v>7656036</v>
      </c>
    </row>
    <row r="88" spans="1:50" ht="12" customHeight="1" x14ac:dyDescent="0.3">
      <c r="A88" s="205">
        <f t="shared" ref="A88:A119" si="41">A87+1</f>
        <v>65</v>
      </c>
      <c r="B88" s="171" t="s">
        <v>145</v>
      </c>
      <c r="C88" s="171" t="s">
        <v>146</v>
      </c>
      <c r="D88" s="171" t="s">
        <v>115</v>
      </c>
      <c r="E88" s="172"/>
      <c r="F88" s="172">
        <v>1.85</v>
      </c>
      <c r="G88" s="209">
        <f>VLOOKUP(B88,'Bảng lương tính trên HTfast'!$B$13:$H$194,6,0)</f>
        <v>20</v>
      </c>
      <c r="H88" s="170">
        <f>VLOOKUP(B88,'Bảng lương tính trên HTfast'!$B$13:$H$194,7,0)</f>
        <v>16238000</v>
      </c>
      <c r="I88" s="173">
        <f>IFERROR(VLOOKUP(B88,'Luong vitri'!$C$6:$O$179,10,0),0)</f>
        <v>0</v>
      </c>
      <c r="J88" s="174">
        <f>VLOOKUP(B88,'Bảng lương tính trên HTfast'!$B$13:$I$194,8,0)</f>
        <v>1.1299999999999999</v>
      </c>
      <c r="K88" s="173">
        <f>IFERROR(VLOOKUP(B88,'Luong vitri'!$C$6:$O$201,12,0),0)</f>
        <v>0.45</v>
      </c>
      <c r="L88" s="170">
        <f t="shared" ref="L88:L119" si="42">ROUND((H88+H88*I88)*K88,0)</f>
        <v>7307100</v>
      </c>
      <c r="M88" s="170">
        <f t="shared" ref="M88:M119" si="43">ROUND(L88*0.3,0)</f>
        <v>2192130</v>
      </c>
      <c r="N88" s="170">
        <f t="shared" ref="N88:N119" si="44">ROUND((H88+H88*I88)*J88+M88,0)</f>
        <v>20541070</v>
      </c>
      <c r="O88" s="170">
        <f>IFERROR(VLOOKUP(B88,'Bảng lương tính trên HTfast'!$B$13:$O$194,12,0),0)</f>
        <v>0</v>
      </c>
      <c r="P88" s="170">
        <f>IFERROR(VLOOKUP(B88,'BS lương'!$B$2:$M$188,9,0),0)</f>
        <v>5214273</v>
      </c>
      <c r="Q88" s="170">
        <f>IFERROR(VLOOKUP(B88,'BS lương'!$B$2:$M$188,10,0),0)</f>
        <v>1660704</v>
      </c>
      <c r="R88" s="170">
        <f t="shared" ref="R88:R119" si="45">N88+O88+P88+Q88</f>
        <v>27416047</v>
      </c>
      <c r="S88" s="170">
        <f>IFERROR(VLOOKUP(B88,'Bảng lương tính trên HTfast'!$B$13:$U$194,16,0),0)</f>
        <v>1704990</v>
      </c>
      <c r="T88" s="170"/>
      <c r="U88" s="170"/>
      <c r="V88" s="170"/>
      <c r="W88" s="170">
        <f>IFERROR(VLOOKUP(B88,'Bảng lương tính trên HTfast'!$B$13:$U$190,20,0),0)</f>
        <v>19800000</v>
      </c>
      <c r="X88" s="170"/>
      <c r="Y88" s="170"/>
      <c r="Z88" s="170"/>
      <c r="AA88" s="170">
        <f t="shared" ref="AA88:AA119" si="46">IF((R88-S88-W88-O88-Q88)&gt;0,(R88-S88-W88-O88-Q88),0)</f>
        <v>4250353</v>
      </c>
      <c r="AB88" s="170"/>
      <c r="AC88" s="170"/>
      <c r="AD88" s="170"/>
      <c r="AE88" s="170"/>
      <c r="AF88" s="170"/>
      <c r="AG88" s="170"/>
      <c r="AH88" s="170"/>
      <c r="AI88" s="170"/>
      <c r="AJ88" s="170"/>
      <c r="AK88" s="170"/>
      <c r="AL88" s="170"/>
      <c r="AM88" s="170"/>
      <c r="AN88" s="170"/>
      <c r="AO88" s="170"/>
      <c r="AP88" s="170">
        <f t="shared" ref="AP88:AP119" si="47">ROUND(IF(AA88&lt;5000000,AA88*0.05,IF(AA88&lt;10000000,250000+(AA88-5000000)*0.1,IF(AA88&lt;18000000,750000+(AA88-10000000)*0.15,IF(AA88&lt;32000000,1950000+(AA88-18000000)*0.2,IF(AA88&lt;52000000,4750000+(AA88-32000000)*0.25,IF(AA88&lt;80000000,9750000+(AA88-52000000)*0.3,IF(AA88&gt;80000000,18150000+(AA88-80000000)*0.35,0))))))),0)</f>
        <v>212518</v>
      </c>
      <c r="AQ88" s="170"/>
      <c r="AR88" s="170">
        <f t="shared" ref="AR88:AR119" si="48">R88-S88-AP88</f>
        <v>25498539</v>
      </c>
      <c r="AS88" s="170"/>
      <c r="AT88" s="170"/>
      <c r="AU88" s="170">
        <f t="shared" ref="AU88:AU119" si="49">IF(G88&gt;0,IF(AR88*1%&gt;149000,149000,ROUND(AR88*1%,0)),0)</f>
        <v>149000</v>
      </c>
      <c r="AV88" s="170">
        <f>IFERROR(VLOOKUP(B88,'BS lương'!$B$2:$M$181,11,0),0)</f>
        <v>0</v>
      </c>
      <c r="AW88" s="170"/>
      <c r="AX88" s="170">
        <f t="shared" ref="AX88:AX119" si="50">AR88-AU88-AV88-AW88</f>
        <v>25349539</v>
      </c>
    </row>
    <row r="89" spans="1:50" ht="12" customHeight="1" x14ac:dyDescent="0.3">
      <c r="A89" s="205">
        <f t="shared" si="41"/>
        <v>66</v>
      </c>
      <c r="B89" s="171" t="s">
        <v>382</v>
      </c>
      <c r="C89" s="171" t="s">
        <v>383</v>
      </c>
      <c r="D89" s="171" t="s">
        <v>217</v>
      </c>
      <c r="E89" s="172"/>
      <c r="F89" s="172">
        <v>1.85</v>
      </c>
      <c r="G89" s="209">
        <f>VLOOKUP(B89,'Bảng lương tính trên HTfast'!$B$13:$H$194,6,0)</f>
        <v>20</v>
      </c>
      <c r="H89" s="170">
        <f>VLOOKUP(B89,'Bảng lương tính trên HTfast'!$B$13:$H$194,7,0)</f>
        <v>9035000</v>
      </c>
      <c r="I89" s="173">
        <f>IFERROR(VLOOKUP(B89,'Luong vitri'!$C$6:$O$179,10,0),0)</f>
        <v>0</v>
      </c>
      <c r="J89" s="174">
        <f>VLOOKUP(B89,'Bảng lương tính trên HTfast'!$B$13:$I$194,8,0)</f>
        <v>1.1299999999999999</v>
      </c>
      <c r="K89" s="173">
        <f>IFERROR(VLOOKUP(B89,'Luong vitri'!$C$6:$O$201,12,0),0)</f>
        <v>0.45</v>
      </c>
      <c r="L89" s="170">
        <f t="shared" si="42"/>
        <v>4065750</v>
      </c>
      <c r="M89" s="170">
        <f t="shared" si="43"/>
        <v>1219725</v>
      </c>
      <c r="N89" s="170">
        <f t="shared" si="44"/>
        <v>11429275</v>
      </c>
      <c r="O89" s="170">
        <f>IFERROR(VLOOKUP(B89,'Bảng lương tính trên HTfast'!$B$13:$O$194,12,0),0)</f>
        <v>0</v>
      </c>
      <c r="P89" s="170">
        <f>IFERROR(VLOOKUP(B89,'BS lương'!$B$2:$M$188,9,0),0)</f>
        <v>5000000</v>
      </c>
      <c r="Q89" s="170">
        <f>IFERROR(VLOOKUP(B89,'BS lương'!$B$2:$M$188,10,0),0)</f>
        <v>0</v>
      </c>
      <c r="R89" s="170">
        <f t="shared" si="45"/>
        <v>16429275</v>
      </c>
      <c r="S89" s="170">
        <f>IFERROR(VLOOKUP(B89,'Bảng lương tính trên HTfast'!$B$13:$U$194,16,0),0)</f>
        <v>948675</v>
      </c>
      <c r="T89" s="170"/>
      <c r="U89" s="170"/>
      <c r="V89" s="170"/>
      <c r="W89" s="170">
        <f>IFERROR(VLOOKUP(B89,'Bảng lương tính trên HTfast'!$B$13:$U$190,20,0),0)</f>
        <v>9000000</v>
      </c>
      <c r="X89" s="170"/>
      <c r="Y89" s="170"/>
      <c r="Z89" s="170"/>
      <c r="AA89" s="170">
        <f t="shared" si="46"/>
        <v>6480600</v>
      </c>
      <c r="AB89" s="170"/>
      <c r="AC89" s="170"/>
      <c r="AD89" s="170"/>
      <c r="AE89" s="170"/>
      <c r="AF89" s="170"/>
      <c r="AG89" s="170"/>
      <c r="AH89" s="170"/>
      <c r="AI89" s="170"/>
      <c r="AJ89" s="170"/>
      <c r="AK89" s="170"/>
      <c r="AL89" s="170"/>
      <c r="AM89" s="170"/>
      <c r="AN89" s="170"/>
      <c r="AO89" s="170"/>
      <c r="AP89" s="170">
        <f t="shared" si="47"/>
        <v>398060</v>
      </c>
      <c r="AQ89" s="170"/>
      <c r="AR89" s="170">
        <f t="shared" si="48"/>
        <v>15082540</v>
      </c>
      <c r="AS89" s="170"/>
      <c r="AT89" s="170"/>
      <c r="AU89" s="170">
        <f t="shared" si="49"/>
        <v>149000</v>
      </c>
      <c r="AV89" s="170">
        <f>IFERROR(VLOOKUP(B89,'BS lương'!$B$2:$M$181,11,0),0)</f>
        <v>0</v>
      </c>
      <c r="AW89" s="170"/>
      <c r="AX89" s="170">
        <f t="shared" si="50"/>
        <v>14933540</v>
      </c>
    </row>
    <row r="90" spans="1:50" ht="12" customHeight="1" x14ac:dyDescent="0.3">
      <c r="A90" s="205">
        <f t="shared" si="41"/>
        <v>67</v>
      </c>
      <c r="B90" s="171" t="s">
        <v>345</v>
      </c>
      <c r="C90" s="171" t="s">
        <v>346</v>
      </c>
      <c r="D90" s="171" t="s">
        <v>430</v>
      </c>
      <c r="E90" s="172"/>
      <c r="F90" s="172">
        <v>1.85</v>
      </c>
      <c r="G90" s="209">
        <f>VLOOKUP(B90,'Bảng lương tính trên HTfast'!$B$13:$H$194,6,0)</f>
        <v>20</v>
      </c>
      <c r="H90" s="170">
        <f>VLOOKUP(B90,'Bảng lương tính trên HTfast'!$B$13:$H$194,7,0)</f>
        <v>12020000</v>
      </c>
      <c r="I90" s="173">
        <f>IFERROR(VLOOKUP(B90,'Luong vitri'!$C$6:$O$179,10,0),0)</f>
        <v>0</v>
      </c>
      <c r="J90" s="174">
        <f>VLOOKUP(B90,'Bảng lương tính trên HTfast'!$B$13:$I$194,8,0)</f>
        <v>1</v>
      </c>
      <c r="K90" s="173">
        <f>IFERROR(VLOOKUP(B90,'Luong vitri'!$C$6:$O$201,12,0),0)</f>
        <v>0.5</v>
      </c>
      <c r="L90" s="170">
        <f t="shared" si="42"/>
        <v>6010000</v>
      </c>
      <c r="M90" s="170">
        <f t="shared" si="43"/>
        <v>1803000</v>
      </c>
      <c r="N90" s="170">
        <f t="shared" si="44"/>
        <v>13823000</v>
      </c>
      <c r="O90" s="170">
        <f>IFERROR(VLOOKUP(B90,'Bảng lương tính trên HTfast'!$B$13:$O$194,12,0),0)</f>
        <v>730000</v>
      </c>
      <c r="P90" s="170">
        <f>IFERROR(VLOOKUP(B90,'BS lương'!$B$2:$M$188,9,0),0)</f>
        <v>0</v>
      </c>
      <c r="Q90" s="170">
        <f>IFERROR(VLOOKUP(B90,'BS lương'!$B$2:$M$188,10,0),0)</f>
        <v>0</v>
      </c>
      <c r="R90" s="170">
        <f t="shared" si="45"/>
        <v>14553000</v>
      </c>
      <c r="S90" s="170">
        <f>IFERROR(VLOOKUP(B90,'Bảng lương tính trên HTfast'!$B$13:$U$194,16,0),0)</f>
        <v>1262100</v>
      </c>
      <c r="T90" s="170"/>
      <c r="U90" s="170"/>
      <c r="V90" s="170"/>
      <c r="W90" s="170">
        <f>IFERROR(VLOOKUP(B90,'Bảng lương tính trên HTfast'!$B$13:$U$190,20,0),0)</f>
        <v>16200000</v>
      </c>
      <c r="X90" s="170"/>
      <c r="Y90" s="170"/>
      <c r="Z90" s="170"/>
      <c r="AA90" s="170">
        <f t="shared" si="46"/>
        <v>0</v>
      </c>
      <c r="AB90" s="170"/>
      <c r="AC90" s="170"/>
      <c r="AD90" s="170"/>
      <c r="AE90" s="170"/>
      <c r="AF90" s="170"/>
      <c r="AG90" s="170"/>
      <c r="AH90" s="170"/>
      <c r="AI90" s="170"/>
      <c r="AJ90" s="170"/>
      <c r="AK90" s="170"/>
      <c r="AL90" s="170"/>
      <c r="AM90" s="170"/>
      <c r="AN90" s="170"/>
      <c r="AO90" s="170"/>
      <c r="AP90" s="170">
        <f t="shared" si="47"/>
        <v>0</v>
      </c>
      <c r="AQ90" s="170"/>
      <c r="AR90" s="170">
        <f t="shared" si="48"/>
        <v>13290900</v>
      </c>
      <c r="AS90" s="170"/>
      <c r="AT90" s="170"/>
      <c r="AU90" s="170">
        <f t="shared" si="49"/>
        <v>132909</v>
      </c>
      <c r="AV90" s="170">
        <f>IFERROR(VLOOKUP(B90,'BS lương'!$B$2:$M$181,11,0),0)</f>
        <v>0</v>
      </c>
      <c r="AW90" s="170"/>
      <c r="AX90" s="170">
        <f t="shared" si="50"/>
        <v>13157991</v>
      </c>
    </row>
    <row r="91" spans="1:50" ht="12" customHeight="1" x14ac:dyDescent="0.3">
      <c r="A91" s="205">
        <f t="shared" si="41"/>
        <v>68</v>
      </c>
      <c r="B91" s="171" t="s">
        <v>409</v>
      </c>
      <c r="C91" s="171" t="s">
        <v>410</v>
      </c>
      <c r="D91" s="171" t="s">
        <v>238</v>
      </c>
      <c r="E91" s="172"/>
      <c r="F91" s="172">
        <v>1.85</v>
      </c>
      <c r="G91" s="209">
        <f>VLOOKUP(B91,'Bảng lương tính trên HTfast'!$B$13:$H$194,6,0)</f>
        <v>20</v>
      </c>
      <c r="H91" s="170">
        <f>VLOOKUP(B91,'Bảng lương tính trên HTfast'!$B$13:$H$194,7,0)</f>
        <v>7323000</v>
      </c>
      <c r="I91" s="173">
        <f>IFERROR(VLOOKUP(B91,'Luong vitri'!$C$6:$O$179,10,0),0)</f>
        <v>0</v>
      </c>
      <c r="J91" s="174">
        <f>VLOOKUP(B91,'Bảng lương tính trên HTfast'!$B$13:$I$194,8,0)</f>
        <v>1.1299999999999999</v>
      </c>
      <c r="K91" s="173">
        <f>IFERROR(VLOOKUP(B91,'Luong vitri'!$C$6:$O$201,12,0),0)</f>
        <v>0.45</v>
      </c>
      <c r="L91" s="170">
        <f t="shared" si="42"/>
        <v>3295350</v>
      </c>
      <c r="M91" s="170">
        <f t="shared" si="43"/>
        <v>988605</v>
      </c>
      <c r="N91" s="170">
        <f t="shared" si="44"/>
        <v>9263595</v>
      </c>
      <c r="O91" s="170">
        <f>IFERROR(VLOOKUP(B91,'Bảng lương tính trên HTfast'!$B$13:$O$194,12,0),0)</f>
        <v>0</v>
      </c>
      <c r="P91" s="170">
        <f>IFERROR(VLOOKUP(B91,'BS lương'!$B$2:$M$188,9,0),0)</f>
        <v>956983</v>
      </c>
      <c r="Q91" s="170">
        <f>IFERROR(VLOOKUP(B91,'BS lương'!$B$2:$M$188,10,0),0)</f>
        <v>665728</v>
      </c>
      <c r="R91" s="170">
        <f t="shared" si="45"/>
        <v>10886306</v>
      </c>
      <c r="S91" s="170">
        <f>IFERROR(VLOOKUP(B91,'Bảng lương tính trên HTfast'!$B$13:$U$194,16,0),0)</f>
        <v>768915</v>
      </c>
      <c r="T91" s="170"/>
      <c r="U91" s="170"/>
      <c r="V91" s="170"/>
      <c r="W91" s="170">
        <f>IFERROR(VLOOKUP(B91,'Bảng lương tính trên HTfast'!$B$13:$U$193,20,0),0)</f>
        <v>9000000</v>
      </c>
      <c r="X91" s="170"/>
      <c r="Y91" s="170"/>
      <c r="Z91" s="170"/>
      <c r="AA91" s="170">
        <f t="shared" si="46"/>
        <v>451663</v>
      </c>
      <c r="AB91" s="170"/>
      <c r="AC91" s="170"/>
      <c r="AD91" s="170"/>
      <c r="AE91" s="170"/>
      <c r="AF91" s="170"/>
      <c r="AG91" s="170"/>
      <c r="AH91" s="170"/>
      <c r="AI91" s="170"/>
      <c r="AJ91" s="170"/>
      <c r="AK91" s="170"/>
      <c r="AL91" s="170"/>
      <c r="AM91" s="170"/>
      <c r="AN91" s="170"/>
      <c r="AO91" s="170"/>
      <c r="AP91" s="170">
        <f t="shared" si="47"/>
        <v>22583</v>
      </c>
      <c r="AQ91" s="170"/>
      <c r="AR91" s="170">
        <f t="shared" si="48"/>
        <v>10094808</v>
      </c>
      <c r="AS91" s="170"/>
      <c r="AT91" s="170"/>
      <c r="AU91" s="170">
        <f t="shared" si="49"/>
        <v>100948</v>
      </c>
      <c r="AV91" s="170">
        <f>IFERROR(VLOOKUP(B91,'BS lương'!$B$2:$M$181,11,0),0)</f>
        <v>0</v>
      </c>
      <c r="AW91" s="170"/>
      <c r="AX91" s="170">
        <f t="shared" si="50"/>
        <v>9993860</v>
      </c>
    </row>
    <row r="92" spans="1:50" ht="12" customHeight="1" x14ac:dyDescent="0.3">
      <c r="A92" s="205">
        <f t="shared" si="41"/>
        <v>69</v>
      </c>
      <c r="B92" s="171" t="s">
        <v>328</v>
      </c>
      <c r="C92" s="171" t="s">
        <v>329</v>
      </c>
      <c r="D92" s="171" t="s">
        <v>66</v>
      </c>
      <c r="E92" s="172"/>
      <c r="F92" s="172">
        <v>1.85</v>
      </c>
      <c r="G92" s="209">
        <f>VLOOKUP(B92,'Bảng lương tính trên HTfast'!$B$13:$H$194,6,0)</f>
        <v>20</v>
      </c>
      <c r="H92" s="170">
        <f>VLOOKUP(B92,'Bảng lương tính trên HTfast'!$B$13:$H$194,7,0)</f>
        <v>7323000</v>
      </c>
      <c r="I92" s="173">
        <f>IFERROR(VLOOKUP(B92,'Luong vitri'!$C$6:$O$179,10,0),0)</f>
        <v>0</v>
      </c>
      <c r="J92" s="174">
        <f>VLOOKUP(B92,'Bảng lương tính trên HTfast'!$B$13:$I$194,8,0)</f>
        <v>1</v>
      </c>
      <c r="K92" s="173">
        <f>IFERROR(VLOOKUP(B92,'Luong vitri'!$C$6:$O$201,12,0),0)</f>
        <v>0.45</v>
      </c>
      <c r="L92" s="170">
        <f t="shared" si="42"/>
        <v>3295350</v>
      </c>
      <c r="M92" s="170">
        <f t="shared" si="43"/>
        <v>988605</v>
      </c>
      <c r="N92" s="170">
        <f t="shared" si="44"/>
        <v>8311605</v>
      </c>
      <c r="O92" s="170">
        <f>IFERROR(VLOOKUP(B92,'Bảng lương tính trên HTfast'!$B$13:$O$194,12,0),0)</f>
        <v>730000</v>
      </c>
      <c r="P92" s="170">
        <f>IFERROR(VLOOKUP(B92,'BS lương'!$B$2:$M$188,9,0),0)</f>
        <v>370370</v>
      </c>
      <c r="Q92" s="170">
        <f>IFERROR(VLOOKUP(B92,'BS lương'!$B$2:$M$188,10,0),0)</f>
        <v>0</v>
      </c>
      <c r="R92" s="170">
        <f t="shared" si="45"/>
        <v>9411975</v>
      </c>
      <c r="S92" s="170">
        <f>IFERROR(VLOOKUP(B92,'Bảng lương tính trên HTfast'!$B$13:$U$194,16,0),0)</f>
        <v>768915</v>
      </c>
      <c r="T92" s="170"/>
      <c r="U92" s="170"/>
      <c r="V92" s="170"/>
      <c r="W92" s="170">
        <f>IFERROR(VLOOKUP(B92,'Bảng lương tính trên HTfast'!$B$13:$U$190,20,0),0)</f>
        <v>9000000</v>
      </c>
      <c r="X92" s="170"/>
      <c r="Y92" s="170"/>
      <c r="Z92" s="170"/>
      <c r="AA92" s="170">
        <f t="shared" si="46"/>
        <v>0</v>
      </c>
      <c r="AB92" s="170"/>
      <c r="AC92" s="170"/>
      <c r="AD92" s="170"/>
      <c r="AE92" s="170"/>
      <c r="AF92" s="170"/>
      <c r="AG92" s="170"/>
      <c r="AH92" s="170"/>
      <c r="AI92" s="170"/>
      <c r="AJ92" s="170"/>
      <c r="AK92" s="170"/>
      <c r="AL92" s="170"/>
      <c r="AM92" s="170"/>
      <c r="AN92" s="170"/>
      <c r="AO92" s="170"/>
      <c r="AP92" s="170">
        <f t="shared" si="47"/>
        <v>0</v>
      </c>
      <c r="AQ92" s="170"/>
      <c r="AR92" s="170">
        <f t="shared" si="48"/>
        <v>8643060</v>
      </c>
      <c r="AS92" s="170"/>
      <c r="AT92" s="170"/>
      <c r="AU92" s="170">
        <f t="shared" si="49"/>
        <v>86431</v>
      </c>
      <c r="AV92" s="170">
        <f>IFERROR(VLOOKUP(B92,'BS lương'!$B$2:$M$181,11,0),0)</f>
        <v>0</v>
      </c>
      <c r="AW92" s="170"/>
      <c r="AX92" s="170">
        <f t="shared" si="50"/>
        <v>8556629</v>
      </c>
    </row>
    <row r="93" spans="1:50" ht="12" customHeight="1" x14ac:dyDescent="0.3">
      <c r="A93" s="205">
        <f t="shared" si="41"/>
        <v>70</v>
      </c>
      <c r="B93" s="171" t="s">
        <v>307</v>
      </c>
      <c r="C93" s="171" t="s">
        <v>308</v>
      </c>
      <c r="D93" s="171" t="s">
        <v>66</v>
      </c>
      <c r="E93" s="172"/>
      <c r="F93" s="172">
        <v>1.85</v>
      </c>
      <c r="G93" s="209">
        <f>VLOOKUP(B93,'Bảng lương tính trên HTfast'!$B$13:$H$194,6,0)</f>
        <v>20</v>
      </c>
      <c r="H93" s="170">
        <f>VLOOKUP(B93,'Bảng lương tính trên HTfast'!$B$13:$H$194,7,0)</f>
        <v>7323000</v>
      </c>
      <c r="I93" s="173">
        <f>IFERROR(VLOOKUP(B93,'Luong vitri'!$C$6:$O$179,10,0),0)</f>
        <v>0</v>
      </c>
      <c r="J93" s="174">
        <f>VLOOKUP(B93,'Bảng lương tính trên HTfast'!$B$13:$I$194,8,0)</f>
        <v>1</v>
      </c>
      <c r="K93" s="173">
        <f>IFERROR(VLOOKUP(B93,'Luong vitri'!$C$6:$O$201,12,0),0)</f>
        <v>0.45</v>
      </c>
      <c r="L93" s="170">
        <f t="shared" si="42"/>
        <v>3295350</v>
      </c>
      <c r="M93" s="170">
        <f t="shared" si="43"/>
        <v>988605</v>
      </c>
      <c r="N93" s="170">
        <f t="shared" si="44"/>
        <v>8311605</v>
      </c>
      <c r="O93" s="170">
        <f>IFERROR(VLOOKUP(B93,'Bảng lương tính trên HTfast'!$B$13:$O$194,12,0),0)</f>
        <v>730000</v>
      </c>
      <c r="P93" s="170">
        <f>IFERROR(VLOOKUP(B93,'BS lương'!$B$2:$M$188,9,0),0)</f>
        <v>370370</v>
      </c>
      <c r="Q93" s="170">
        <f>IFERROR(VLOOKUP(B93,'BS lương'!$B$2:$M$188,10,0),0)</f>
        <v>0</v>
      </c>
      <c r="R93" s="170">
        <f t="shared" si="45"/>
        <v>9411975</v>
      </c>
      <c r="S93" s="170">
        <f>IFERROR(VLOOKUP(B93,'Bảng lương tính trên HTfast'!$B$13:$U$194,16,0),0)</f>
        <v>768915</v>
      </c>
      <c r="T93" s="170"/>
      <c r="U93" s="170"/>
      <c r="V93" s="170"/>
      <c r="W93" s="170">
        <f>IFERROR(VLOOKUP(B93,'Bảng lương tính trên HTfast'!$B$13:$U$190,20,0),0)</f>
        <v>9000000</v>
      </c>
      <c r="X93" s="170"/>
      <c r="Y93" s="170"/>
      <c r="Z93" s="170"/>
      <c r="AA93" s="170">
        <f t="shared" si="46"/>
        <v>0</v>
      </c>
      <c r="AB93" s="170"/>
      <c r="AC93" s="170"/>
      <c r="AD93" s="170"/>
      <c r="AE93" s="170"/>
      <c r="AF93" s="170"/>
      <c r="AG93" s="170"/>
      <c r="AH93" s="170"/>
      <c r="AI93" s="170"/>
      <c r="AJ93" s="170"/>
      <c r="AK93" s="170"/>
      <c r="AL93" s="170"/>
      <c r="AM93" s="170"/>
      <c r="AN93" s="170"/>
      <c r="AO93" s="170"/>
      <c r="AP93" s="170">
        <f t="shared" si="47"/>
        <v>0</v>
      </c>
      <c r="AQ93" s="170"/>
      <c r="AR93" s="170">
        <f t="shared" si="48"/>
        <v>8643060</v>
      </c>
      <c r="AS93" s="170"/>
      <c r="AT93" s="170"/>
      <c r="AU93" s="170">
        <f t="shared" si="49"/>
        <v>86431</v>
      </c>
      <c r="AV93" s="170">
        <f>IFERROR(VLOOKUP(B93,'BS lương'!$B$2:$M$181,11,0),0)</f>
        <v>0</v>
      </c>
      <c r="AW93" s="170"/>
      <c r="AX93" s="170">
        <f t="shared" si="50"/>
        <v>8556629</v>
      </c>
    </row>
    <row r="94" spans="1:50" ht="12" customHeight="1" x14ac:dyDescent="0.3">
      <c r="A94" s="205">
        <f t="shared" si="41"/>
        <v>71</v>
      </c>
      <c r="B94" s="171" t="s">
        <v>274</v>
      </c>
      <c r="C94" s="171" t="s">
        <v>275</v>
      </c>
      <c r="D94" s="171" t="s">
        <v>66</v>
      </c>
      <c r="E94" s="172"/>
      <c r="F94" s="172">
        <v>6.25</v>
      </c>
      <c r="G94" s="209">
        <f>VLOOKUP(B94,'Bảng lương tính trên HTfast'!$B$13:$H$194,6,0)</f>
        <v>20</v>
      </c>
      <c r="H94" s="170">
        <f>VLOOKUP(B94,'Bảng lương tính trên HTfast'!$B$13:$H$194,7,0)</f>
        <v>7323000</v>
      </c>
      <c r="I94" s="173">
        <f>IFERROR(VLOOKUP(B94,'Luong vitri'!$C$6:$O$179,10,0),0)</f>
        <v>0</v>
      </c>
      <c r="J94" s="174">
        <f>VLOOKUP(B94,'Bảng lương tính trên HTfast'!$B$13:$I$194,8,0)</f>
        <v>1</v>
      </c>
      <c r="K94" s="173">
        <f>IFERROR(VLOOKUP(B94,'Luong vitri'!$C$6:$O$201,12,0),0)</f>
        <v>0.45</v>
      </c>
      <c r="L94" s="170">
        <f t="shared" si="42"/>
        <v>3295350</v>
      </c>
      <c r="M94" s="170">
        <f t="shared" si="43"/>
        <v>988605</v>
      </c>
      <c r="N94" s="170">
        <f t="shared" si="44"/>
        <v>8311605</v>
      </c>
      <c r="O94" s="170">
        <f>IFERROR(VLOOKUP(B94,'Bảng lương tính trên HTfast'!$B$13:$O$194,12,0),0)</f>
        <v>0</v>
      </c>
      <c r="P94" s="170">
        <f>IFERROR(VLOOKUP(B94,'BS lương'!$B$2:$M$188,9,0),0)</f>
        <v>5555548</v>
      </c>
      <c r="Q94" s="170">
        <f>IFERROR(VLOOKUP(B94,'BS lương'!$B$2:$M$188,10,0),0)</f>
        <v>0</v>
      </c>
      <c r="R94" s="170">
        <f t="shared" si="45"/>
        <v>13867153</v>
      </c>
      <c r="S94" s="170">
        <f>IFERROR(VLOOKUP(B94,'Bảng lương tính trên HTfast'!$B$13:$U$194,16,0),0)</f>
        <v>768915</v>
      </c>
      <c r="T94" s="170"/>
      <c r="U94" s="170"/>
      <c r="V94" s="170"/>
      <c r="W94" s="170">
        <f>IFERROR(VLOOKUP(B94,'Bảng lương tính trên HTfast'!$B$13:$U$190,20,0),0)</f>
        <v>9000000</v>
      </c>
      <c r="X94" s="170"/>
      <c r="Y94" s="170"/>
      <c r="Z94" s="170"/>
      <c r="AA94" s="170">
        <f t="shared" si="46"/>
        <v>4098238</v>
      </c>
      <c r="AB94" s="170"/>
      <c r="AC94" s="170"/>
      <c r="AD94" s="170"/>
      <c r="AE94" s="170"/>
      <c r="AF94" s="170"/>
      <c r="AG94" s="170"/>
      <c r="AH94" s="170"/>
      <c r="AI94" s="170"/>
      <c r="AJ94" s="170"/>
      <c r="AK94" s="170"/>
      <c r="AL94" s="170"/>
      <c r="AM94" s="170"/>
      <c r="AN94" s="170"/>
      <c r="AO94" s="170"/>
      <c r="AP94" s="170">
        <f t="shared" si="47"/>
        <v>204912</v>
      </c>
      <c r="AQ94" s="170"/>
      <c r="AR94" s="170">
        <f t="shared" si="48"/>
        <v>12893326</v>
      </c>
      <c r="AS94" s="170"/>
      <c r="AT94" s="170"/>
      <c r="AU94" s="170">
        <f t="shared" si="49"/>
        <v>128933</v>
      </c>
      <c r="AV94" s="170">
        <f>IFERROR(VLOOKUP(B94,'BS lương'!$B$2:$M$181,11,0),0)</f>
        <v>0</v>
      </c>
      <c r="AW94" s="170"/>
      <c r="AX94" s="170">
        <f t="shared" si="50"/>
        <v>12764393</v>
      </c>
    </row>
    <row r="95" spans="1:50" ht="12" customHeight="1" x14ac:dyDescent="0.3">
      <c r="A95" s="205">
        <f t="shared" si="41"/>
        <v>72</v>
      </c>
      <c r="B95" s="171" t="s">
        <v>127</v>
      </c>
      <c r="C95" s="171" t="s">
        <v>128</v>
      </c>
      <c r="D95" s="171" t="s">
        <v>66</v>
      </c>
      <c r="E95" s="172"/>
      <c r="F95" s="172">
        <v>14.62</v>
      </c>
      <c r="G95" s="209">
        <f>VLOOKUP(B95,'Bảng lương tính trên HTfast'!$B$13:$H$194,6,0)</f>
        <v>0</v>
      </c>
      <c r="H95" s="170">
        <f>VLOOKUP(B95,'Bảng lương tính trên HTfast'!$B$13:$H$194,7,0)</f>
        <v>0</v>
      </c>
      <c r="I95" s="173">
        <f>IFERROR(VLOOKUP(B95,'Luong vitri'!$C$6:$O$179,10,0),0)</f>
        <v>0</v>
      </c>
      <c r="J95" s="174">
        <f>VLOOKUP(B95,'Bảng lương tính trên HTfast'!$B$13:$I$194,8,0)</f>
        <v>1.1299999999999999</v>
      </c>
      <c r="K95" s="173">
        <f>IFERROR(VLOOKUP(B95,'Luong vitri'!$C$6:$O$201,12,0),0)</f>
        <v>0.35</v>
      </c>
      <c r="L95" s="170">
        <f t="shared" si="42"/>
        <v>0</v>
      </c>
      <c r="M95" s="170">
        <f t="shared" si="43"/>
        <v>0</v>
      </c>
      <c r="N95" s="170">
        <f t="shared" si="44"/>
        <v>0</v>
      </c>
      <c r="O95" s="170">
        <f>IFERROR(VLOOKUP(B95,'Bảng lương tính trên HTfast'!$B$13:$O$194,12,0),0)</f>
        <v>0</v>
      </c>
      <c r="P95" s="170">
        <f>IFERROR(VLOOKUP(B95,'BS lương'!$B$2:$M$188,9,0),0)</f>
        <v>0</v>
      </c>
      <c r="Q95" s="170">
        <f>IFERROR(VLOOKUP(B95,'BS lương'!$B$2:$M$188,10,0),0)</f>
        <v>0</v>
      </c>
      <c r="R95" s="170">
        <f t="shared" si="45"/>
        <v>0</v>
      </c>
      <c r="S95" s="170">
        <f>IFERROR(VLOOKUP(B95,'Bảng lương tính trên HTfast'!$B$13:$U$194,16,0),0)</f>
        <v>0</v>
      </c>
      <c r="T95" s="170"/>
      <c r="U95" s="170"/>
      <c r="V95" s="170"/>
      <c r="W95" s="170">
        <f>IFERROR(VLOOKUP(B95,'Bảng lương tính trên HTfast'!$B$13:$U$190,20,0),0)</f>
        <v>9000000</v>
      </c>
      <c r="X95" s="170"/>
      <c r="Y95" s="170"/>
      <c r="Z95" s="170"/>
      <c r="AA95" s="170">
        <f t="shared" si="46"/>
        <v>0</v>
      </c>
      <c r="AB95" s="170"/>
      <c r="AC95" s="170"/>
      <c r="AD95" s="170"/>
      <c r="AE95" s="170"/>
      <c r="AF95" s="170"/>
      <c r="AG95" s="170"/>
      <c r="AH95" s="170"/>
      <c r="AI95" s="170"/>
      <c r="AJ95" s="170"/>
      <c r="AK95" s="170"/>
      <c r="AL95" s="170"/>
      <c r="AM95" s="170"/>
      <c r="AN95" s="170"/>
      <c r="AO95" s="170"/>
      <c r="AP95" s="170">
        <f t="shared" si="47"/>
        <v>0</v>
      </c>
      <c r="AQ95" s="170"/>
      <c r="AR95" s="170">
        <f t="shared" si="48"/>
        <v>0</v>
      </c>
      <c r="AS95" s="170"/>
      <c r="AT95" s="170"/>
      <c r="AU95" s="170">
        <f t="shared" si="49"/>
        <v>0</v>
      </c>
      <c r="AV95" s="170">
        <f>IFERROR(VLOOKUP(B95,'BS lương'!$B$2:$M$181,11,0),0)</f>
        <v>0</v>
      </c>
      <c r="AW95" s="170"/>
      <c r="AX95" s="170">
        <f t="shared" si="50"/>
        <v>0</v>
      </c>
    </row>
    <row r="96" spans="1:50" ht="12" customHeight="1" x14ac:dyDescent="0.3">
      <c r="A96" s="205">
        <f t="shared" si="41"/>
        <v>73</v>
      </c>
      <c r="B96" s="171" t="s">
        <v>172</v>
      </c>
      <c r="C96" s="171" t="s">
        <v>173</v>
      </c>
      <c r="D96" s="171" t="s">
        <v>66</v>
      </c>
      <c r="E96" s="172"/>
      <c r="F96" s="172">
        <v>28.86</v>
      </c>
      <c r="G96" s="209">
        <f>VLOOKUP(B96,'Bảng lương tính trên HTfast'!$B$13:$H$194,6,0)</f>
        <v>0</v>
      </c>
      <c r="H96" s="170">
        <f>VLOOKUP(B96,'Bảng lương tính trên HTfast'!$B$13:$H$194,7,0)</f>
        <v>0</v>
      </c>
      <c r="I96" s="173">
        <f>IFERROR(VLOOKUP(B96,'Luong vitri'!$C$6:$O$179,10,0),0)</f>
        <v>0</v>
      </c>
      <c r="J96" s="174">
        <f>VLOOKUP(B96,'Bảng lương tính trên HTfast'!$B$13:$I$194,8,0)</f>
        <v>1.1299999999999999</v>
      </c>
      <c r="K96" s="173">
        <f>IFERROR(VLOOKUP(B96,'Luong vitri'!$C$6:$O$201,12,0),0)</f>
        <v>0.35</v>
      </c>
      <c r="L96" s="170">
        <f t="shared" si="42"/>
        <v>0</v>
      </c>
      <c r="M96" s="170">
        <f t="shared" si="43"/>
        <v>0</v>
      </c>
      <c r="N96" s="170">
        <f t="shared" si="44"/>
        <v>0</v>
      </c>
      <c r="O96" s="170">
        <f>IFERROR(VLOOKUP(B96,'Bảng lương tính trên HTfast'!$B$13:$O$194,12,0),0)</f>
        <v>0</v>
      </c>
      <c r="P96" s="170">
        <f>IFERROR(VLOOKUP(B96,'BS lương'!$B$2:$M$188,9,0),0)</f>
        <v>0</v>
      </c>
      <c r="Q96" s="170">
        <f>IFERROR(VLOOKUP(B96,'BS lương'!$B$2:$M$188,10,0),0)</f>
        <v>0</v>
      </c>
      <c r="R96" s="170">
        <f t="shared" si="45"/>
        <v>0</v>
      </c>
      <c r="S96" s="170">
        <f>IFERROR(VLOOKUP(B96,'Bảng lương tính trên HTfast'!$B$13:$U$194,16,0),0)</f>
        <v>0</v>
      </c>
      <c r="T96" s="170"/>
      <c r="U96" s="170"/>
      <c r="V96" s="170"/>
      <c r="W96" s="170">
        <f>IFERROR(VLOOKUP(B96,'Bảng lương tính trên HTfast'!$B$13:$U$190,20,0),0)</f>
        <v>9000000</v>
      </c>
      <c r="X96" s="170"/>
      <c r="Y96" s="170"/>
      <c r="Z96" s="170"/>
      <c r="AA96" s="170">
        <f t="shared" si="46"/>
        <v>0</v>
      </c>
      <c r="AB96" s="170"/>
      <c r="AC96" s="170"/>
      <c r="AD96" s="170"/>
      <c r="AE96" s="170"/>
      <c r="AF96" s="170"/>
      <c r="AG96" s="170"/>
      <c r="AH96" s="170"/>
      <c r="AI96" s="170"/>
      <c r="AJ96" s="170"/>
      <c r="AK96" s="170"/>
      <c r="AL96" s="170"/>
      <c r="AM96" s="170"/>
      <c r="AN96" s="170"/>
      <c r="AO96" s="170"/>
      <c r="AP96" s="170">
        <f t="shared" si="47"/>
        <v>0</v>
      </c>
      <c r="AQ96" s="170"/>
      <c r="AR96" s="170">
        <f t="shared" si="48"/>
        <v>0</v>
      </c>
      <c r="AS96" s="170"/>
      <c r="AT96" s="170"/>
      <c r="AU96" s="170">
        <f t="shared" si="49"/>
        <v>0</v>
      </c>
      <c r="AV96" s="170">
        <f>IFERROR(VLOOKUP(B96,'BS lương'!$B$2:$M$181,11,0),0)</f>
        <v>0</v>
      </c>
      <c r="AW96" s="170"/>
      <c r="AX96" s="170">
        <f t="shared" si="50"/>
        <v>0</v>
      </c>
    </row>
    <row r="97" spans="1:51" ht="12" customHeight="1" x14ac:dyDescent="0.3">
      <c r="A97" s="205">
        <f t="shared" si="41"/>
        <v>74</v>
      </c>
      <c r="B97" s="171" t="s">
        <v>341</v>
      </c>
      <c r="C97" s="171" t="s">
        <v>342</v>
      </c>
      <c r="D97" s="171" t="s">
        <v>214</v>
      </c>
      <c r="E97" s="172"/>
      <c r="F97" s="172">
        <v>1.85</v>
      </c>
      <c r="G97" s="209">
        <f>VLOOKUP(B97,'Bảng lương tính trên HTfast'!$B$13:$H$194,6,0)</f>
        <v>20</v>
      </c>
      <c r="H97" s="170">
        <f>VLOOKUP(B97,'Bảng lương tính trên HTfast'!$B$13:$H$194,7,0)</f>
        <v>16238000</v>
      </c>
      <c r="I97" s="173">
        <f>IFERROR(VLOOKUP(B97,'Luong vitri'!$C$6:$O$179,10,0),0)</f>
        <v>0</v>
      </c>
      <c r="J97" s="174">
        <f>VLOOKUP(B97,'Bảng lương tính trên HTfast'!$B$13:$I$194,8,0)</f>
        <v>1</v>
      </c>
      <c r="K97" s="173">
        <f>IFERROR(VLOOKUP(B97,'Luong vitri'!$C$6:$O$201,12,0),0)</f>
        <v>0.55000000000000004</v>
      </c>
      <c r="L97" s="170">
        <f t="shared" si="42"/>
        <v>8930900</v>
      </c>
      <c r="M97" s="170">
        <f t="shared" si="43"/>
        <v>2679270</v>
      </c>
      <c r="N97" s="170">
        <f t="shared" si="44"/>
        <v>18917270</v>
      </c>
      <c r="O97" s="170">
        <f>IFERROR(VLOOKUP(B97,'Bảng lương tính trên HTfast'!$B$13:$O$194,12,0),0)</f>
        <v>730000</v>
      </c>
      <c r="P97" s="170">
        <f>IFERROR(VLOOKUP(B97,'BS lương'!$B$2:$M$188,9,0),0)</f>
        <v>0</v>
      </c>
      <c r="Q97" s="170">
        <f>IFERROR(VLOOKUP(B97,'BS lương'!$B$2:$M$188,10,0),0)</f>
        <v>0</v>
      </c>
      <c r="R97" s="170">
        <f t="shared" si="45"/>
        <v>19647270</v>
      </c>
      <c r="S97" s="170">
        <f>IFERROR(VLOOKUP(B97,'Bảng lương tính trên HTfast'!$B$13:$U$194,16,0),0)</f>
        <v>1704990</v>
      </c>
      <c r="T97" s="170"/>
      <c r="U97" s="170"/>
      <c r="V97" s="170"/>
      <c r="W97" s="170">
        <f>IFERROR(VLOOKUP(B97,'Bảng lương tính trên HTfast'!$B$13:$U$190,20,0),0)</f>
        <v>12600000</v>
      </c>
      <c r="X97" s="170"/>
      <c r="Y97" s="170"/>
      <c r="Z97" s="170"/>
      <c r="AA97" s="170">
        <f t="shared" si="46"/>
        <v>4612280</v>
      </c>
      <c r="AB97" s="170"/>
      <c r="AC97" s="170"/>
      <c r="AD97" s="170"/>
      <c r="AE97" s="170"/>
      <c r="AF97" s="170"/>
      <c r="AG97" s="170"/>
      <c r="AH97" s="170"/>
      <c r="AI97" s="170"/>
      <c r="AJ97" s="170"/>
      <c r="AK97" s="170"/>
      <c r="AL97" s="170"/>
      <c r="AM97" s="170"/>
      <c r="AN97" s="170"/>
      <c r="AO97" s="170"/>
      <c r="AP97" s="170">
        <f t="shared" si="47"/>
        <v>230614</v>
      </c>
      <c r="AQ97" s="170"/>
      <c r="AR97" s="170">
        <f t="shared" si="48"/>
        <v>17711666</v>
      </c>
      <c r="AS97" s="170"/>
      <c r="AT97" s="170"/>
      <c r="AU97" s="170">
        <f t="shared" si="49"/>
        <v>149000</v>
      </c>
      <c r="AV97" s="170">
        <f>IFERROR(VLOOKUP(B97,'BS lương'!$B$2:$M$181,11,0),0)</f>
        <v>0</v>
      </c>
      <c r="AW97" s="170"/>
      <c r="AX97" s="170">
        <f t="shared" si="50"/>
        <v>17562666</v>
      </c>
    </row>
    <row r="98" spans="1:51" ht="12" customHeight="1" x14ac:dyDescent="0.3">
      <c r="A98" s="205">
        <f t="shared" si="41"/>
        <v>75</v>
      </c>
      <c r="B98" s="171" t="s">
        <v>174</v>
      </c>
      <c r="C98" s="171" t="s">
        <v>175</v>
      </c>
      <c r="D98" s="171" t="s">
        <v>66</v>
      </c>
      <c r="E98" s="172"/>
      <c r="F98" s="172">
        <v>1.85</v>
      </c>
      <c r="G98" s="209">
        <f>VLOOKUP(B98,'Bảng lương tính trên HTfast'!$B$13:$H$194,6,0)</f>
        <v>20</v>
      </c>
      <c r="H98" s="170">
        <f>VLOOKUP(B98,'Bảng lương tính trên HTfast'!$B$13:$H$194,7,0)</f>
        <v>7841000</v>
      </c>
      <c r="I98" s="173">
        <f>IFERROR(VLOOKUP(B98,'Luong vitri'!$C$6:$O$179,10,0),0)</f>
        <v>0</v>
      </c>
      <c r="J98" s="174">
        <f>VLOOKUP(B98,'Bảng lương tính trên HTfast'!$B$13:$I$194,8,0)</f>
        <v>1.1299999999999999</v>
      </c>
      <c r="K98" s="173">
        <f>IFERROR(VLOOKUP(B98,'Luong vitri'!$C$6:$O$201,12,0),0)</f>
        <v>0.35</v>
      </c>
      <c r="L98" s="170">
        <f t="shared" si="42"/>
        <v>2744350</v>
      </c>
      <c r="M98" s="170">
        <f t="shared" si="43"/>
        <v>823305</v>
      </c>
      <c r="N98" s="170">
        <f t="shared" si="44"/>
        <v>9683635</v>
      </c>
      <c r="O98" s="170">
        <f>IFERROR(VLOOKUP(B98,'Bảng lương tính trên HTfast'!$B$13:$O$194,12,0),0)</f>
        <v>0</v>
      </c>
      <c r="P98" s="170">
        <f>IFERROR(VLOOKUP(B98,'BS lương'!$B$2:$M$188,9,0),0)</f>
        <v>5000000</v>
      </c>
      <c r="Q98" s="170">
        <f>IFERROR(VLOOKUP(B98,'BS lương'!$B$2:$M$188,10,0),0)</f>
        <v>0</v>
      </c>
      <c r="R98" s="170">
        <f t="shared" si="45"/>
        <v>14683635</v>
      </c>
      <c r="S98" s="170">
        <f>IFERROR(VLOOKUP(B98,'Bảng lương tính trên HTfast'!$B$13:$U$194,16,0),0)</f>
        <v>823305</v>
      </c>
      <c r="T98" s="170"/>
      <c r="U98" s="170"/>
      <c r="V98" s="170"/>
      <c r="W98" s="170">
        <f>IFERROR(VLOOKUP(B98,'Bảng lương tính trên HTfast'!$B$13:$U$190,20,0),0)</f>
        <v>9000000</v>
      </c>
      <c r="X98" s="170"/>
      <c r="Y98" s="170"/>
      <c r="Z98" s="170"/>
      <c r="AA98" s="170">
        <f t="shared" si="46"/>
        <v>4860330</v>
      </c>
      <c r="AB98" s="170"/>
      <c r="AC98" s="170"/>
      <c r="AD98" s="170"/>
      <c r="AE98" s="170"/>
      <c r="AF98" s="170"/>
      <c r="AG98" s="170"/>
      <c r="AH98" s="170"/>
      <c r="AI98" s="170"/>
      <c r="AJ98" s="170"/>
      <c r="AK98" s="170"/>
      <c r="AL98" s="170"/>
      <c r="AM98" s="170"/>
      <c r="AN98" s="170"/>
      <c r="AO98" s="170"/>
      <c r="AP98" s="170">
        <f t="shared" si="47"/>
        <v>243017</v>
      </c>
      <c r="AQ98" s="170"/>
      <c r="AR98" s="170">
        <f t="shared" si="48"/>
        <v>13617313</v>
      </c>
      <c r="AS98" s="170"/>
      <c r="AT98" s="170"/>
      <c r="AU98" s="170">
        <f t="shared" si="49"/>
        <v>136173</v>
      </c>
      <c r="AV98" s="170">
        <f>IFERROR(VLOOKUP(B98,'BS lương'!$B$2:$M$181,11,0),0)</f>
        <v>0</v>
      </c>
      <c r="AW98" s="170"/>
      <c r="AX98" s="170">
        <f t="shared" si="50"/>
        <v>13481140</v>
      </c>
    </row>
    <row r="99" spans="1:51" ht="12" customHeight="1" x14ac:dyDescent="0.3">
      <c r="A99" s="205">
        <f t="shared" si="41"/>
        <v>76</v>
      </c>
      <c r="B99" s="171" t="s">
        <v>241</v>
      </c>
      <c r="C99" s="171" t="s">
        <v>242</v>
      </c>
      <c r="D99" s="171" t="s">
        <v>66</v>
      </c>
      <c r="E99" s="172"/>
      <c r="F99" s="172">
        <v>1.54</v>
      </c>
      <c r="G99" s="209">
        <f>VLOOKUP(B99,'Bảng lương tính trên HTfast'!$B$13:$H$194,6,0)</f>
        <v>20</v>
      </c>
      <c r="H99" s="170">
        <f>VLOOKUP(B99,'Bảng lương tính trên HTfast'!$B$13:$H$194,7,0)</f>
        <v>7323000</v>
      </c>
      <c r="I99" s="173">
        <f>IFERROR(VLOOKUP(B99,'Luong vitri'!$C$6:$O$179,10,0),0)</f>
        <v>0</v>
      </c>
      <c r="J99" s="174">
        <f>VLOOKUP(B99,'Bảng lương tính trên HTfast'!$B$13:$I$194,8,0)</f>
        <v>1</v>
      </c>
      <c r="K99" s="173">
        <f>IFERROR(VLOOKUP(B99,'Luong vitri'!$C$6:$O$201,12,0),0)</f>
        <v>0.45</v>
      </c>
      <c r="L99" s="170">
        <f t="shared" si="42"/>
        <v>3295350</v>
      </c>
      <c r="M99" s="170">
        <f t="shared" si="43"/>
        <v>988605</v>
      </c>
      <c r="N99" s="170">
        <f t="shared" si="44"/>
        <v>8311605</v>
      </c>
      <c r="O99" s="170">
        <f>IFERROR(VLOOKUP(B99,'Bảng lương tính trên HTfast'!$B$13:$O$194,12,0),0)</f>
        <v>730000</v>
      </c>
      <c r="P99" s="170">
        <f>IFERROR(VLOOKUP(B99,'BS lương'!$B$2:$M$188,9,0),0)</f>
        <v>588235</v>
      </c>
      <c r="Q99" s="170">
        <f>IFERROR(VLOOKUP(B99,'BS lương'!$B$2:$M$188,10,0),0)</f>
        <v>0</v>
      </c>
      <c r="R99" s="170">
        <f t="shared" si="45"/>
        <v>9629840</v>
      </c>
      <c r="S99" s="170">
        <f>IFERROR(VLOOKUP(B99,'Bảng lương tính trên HTfast'!$B$13:$U$194,16,0),0)</f>
        <v>768915</v>
      </c>
      <c r="T99" s="170"/>
      <c r="U99" s="170"/>
      <c r="V99" s="170"/>
      <c r="W99" s="170">
        <f>IFERROR(VLOOKUP(B99,'Bảng lương tính trên HTfast'!$B$13:$U$190,20,0),0)</f>
        <v>9000000</v>
      </c>
      <c r="X99" s="170"/>
      <c r="Y99" s="170"/>
      <c r="Z99" s="170"/>
      <c r="AA99" s="170">
        <f t="shared" si="46"/>
        <v>0</v>
      </c>
      <c r="AB99" s="170"/>
      <c r="AC99" s="170"/>
      <c r="AD99" s="170"/>
      <c r="AE99" s="170"/>
      <c r="AF99" s="170"/>
      <c r="AG99" s="170"/>
      <c r="AH99" s="170"/>
      <c r="AI99" s="170"/>
      <c r="AJ99" s="170"/>
      <c r="AK99" s="170"/>
      <c r="AL99" s="170"/>
      <c r="AM99" s="170"/>
      <c r="AN99" s="170"/>
      <c r="AO99" s="170"/>
      <c r="AP99" s="170">
        <f t="shared" si="47"/>
        <v>0</v>
      </c>
      <c r="AQ99" s="170"/>
      <c r="AR99" s="170">
        <f t="shared" si="48"/>
        <v>8860925</v>
      </c>
      <c r="AS99" s="170"/>
      <c r="AT99" s="170"/>
      <c r="AU99" s="170">
        <f t="shared" si="49"/>
        <v>88609</v>
      </c>
      <c r="AV99" s="170">
        <f>IFERROR(VLOOKUP(B99,'BS lương'!$B$2:$M$181,11,0),0)</f>
        <v>0</v>
      </c>
      <c r="AW99" s="170"/>
      <c r="AX99" s="170">
        <f t="shared" si="50"/>
        <v>8772316</v>
      </c>
    </row>
    <row r="100" spans="1:51" ht="12" customHeight="1" x14ac:dyDescent="0.3">
      <c r="A100" s="205">
        <f t="shared" si="41"/>
        <v>77</v>
      </c>
      <c r="B100" s="171" t="s">
        <v>248</v>
      </c>
      <c r="C100" s="171" t="s">
        <v>249</v>
      </c>
      <c r="D100" s="171" t="s">
        <v>214</v>
      </c>
      <c r="E100" s="172"/>
      <c r="F100" s="172">
        <v>1.85</v>
      </c>
      <c r="G100" s="209">
        <f>VLOOKUP(B100,'Bảng lương tính trên HTfast'!$B$13:$H$194,6,0)</f>
        <v>20</v>
      </c>
      <c r="H100" s="170">
        <f>VLOOKUP(B100,'Bảng lương tính trên HTfast'!$B$13:$H$194,7,0)</f>
        <v>16238000</v>
      </c>
      <c r="I100" s="173">
        <f>IFERROR(VLOOKUP(B100,'Luong vitri'!$C$6:$O$179,10,0),0)</f>
        <v>0</v>
      </c>
      <c r="J100" s="174">
        <f>VLOOKUP(B100,'Bảng lương tính trên HTfast'!$B$13:$I$194,8,0)</f>
        <v>1</v>
      </c>
      <c r="K100" s="173">
        <f>IFERROR(VLOOKUP(B100,'Luong vitri'!$C$6:$O$201,12,0),0)</f>
        <v>0.55000000000000004</v>
      </c>
      <c r="L100" s="170">
        <f t="shared" si="42"/>
        <v>8930900</v>
      </c>
      <c r="M100" s="170">
        <f t="shared" si="43"/>
        <v>2679270</v>
      </c>
      <c r="N100" s="170">
        <f t="shared" si="44"/>
        <v>18917270</v>
      </c>
      <c r="O100" s="170">
        <f>IFERROR(VLOOKUP(B100,'Bảng lương tính trên HTfast'!$B$13:$O$194,12,0),0)</f>
        <v>0</v>
      </c>
      <c r="P100" s="170">
        <f>IFERROR(VLOOKUP(B100,'BS lương'!$B$2:$M$188,9,0),0)</f>
        <v>555556</v>
      </c>
      <c r="Q100" s="170">
        <f>IFERROR(VLOOKUP(B100,'BS lương'!$B$2:$M$188,10,0),0)</f>
        <v>0</v>
      </c>
      <c r="R100" s="170">
        <f t="shared" si="45"/>
        <v>19472826</v>
      </c>
      <c r="S100" s="170">
        <f>IFERROR(VLOOKUP(B100,'Bảng lương tính trên HTfast'!$B$13:$U$194,16,0),0)</f>
        <v>1704990</v>
      </c>
      <c r="T100" s="170"/>
      <c r="U100" s="170"/>
      <c r="V100" s="170"/>
      <c r="W100" s="170">
        <f>IFERROR(VLOOKUP(B100,'Bảng lương tính trên HTfast'!$B$13:$U$190,20,0),0)</f>
        <v>16200000</v>
      </c>
      <c r="X100" s="170"/>
      <c r="Y100" s="170"/>
      <c r="Z100" s="170"/>
      <c r="AA100" s="170">
        <f t="shared" si="46"/>
        <v>1567836</v>
      </c>
      <c r="AB100" s="170"/>
      <c r="AC100" s="170"/>
      <c r="AD100" s="170"/>
      <c r="AE100" s="170"/>
      <c r="AF100" s="170"/>
      <c r="AG100" s="170"/>
      <c r="AH100" s="170"/>
      <c r="AI100" s="170"/>
      <c r="AJ100" s="170"/>
      <c r="AK100" s="170"/>
      <c r="AL100" s="170"/>
      <c r="AM100" s="170"/>
      <c r="AN100" s="170"/>
      <c r="AO100" s="170"/>
      <c r="AP100" s="170">
        <f t="shared" si="47"/>
        <v>78392</v>
      </c>
      <c r="AQ100" s="170"/>
      <c r="AR100" s="170">
        <f t="shared" si="48"/>
        <v>17689444</v>
      </c>
      <c r="AS100" s="170"/>
      <c r="AT100" s="170"/>
      <c r="AU100" s="170">
        <f t="shared" si="49"/>
        <v>149000</v>
      </c>
      <c r="AV100" s="170">
        <f>IFERROR(VLOOKUP(B100,'BS lương'!$B$2:$M$181,11,0),0)</f>
        <v>0</v>
      </c>
      <c r="AW100" s="170"/>
      <c r="AX100" s="170">
        <f t="shared" si="50"/>
        <v>17540444</v>
      </c>
    </row>
    <row r="101" spans="1:51" ht="12" customHeight="1" x14ac:dyDescent="0.3">
      <c r="A101" s="205">
        <f t="shared" si="41"/>
        <v>78</v>
      </c>
      <c r="B101" s="171" t="s">
        <v>250</v>
      </c>
      <c r="C101" s="171" t="s">
        <v>251</v>
      </c>
      <c r="D101" s="171" t="s">
        <v>217</v>
      </c>
      <c r="E101" s="172"/>
      <c r="F101" s="172">
        <v>1.85</v>
      </c>
      <c r="G101" s="209">
        <f>VLOOKUP(B101,'Bảng lương tính trên HTfast'!$B$13:$H$194,6,0)</f>
        <v>20</v>
      </c>
      <c r="H101" s="170">
        <f>VLOOKUP(B101,'Bảng lương tính trên HTfast'!$B$13:$H$194,7,0)</f>
        <v>10666000</v>
      </c>
      <c r="I101" s="173">
        <f>IFERROR(VLOOKUP(B101,'Luong vitri'!$C$6:$O$179,10,0),0)</f>
        <v>0</v>
      </c>
      <c r="J101" s="174">
        <f>VLOOKUP(B101,'Bảng lương tính trên HTfast'!$B$13:$I$194,8,0)</f>
        <v>1</v>
      </c>
      <c r="K101" s="173">
        <f>IFERROR(VLOOKUP(B101,'Luong vitri'!$C$6:$O$201,12,0),0)</f>
        <v>0.4</v>
      </c>
      <c r="L101" s="170">
        <f t="shared" si="42"/>
        <v>4266400</v>
      </c>
      <c r="M101" s="170">
        <f t="shared" si="43"/>
        <v>1279920</v>
      </c>
      <c r="N101" s="170">
        <f t="shared" si="44"/>
        <v>11945920</v>
      </c>
      <c r="O101" s="170">
        <f>IFERROR(VLOOKUP(B101,'Bảng lương tính trên HTfast'!$B$13:$O$194,12,0),0)</f>
        <v>0</v>
      </c>
      <c r="P101" s="170">
        <f>IFERROR(VLOOKUP(B101,'BS lương'!$B$2:$M$188,9,0),0)</f>
        <v>555556</v>
      </c>
      <c r="Q101" s="170">
        <f>IFERROR(VLOOKUP(B101,'BS lương'!$B$2:$M$188,10,0),0)</f>
        <v>0</v>
      </c>
      <c r="R101" s="170">
        <f t="shared" si="45"/>
        <v>12501476</v>
      </c>
      <c r="S101" s="170">
        <f>IFERROR(VLOOKUP(B101,'Bảng lương tính trên HTfast'!$B$13:$U$194,16,0),0)</f>
        <v>1119930</v>
      </c>
      <c r="T101" s="170"/>
      <c r="U101" s="170"/>
      <c r="V101" s="170"/>
      <c r="W101" s="170">
        <f>IFERROR(VLOOKUP(B101,'Bảng lương tính trên HTfast'!$B$13:$U$190,20,0),0)</f>
        <v>23400000</v>
      </c>
      <c r="X101" s="170"/>
      <c r="Y101" s="170"/>
      <c r="Z101" s="170"/>
      <c r="AA101" s="170">
        <f t="shared" si="46"/>
        <v>0</v>
      </c>
      <c r="AB101" s="170"/>
      <c r="AC101" s="170"/>
      <c r="AD101" s="170"/>
      <c r="AE101" s="170"/>
      <c r="AF101" s="170"/>
      <c r="AG101" s="170"/>
      <c r="AH101" s="170"/>
      <c r="AI101" s="170"/>
      <c r="AJ101" s="170"/>
      <c r="AK101" s="170"/>
      <c r="AL101" s="170"/>
      <c r="AM101" s="170"/>
      <c r="AN101" s="170"/>
      <c r="AO101" s="170"/>
      <c r="AP101" s="170">
        <f t="shared" si="47"/>
        <v>0</v>
      </c>
      <c r="AQ101" s="170"/>
      <c r="AR101" s="170">
        <f t="shared" si="48"/>
        <v>11381546</v>
      </c>
      <c r="AS101" s="170"/>
      <c r="AT101" s="170"/>
      <c r="AU101" s="170">
        <f t="shared" si="49"/>
        <v>113815</v>
      </c>
      <c r="AV101" s="170">
        <f>IFERROR(VLOOKUP(B101,'BS lương'!$B$2:$M$181,11,0),0)</f>
        <v>0</v>
      </c>
      <c r="AW101" s="170"/>
      <c r="AX101" s="170">
        <f t="shared" si="50"/>
        <v>11267731</v>
      </c>
    </row>
    <row r="102" spans="1:51" ht="12" customHeight="1" x14ac:dyDescent="0.3">
      <c r="A102" s="205">
        <f t="shared" si="41"/>
        <v>79</v>
      </c>
      <c r="B102" s="171" t="s">
        <v>188</v>
      </c>
      <c r="C102" s="171" t="s">
        <v>189</v>
      </c>
      <c r="D102" s="171" t="s">
        <v>66</v>
      </c>
      <c r="E102" s="172"/>
      <c r="F102" s="172">
        <v>1.85</v>
      </c>
      <c r="G102" s="209">
        <f>VLOOKUP(B102,'Bảng lương tính trên HTfast'!$B$13:$H$194,6,0)</f>
        <v>20</v>
      </c>
      <c r="H102" s="170">
        <f>VLOOKUP(B102,'Bảng lương tính trên HTfast'!$B$13:$H$194,7,0)</f>
        <v>12020000</v>
      </c>
      <c r="I102" s="173">
        <f>IFERROR(VLOOKUP(B102,'Luong vitri'!$C$6:$O$179,10,0),0)</f>
        <v>0</v>
      </c>
      <c r="J102" s="174">
        <f>VLOOKUP(B102,'Bảng lương tính trên HTfast'!$B$13:$I$194,8,0)</f>
        <v>1.1299999999999999</v>
      </c>
      <c r="K102" s="173">
        <f>IFERROR(VLOOKUP(B102,'Luong vitri'!$C$6:$O$201,12,0),0)</f>
        <v>0.35</v>
      </c>
      <c r="L102" s="170">
        <f t="shared" si="42"/>
        <v>4207000</v>
      </c>
      <c r="M102" s="170">
        <f t="shared" si="43"/>
        <v>1262100</v>
      </c>
      <c r="N102" s="170">
        <f t="shared" si="44"/>
        <v>14844700</v>
      </c>
      <c r="O102" s="170">
        <f>IFERROR(VLOOKUP(B102,'Bảng lương tính trên HTfast'!$B$13:$O$194,12,0),0)</f>
        <v>0</v>
      </c>
      <c r="P102" s="170">
        <f>IFERROR(VLOOKUP(B102,'BS lương'!$B$2:$M$188,9,0),0)</f>
        <v>0</v>
      </c>
      <c r="Q102" s="170">
        <f>IFERROR(VLOOKUP(B102,'BS lương'!$B$2:$M$188,10,0),0)</f>
        <v>0</v>
      </c>
      <c r="R102" s="170">
        <f t="shared" si="45"/>
        <v>14844700</v>
      </c>
      <c r="S102" s="170">
        <f>IFERROR(VLOOKUP(B102,'Bảng lương tính trên HTfast'!$B$13:$U$194,16,0),0)</f>
        <v>1262100</v>
      </c>
      <c r="T102" s="170"/>
      <c r="U102" s="170"/>
      <c r="V102" s="170"/>
      <c r="W102" s="170">
        <f>IFERROR(VLOOKUP(B102,'Bảng lương tính trên HTfast'!$B$13:$U$190,20,0),0)</f>
        <v>9000000</v>
      </c>
      <c r="X102" s="170"/>
      <c r="Y102" s="170"/>
      <c r="Z102" s="170"/>
      <c r="AA102" s="170">
        <f t="shared" si="46"/>
        <v>4582600</v>
      </c>
      <c r="AB102" s="170"/>
      <c r="AC102" s="170"/>
      <c r="AD102" s="170"/>
      <c r="AE102" s="170"/>
      <c r="AF102" s="170"/>
      <c r="AG102" s="170"/>
      <c r="AH102" s="170"/>
      <c r="AI102" s="170"/>
      <c r="AJ102" s="170"/>
      <c r="AK102" s="170"/>
      <c r="AL102" s="170"/>
      <c r="AM102" s="170"/>
      <c r="AN102" s="170"/>
      <c r="AO102" s="170"/>
      <c r="AP102" s="170">
        <f t="shared" si="47"/>
        <v>229130</v>
      </c>
      <c r="AQ102" s="170"/>
      <c r="AR102" s="170">
        <f t="shared" si="48"/>
        <v>13353470</v>
      </c>
      <c r="AS102" s="170"/>
      <c r="AT102" s="170"/>
      <c r="AU102" s="170">
        <f t="shared" si="49"/>
        <v>133535</v>
      </c>
      <c r="AV102" s="170">
        <f>IFERROR(VLOOKUP(B102,'BS lương'!$B$2:$M$181,11,0),0)</f>
        <v>0</v>
      </c>
      <c r="AW102" s="170"/>
      <c r="AX102" s="170">
        <f t="shared" si="50"/>
        <v>13219935</v>
      </c>
    </row>
    <row r="103" spans="1:51" ht="12" customHeight="1" x14ac:dyDescent="0.3">
      <c r="A103" s="205">
        <f t="shared" si="41"/>
        <v>80</v>
      </c>
      <c r="B103" s="171" t="s">
        <v>367</v>
      </c>
      <c r="C103" s="171" t="s">
        <v>368</v>
      </c>
      <c r="D103" s="171" t="s">
        <v>66</v>
      </c>
      <c r="E103" s="172"/>
      <c r="F103" s="172">
        <v>1.85</v>
      </c>
      <c r="G103" s="209">
        <f>VLOOKUP(B103,'Bảng lương tính trên HTfast'!$B$13:$H$194,6,0)</f>
        <v>20</v>
      </c>
      <c r="H103" s="170">
        <f>VLOOKUP(B103,'Bảng lương tính trên HTfast'!$B$13:$H$194,7,0)</f>
        <v>7323000</v>
      </c>
      <c r="I103" s="173">
        <f>IFERROR(VLOOKUP(B103,'Luong vitri'!$C$6:$O$179,10,0),0)</f>
        <v>0</v>
      </c>
      <c r="J103" s="174">
        <f>VLOOKUP(B103,'Bảng lương tính trên HTfast'!$B$13:$I$194,8,0)</f>
        <v>1</v>
      </c>
      <c r="K103" s="173">
        <f>IFERROR(VLOOKUP(B103,'Luong vitri'!$C$6:$O$201,12,0),0)</f>
        <v>0.45</v>
      </c>
      <c r="L103" s="170">
        <f t="shared" si="42"/>
        <v>3295350</v>
      </c>
      <c r="M103" s="170">
        <f t="shared" si="43"/>
        <v>988605</v>
      </c>
      <c r="N103" s="170">
        <f t="shared" si="44"/>
        <v>8311605</v>
      </c>
      <c r="O103" s="170">
        <f>IFERROR(VLOOKUP(B103,'Bảng lương tính trên HTfast'!$B$13:$O$194,12,0),0)</f>
        <v>730000</v>
      </c>
      <c r="P103" s="170">
        <f>IFERROR(VLOOKUP(B103,'BS lương'!$B$2:$M$188,9,0),0)</f>
        <v>0</v>
      </c>
      <c r="Q103" s="170">
        <f>IFERROR(VLOOKUP(B103,'BS lương'!$B$2:$M$188,10,0),0)</f>
        <v>0</v>
      </c>
      <c r="R103" s="170">
        <f t="shared" si="45"/>
        <v>9041605</v>
      </c>
      <c r="S103" s="170">
        <f>IFERROR(VLOOKUP(B103,'Bảng lương tính trên HTfast'!$B$13:$U$194,16,0),0)</f>
        <v>768915</v>
      </c>
      <c r="T103" s="170"/>
      <c r="U103" s="170"/>
      <c r="V103" s="170"/>
      <c r="W103" s="170">
        <f>IFERROR(VLOOKUP(B103,'Bảng lương tính trên HTfast'!$B$13:$U$190,20,0),0)</f>
        <v>9000000</v>
      </c>
      <c r="X103" s="170"/>
      <c r="Y103" s="170"/>
      <c r="Z103" s="170"/>
      <c r="AA103" s="170">
        <f t="shared" si="46"/>
        <v>0</v>
      </c>
      <c r="AB103" s="170"/>
      <c r="AC103" s="170"/>
      <c r="AD103" s="170"/>
      <c r="AE103" s="170"/>
      <c r="AF103" s="170"/>
      <c r="AG103" s="170"/>
      <c r="AH103" s="170"/>
      <c r="AI103" s="170"/>
      <c r="AJ103" s="170"/>
      <c r="AK103" s="170"/>
      <c r="AL103" s="170"/>
      <c r="AM103" s="170"/>
      <c r="AN103" s="170"/>
      <c r="AO103" s="170"/>
      <c r="AP103" s="170">
        <f t="shared" si="47"/>
        <v>0</v>
      </c>
      <c r="AQ103" s="170"/>
      <c r="AR103" s="170">
        <f t="shared" si="48"/>
        <v>8272690</v>
      </c>
      <c r="AS103" s="170"/>
      <c r="AT103" s="170"/>
      <c r="AU103" s="170">
        <f t="shared" si="49"/>
        <v>82727</v>
      </c>
      <c r="AV103" s="170">
        <f>IFERROR(VLOOKUP(B103,'BS lương'!$B$2:$M$181,11,0),0)</f>
        <v>0</v>
      </c>
      <c r="AW103" s="170"/>
      <c r="AX103" s="170">
        <f t="shared" si="50"/>
        <v>8189963</v>
      </c>
    </row>
    <row r="104" spans="1:51" ht="12" customHeight="1" x14ac:dyDescent="0.3">
      <c r="A104" s="205">
        <f t="shared" si="41"/>
        <v>81</v>
      </c>
      <c r="B104" s="171" t="s">
        <v>215</v>
      </c>
      <c r="C104" s="171" t="s">
        <v>216</v>
      </c>
      <c r="D104" s="171" t="s">
        <v>430</v>
      </c>
      <c r="E104" s="172"/>
      <c r="F104" s="172">
        <v>2.29</v>
      </c>
      <c r="G104" s="209">
        <f>VLOOKUP(B104,'Bảng lương tính trên HTfast'!$B$13:$H$194,6,0)</f>
        <v>20</v>
      </c>
      <c r="H104" s="170">
        <f>VLOOKUP(B104,'Bảng lương tính trên HTfast'!$B$13:$H$194,7,0)</f>
        <v>12020000</v>
      </c>
      <c r="I104" s="173">
        <f>IFERROR(VLOOKUP(B104,'Luong vitri'!$C$6:$O$179,10,0),0)</f>
        <v>0</v>
      </c>
      <c r="J104" s="174">
        <f>VLOOKUP(B104,'Bảng lương tính trên HTfast'!$B$13:$I$194,8,0)</f>
        <v>1</v>
      </c>
      <c r="K104" s="173">
        <f>IFERROR(VLOOKUP(B104,'Luong vitri'!$C$6:$O$201,12,0),0)</f>
        <v>0.5</v>
      </c>
      <c r="L104" s="170">
        <f t="shared" si="42"/>
        <v>6010000</v>
      </c>
      <c r="M104" s="170">
        <f t="shared" si="43"/>
        <v>1803000</v>
      </c>
      <c r="N104" s="170">
        <f t="shared" si="44"/>
        <v>13823000</v>
      </c>
      <c r="O104" s="170">
        <f>IFERROR(VLOOKUP(B104,'Bảng lương tính trên HTfast'!$B$13:$O$194,12,0),0)</f>
        <v>0</v>
      </c>
      <c r="P104" s="170">
        <f>IFERROR(VLOOKUP(B104,'BS lương'!$B$2:$M$188,9,0),0)</f>
        <v>588235</v>
      </c>
      <c r="Q104" s="170">
        <f>IFERROR(VLOOKUP(B104,'BS lương'!$B$2:$M$188,10,0),0)</f>
        <v>0</v>
      </c>
      <c r="R104" s="170">
        <f t="shared" si="45"/>
        <v>14411235</v>
      </c>
      <c r="S104" s="170">
        <f>IFERROR(VLOOKUP(B104,'Bảng lương tính trên HTfast'!$B$13:$U$194,16,0),0)</f>
        <v>1262100</v>
      </c>
      <c r="T104" s="170"/>
      <c r="U104" s="170"/>
      <c r="V104" s="170"/>
      <c r="W104" s="170">
        <f>IFERROR(VLOOKUP(B104,'Bảng lương tính trên HTfast'!$B$13:$U$190,20,0),0)</f>
        <v>19800000</v>
      </c>
      <c r="X104" s="170"/>
      <c r="Y104" s="170"/>
      <c r="Z104" s="170"/>
      <c r="AA104" s="170">
        <f t="shared" si="46"/>
        <v>0</v>
      </c>
      <c r="AB104" s="170"/>
      <c r="AC104" s="170"/>
      <c r="AD104" s="170"/>
      <c r="AE104" s="170"/>
      <c r="AF104" s="170"/>
      <c r="AG104" s="170"/>
      <c r="AH104" s="170"/>
      <c r="AI104" s="170"/>
      <c r="AJ104" s="170"/>
      <c r="AK104" s="170"/>
      <c r="AL104" s="170"/>
      <c r="AM104" s="170"/>
      <c r="AN104" s="170"/>
      <c r="AO104" s="170"/>
      <c r="AP104" s="170">
        <f t="shared" si="47"/>
        <v>0</v>
      </c>
      <c r="AQ104" s="170"/>
      <c r="AR104" s="170">
        <f t="shared" si="48"/>
        <v>13149135</v>
      </c>
      <c r="AS104" s="170"/>
      <c r="AT104" s="170"/>
      <c r="AU104" s="170">
        <f t="shared" si="49"/>
        <v>131491</v>
      </c>
      <c r="AV104" s="170">
        <f>IFERROR(VLOOKUP(B104,'BS lương'!$B$2:$M$181,11,0),0)</f>
        <v>0</v>
      </c>
      <c r="AW104" s="170"/>
      <c r="AX104" s="170">
        <f t="shared" si="50"/>
        <v>13017644</v>
      </c>
    </row>
    <row r="105" spans="1:51" ht="12" customHeight="1" x14ac:dyDescent="0.3">
      <c r="A105" s="205">
        <f t="shared" si="41"/>
        <v>82</v>
      </c>
      <c r="B105" s="171" t="s">
        <v>305</v>
      </c>
      <c r="C105" s="171" t="s">
        <v>306</v>
      </c>
      <c r="D105" s="171" t="s">
        <v>66</v>
      </c>
      <c r="E105" s="172"/>
      <c r="F105" s="172">
        <v>1.85</v>
      </c>
      <c r="G105" s="209">
        <f>VLOOKUP(B105,'Bảng lương tính trên HTfast'!$B$13:$H$194,6,0)</f>
        <v>20</v>
      </c>
      <c r="H105" s="170">
        <f>VLOOKUP(B105,'Bảng lương tính trên HTfast'!$B$13:$H$194,7,0)</f>
        <v>7323000</v>
      </c>
      <c r="I105" s="173">
        <f>IFERROR(VLOOKUP(B105,'Luong vitri'!$C$6:$O$179,10,0),0)</f>
        <v>0</v>
      </c>
      <c r="J105" s="174">
        <f>VLOOKUP(B105,'Bảng lương tính trên HTfast'!$B$13:$I$194,8,0)</f>
        <v>1</v>
      </c>
      <c r="K105" s="173">
        <f>IFERROR(VLOOKUP(B105,'Luong vitri'!$C$6:$O$201,12,0),0)</f>
        <v>0.45</v>
      </c>
      <c r="L105" s="170">
        <f t="shared" si="42"/>
        <v>3295350</v>
      </c>
      <c r="M105" s="170">
        <f t="shared" si="43"/>
        <v>988605</v>
      </c>
      <c r="N105" s="170">
        <f t="shared" si="44"/>
        <v>8311605</v>
      </c>
      <c r="O105" s="170">
        <f>IFERROR(VLOOKUP(B105,'Bảng lương tính trên HTfast'!$B$13:$O$194,12,0),0)</f>
        <v>730000</v>
      </c>
      <c r="P105" s="170">
        <f>IFERROR(VLOOKUP(B105,'BS lương'!$B$2:$M$188,9,0),0)</f>
        <v>370370</v>
      </c>
      <c r="Q105" s="170">
        <f>IFERROR(VLOOKUP(B105,'BS lương'!$B$2:$M$188,10,0),0)</f>
        <v>0</v>
      </c>
      <c r="R105" s="170">
        <f t="shared" si="45"/>
        <v>9411975</v>
      </c>
      <c r="S105" s="170">
        <f>IFERROR(VLOOKUP(B105,'Bảng lương tính trên HTfast'!$B$13:$U$194,16,0),0)</f>
        <v>768915</v>
      </c>
      <c r="T105" s="170"/>
      <c r="U105" s="170"/>
      <c r="V105" s="170"/>
      <c r="W105" s="170">
        <f>IFERROR(VLOOKUP(B105,'Bảng lương tính trên HTfast'!$B$13:$U$190,20,0),0)</f>
        <v>9000000</v>
      </c>
      <c r="X105" s="170"/>
      <c r="Y105" s="170"/>
      <c r="Z105" s="170"/>
      <c r="AA105" s="170">
        <f t="shared" si="46"/>
        <v>0</v>
      </c>
      <c r="AB105" s="170"/>
      <c r="AC105" s="170"/>
      <c r="AD105" s="170"/>
      <c r="AE105" s="170"/>
      <c r="AF105" s="170"/>
      <c r="AG105" s="170"/>
      <c r="AH105" s="170"/>
      <c r="AI105" s="170"/>
      <c r="AJ105" s="170"/>
      <c r="AK105" s="170"/>
      <c r="AL105" s="170"/>
      <c r="AM105" s="170"/>
      <c r="AN105" s="170"/>
      <c r="AO105" s="170"/>
      <c r="AP105" s="170">
        <f t="shared" si="47"/>
        <v>0</v>
      </c>
      <c r="AQ105" s="170"/>
      <c r="AR105" s="170">
        <f t="shared" si="48"/>
        <v>8643060</v>
      </c>
      <c r="AS105" s="170"/>
      <c r="AT105" s="170"/>
      <c r="AU105" s="170">
        <f t="shared" si="49"/>
        <v>86431</v>
      </c>
      <c r="AV105" s="170">
        <f>IFERROR(VLOOKUP(B105,'BS lương'!$B$2:$M$181,11,0),0)</f>
        <v>0</v>
      </c>
      <c r="AW105" s="170"/>
      <c r="AX105" s="170">
        <f t="shared" si="50"/>
        <v>8556629</v>
      </c>
    </row>
    <row r="106" spans="1:51" ht="12" customHeight="1" x14ac:dyDescent="0.3">
      <c r="A106" s="205">
        <f t="shared" si="41"/>
        <v>83</v>
      </c>
      <c r="B106" s="171" t="s">
        <v>177</v>
      </c>
      <c r="C106" s="171" t="s">
        <v>178</v>
      </c>
      <c r="D106" s="171" t="s">
        <v>427</v>
      </c>
      <c r="E106" s="208"/>
      <c r="F106" s="208">
        <v>3.13</v>
      </c>
      <c r="G106" s="209">
        <f>VLOOKUP(B106,'Bảng lương tính trên HTfast'!$B$13:$H$194,6,0)</f>
        <v>20</v>
      </c>
      <c r="H106" s="170">
        <f>VLOOKUP(B106,'Bảng lương tính trên HTfast'!$B$13:$H$194,7,0)</f>
        <v>17631000</v>
      </c>
      <c r="I106" s="173">
        <f>IFERROR(VLOOKUP(B106,'Luong vitri'!$C$6:$O$179,10,0),0)</f>
        <v>0</v>
      </c>
      <c r="J106" s="174">
        <f>VLOOKUP(B106,'Bảng lương tính trên HTfast'!$B$13:$I$194,8,0)</f>
        <v>1.1299999999999999</v>
      </c>
      <c r="K106" s="173">
        <f>IFERROR(VLOOKUP(B106,'Luong vitri'!$C$6:$O$187,12,0),0)</f>
        <v>0.55000000000000004</v>
      </c>
      <c r="L106" s="170">
        <f t="shared" si="42"/>
        <v>9697050</v>
      </c>
      <c r="M106" s="170">
        <f t="shared" si="43"/>
        <v>2909115</v>
      </c>
      <c r="N106" s="170">
        <f t="shared" si="44"/>
        <v>22832145</v>
      </c>
      <c r="O106" s="170">
        <f>IFERROR(VLOOKUP(B106,'Bảng lương tính trên HTfast'!$B$13:$O$194,12,0),0)</f>
        <v>0</v>
      </c>
      <c r="P106" s="170">
        <f>IFERROR(VLOOKUP(B106,'BS lương'!$B$2:$M$188,9,0),0)</f>
        <v>4702994</v>
      </c>
      <c r="Q106" s="170">
        <f>IFERROR(VLOOKUP(B106,'BS lương'!$B$2:$M$188,10,0),0)</f>
        <v>1302290</v>
      </c>
      <c r="R106" s="170">
        <f t="shared" si="45"/>
        <v>28837429</v>
      </c>
      <c r="S106" s="170">
        <f>IFERROR(VLOOKUP(B106,'Bảng lương tính trên HTfast'!$B$13:$U$194,16,0),0)</f>
        <v>1851255</v>
      </c>
      <c r="T106" s="170"/>
      <c r="U106" s="170"/>
      <c r="V106" s="170"/>
      <c r="W106" s="170">
        <f>IFERROR(VLOOKUP(B106,'Bảng lương tính trên HTfast'!$B$13:$U$190,20,0),0)</f>
        <v>16200000</v>
      </c>
      <c r="X106" s="170"/>
      <c r="Y106" s="170"/>
      <c r="Z106" s="170"/>
      <c r="AA106" s="170">
        <f t="shared" si="46"/>
        <v>9483884</v>
      </c>
      <c r="AB106" s="170"/>
      <c r="AC106" s="170"/>
      <c r="AD106" s="170"/>
      <c r="AE106" s="170"/>
      <c r="AF106" s="170"/>
      <c r="AG106" s="170"/>
      <c r="AH106" s="170"/>
      <c r="AI106" s="170"/>
      <c r="AJ106" s="170"/>
      <c r="AK106" s="170"/>
      <c r="AL106" s="170"/>
      <c r="AM106" s="170"/>
      <c r="AN106" s="170"/>
      <c r="AO106" s="170"/>
      <c r="AP106" s="170">
        <f t="shared" si="47"/>
        <v>698388</v>
      </c>
      <c r="AQ106" s="170"/>
      <c r="AR106" s="170">
        <f t="shared" si="48"/>
        <v>26287786</v>
      </c>
      <c r="AS106" s="170"/>
      <c r="AT106" s="170"/>
      <c r="AU106" s="170">
        <f t="shared" si="49"/>
        <v>149000</v>
      </c>
      <c r="AV106" s="170">
        <f>IFERROR(VLOOKUP(B106,'BS lương'!$B$2:$M$181,11,0),0)</f>
        <v>0</v>
      </c>
      <c r="AW106" s="170"/>
      <c r="AX106" s="170">
        <f t="shared" si="50"/>
        <v>26138786</v>
      </c>
      <c r="AY106" s="210"/>
    </row>
    <row r="107" spans="1:51" ht="12" customHeight="1" x14ac:dyDescent="0.3">
      <c r="A107" s="205">
        <f t="shared" si="41"/>
        <v>84</v>
      </c>
      <c r="B107" s="171" t="s">
        <v>807</v>
      </c>
      <c r="C107" s="171" t="s">
        <v>808</v>
      </c>
      <c r="D107" s="171" t="s">
        <v>66</v>
      </c>
      <c r="E107" s="172"/>
      <c r="F107" s="172">
        <v>6.25</v>
      </c>
      <c r="G107" s="209">
        <f>VLOOKUP(B107,'Bảng lương tính trên HTfast'!$B$13:$H$194,6,0)</f>
        <v>20</v>
      </c>
      <c r="H107" s="170">
        <f>VLOOKUP(B107,'Bảng lương tính trên HTfast'!$B$13:$H$194,7,0)</f>
        <v>7323000</v>
      </c>
      <c r="I107" s="173">
        <f>IFERROR(VLOOKUP(B107,'Luong vitri'!$C$6:$O$179,10,0),0)</f>
        <v>0</v>
      </c>
      <c r="J107" s="174">
        <f>VLOOKUP(B107,'Bảng lương tính trên HTfast'!$B$13:$I$194,8,0)</f>
        <v>1.1299999999999999</v>
      </c>
      <c r="K107" s="173">
        <f>IFERROR(VLOOKUP(B107,'Luong vitri'!$C$6:$O$201,12,0),0)</f>
        <v>0.45</v>
      </c>
      <c r="L107" s="170">
        <f t="shared" si="42"/>
        <v>3295350</v>
      </c>
      <c r="M107" s="170">
        <f t="shared" si="43"/>
        <v>988605</v>
      </c>
      <c r="N107" s="170">
        <f t="shared" si="44"/>
        <v>9263595</v>
      </c>
      <c r="O107" s="170">
        <f>IFERROR(VLOOKUP(B107,'Bảng lương tính trên HTfast'!$B$13:$O$194,12,0),0)</f>
        <v>730000</v>
      </c>
      <c r="P107" s="170">
        <f>IFERROR(VLOOKUP(B107,'BS lương'!$B$2:$M$188,9,0),0)</f>
        <v>370370</v>
      </c>
      <c r="Q107" s="170">
        <f>IFERROR(VLOOKUP(B107,'BS lương'!$B$2:$M$188,10,0),0)</f>
        <v>0</v>
      </c>
      <c r="R107" s="170">
        <f t="shared" si="45"/>
        <v>10363965</v>
      </c>
      <c r="S107" s="170">
        <f>IFERROR(VLOOKUP(B107,'Bảng lương tính trên HTfast'!$B$13:$U$194,16,0),0)</f>
        <v>768915</v>
      </c>
      <c r="T107" s="170"/>
      <c r="U107" s="170"/>
      <c r="V107" s="170"/>
      <c r="W107" s="170">
        <f>IFERROR(VLOOKUP(B107,'Bảng lương tính trên HTfast'!$B$13:$U$190,20,0),0)</f>
        <v>9000000</v>
      </c>
      <c r="X107" s="170"/>
      <c r="Y107" s="170"/>
      <c r="Z107" s="170"/>
      <c r="AA107" s="170">
        <f t="shared" si="46"/>
        <v>0</v>
      </c>
      <c r="AB107" s="170"/>
      <c r="AC107" s="170"/>
      <c r="AD107" s="170"/>
      <c r="AE107" s="170"/>
      <c r="AF107" s="170"/>
      <c r="AG107" s="170"/>
      <c r="AH107" s="170"/>
      <c r="AI107" s="170"/>
      <c r="AJ107" s="170"/>
      <c r="AK107" s="170"/>
      <c r="AL107" s="170"/>
      <c r="AM107" s="170"/>
      <c r="AN107" s="170"/>
      <c r="AO107" s="170"/>
      <c r="AP107" s="170">
        <f t="shared" si="47"/>
        <v>0</v>
      </c>
      <c r="AQ107" s="170"/>
      <c r="AR107" s="170">
        <f t="shared" si="48"/>
        <v>9595050</v>
      </c>
      <c r="AS107" s="170"/>
      <c r="AT107" s="170"/>
      <c r="AU107" s="170">
        <f t="shared" si="49"/>
        <v>95951</v>
      </c>
      <c r="AV107" s="170">
        <f>IFERROR(VLOOKUP(B107,'BS lương'!$B$2:$M$181,11,0),0)</f>
        <v>0</v>
      </c>
      <c r="AW107" s="170"/>
      <c r="AX107" s="170">
        <f t="shared" si="50"/>
        <v>9499099</v>
      </c>
    </row>
    <row r="108" spans="1:51" ht="12" customHeight="1" x14ac:dyDescent="0.3">
      <c r="A108" s="205">
        <f t="shared" si="41"/>
        <v>85</v>
      </c>
      <c r="B108" s="171" t="s">
        <v>264</v>
      </c>
      <c r="C108" s="171" t="s">
        <v>265</v>
      </c>
      <c r="D108" s="171" t="s">
        <v>66</v>
      </c>
      <c r="E108" s="172"/>
      <c r="F108" s="172">
        <v>1.85</v>
      </c>
      <c r="G108" s="209">
        <f>VLOOKUP(B108,'Bảng lương tính trên HTfast'!$B$13:$H$194,6,0)</f>
        <v>20</v>
      </c>
      <c r="H108" s="170">
        <f>VLOOKUP(B108,'Bảng lương tính trên HTfast'!$B$13:$H$194,7,0)</f>
        <v>7801000</v>
      </c>
      <c r="I108" s="173">
        <f>IFERROR(VLOOKUP(B108,'Luong vitri'!$C$6:$O$179,10,0),0)</f>
        <v>0.1</v>
      </c>
      <c r="J108" s="174">
        <f>VLOOKUP(B108,'Bảng lương tính trên HTfast'!$B$13:$I$194,8,0)</f>
        <v>1</v>
      </c>
      <c r="K108" s="173">
        <f>IFERROR(VLOOKUP(B108,'Luong vitri'!$C$6:$O$201,12,0),0)</f>
        <v>0.45</v>
      </c>
      <c r="L108" s="170">
        <f t="shared" si="42"/>
        <v>3861495</v>
      </c>
      <c r="M108" s="170">
        <f t="shared" si="43"/>
        <v>1158449</v>
      </c>
      <c r="N108" s="170">
        <f t="shared" si="44"/>
        <v>9739549</v>
      </c>
      <c r="O108" s="170">
        <f>IFERROR(VLOOKUP(B108,'Bảng lương tính trên HTfast'!$B$13:$O$194,12,0),0)</f>
        <v>0</v>
      </c>
      <c r="P108" s="170">
        <f>IFERROR(VLOOKUP(B108,'BS lương'!$B$2:$M$188,9,0),0)</f>
        <v>555556</v>
      </c>
      <c r="Q108" s="170">
        <f>IFERROR(VLOOKUP(B108,'BS lương'!$B$2:$M$188,10,0),0)</f>
        <v>0</v>
      </c>
      <c r="R108" s="170">
        <f t="shared" si="45"/>
        <v>10295105</v>
      </c>
      <c r="S108" s="170">
        <f>IFERROR(VLOOKUP(B108,'Bảng lương tính trên HTfast'!$B$13:$U$194,16,0),0)</f>
        <v>819105</v>
      </c>
      <c r="T108" s="170"/>
      <c r="U108" s="170"/>
      <c r="V108" s="170"/>
      <c r="W108" s="170">
        <f>IFERROR(VLOOKUP(B108,'Bảng lương tính trên HTfast'!$B$13:$U$190,20,0),0)</f>
        <v>9000000</v>
      </c>
      <c r="X108" s="170"/>
      <c r="Y108" s="170"/>
      <c r="Z108" s="170"/>
      <c r="AA108" s="170">
        <f t="shared" si="46"/>
        <v>476000</v>
      </c>
      <c r="AB108" s="170"/>
      <c r="AC108" s="170"/>
      <c r="AD108" s="170"/>
      <c r="AE108" s="170"/>
      <c r="AF108" s="170"/>
      <c r="AG108" s="170"/>
      <c r="AH108" s="170"/>
      <c r="AI108" s="170"/>
      <c r="AJ108" s="170"/>
      <c r="AK108" s="170"/>
      <c r="AL108" s="170"/>
      <c r="AM108" s="170"/>
      <c r="AN108" s="170"/>
      <c r="AO108" s="170"/>
      <c r="AP108" s="170">
        <f t="shared" si="47"/>
        <v>23800</v>
      </c>
      <c r="AQ108" s="170"/>
      <c r="AR108" s="170">
        <f t="shared" si="48"/>
        <v>9452200</v>
      </c>
      <c r="AS108" s="170"/>
      <c r="AT108" s="170"/>
      <c r="AU108" s="170">
        <f t="shared" si="49"/>
        <v>94522</v>
      </c>
      <c r="AV108" s="170">
        <f>IFERROR(VLOOKUP(B108,'BS lương'!$B$2:$M$181,11,0),0)</f>
        <v>0</v>
      </c>
      <c r="AW108" s="170"/>
      <c r="AX108" s="170">
        <f t="shared" si="50"/>
        <v>9357678</v>
      </c>
    </row>
    <row r="109" spans="1:51" ht="12" customHeight="1" x14ac:dyDescent="0.3">
      <c r="A109" s="205">
        <f t="shared" si="41"/>
        <v>86</v>
      </c>
      <c r="B109" s="171" t="s">
        <v>355</v>
      </c>
      <c r="C109" s="171" t="s">
        <v>356</v>
      </c>
      <c r="D109" s="171" t="s">
        <v>66</v>
      </c>
      <c r="E109" s="172"/>
      <c r="F109" s="172">
        <v>1.85</v>
      </c>
      <c r="G109" s="209">
        <f>VLOOKUP(B109,'Bảng lương tính trên HTfast'!$B$13:$H$194,6,0)</f>
        <v>20</v>
      </c>
      <c r="H109" s="170">
        <f>VLOOKUP(B109,'Bảng lương tính trên HTfast'!$B$13:$H$194,7,0)</f>
        <v>7363000</v>
      </c>
      <c r="I109" s="173">
        <f>IFERROR(VLOOKUP(B109,'Luong vitri'!$C$6:$O$179,10,0),0)</f>
        <v>0</v>
      </c>
      <c r="J109" s="174">
        <f>VLOOKUP(B109,'Bảng lương tính trên HTfast'!$B$13:$I$194,8,0)</f>
        <v>1</v>
      </c>
      <c r="K109" s="173">
        <f>IFERROR(VLOOKUP(B109,'Luong vitri'!$C$6:$O$201,12,0),0)</f>
        <v>0.35</v>
      </c>
      <c r="L109" s="170">
        <f t="shared" si="42"/>
        <v>2577050</v>
      </c>
      <c r="M109" s="170">
        <f t="shared" si="43"/>
        <v>773115</v>
      </c>
      <c r="N109" s="170">
        <f t="shared" si="44"/>
        <v>8136115</v>
      </c>
      <c r="O109" s="170">
        <f>IFERROR(VLOOKUP(B109,'Bảng lương tính trên HTfast'!$B$13:$O$194,12,0),0)</f>
        <v>730000</v>
      </c>
      <c r="P109" s="170">
        <f>IFERROR(VLOOKUP(B109,'BS lương'!$B$2:$M$188,9,0),0)</f>
        <v>0</v>
      </c>
      <c r="Q109" s="170">
        <f>IFERROR(VLOOKUP(B109,'BS lương'!$B$2:$M$188,10,0),0)</f>
        <v>0</v>
      </c>
      <c r="R109" s="170">
        <f t="shared" si="45"/>
        <v>8866115</v>
      </c>
      <c r="S109" s="170">
        <f>IFERROR(VLOOKUP(B109,'Bảng lương tính trên HTfast'!$B$13:$U$194,16,0),0)</f>
        <v>773115</v>
      </c>
      <c r="T109" s="170"/>
      <c r="U109" s="170"/>
      <c r="V109" s="170"/>
      <c r="W109" s="170">
        <f>IFERROR(VLOOKUP(B109,'Bảng lương tính trên HTfast'!$B$13:$U$190,20,0),0)</f>
        <v>9000000</v>
      </c>
      <c r="X109" s="170"/>
      <c r="Y109" s="170"/>
      <c r="Z109" s="170"/>
      <c r="AA109" s="170">
        <f t="shared" si="46"/>
        <v>0</v>
      </c>
      <c r="AB109" s="170"/>
      <c r="AC109" s="170"/>
      <c r="AD109" s="170"/>
      <c r="AE109" s="170"/>
      <c r="AF109" s="170"/>
      <c r="AG109" s="170"/>
      <c r="AH109" s="170"/>
      <c r="AI109" s="170"/>
      <c r="AJ109" s="170"/>
      <c r="AK109" s="170"/>
      <c r="AL109" s="170"/>
      <c r="AM109" s="170"/>
      <c r="AN109" s="170"/>
      <c r="AO109" s="170"/>
      <c r="AP109" s="170">
        <f t="shared" si="47"/>
        <v>0</v>
      </c>
      <c r="AQ109" s="170"/>
      <c r="AR109" s="170">
        <f t="shared" si="48"/>
        <v>8093000</v>
      </c>
      <c r="AS109" s="170"/>
      <c r="AT109" s="170"/>
      <c r="AU109" s="170">
        <f t="shared" si="49"/>
        <v>80930</v>
      </c>
      <c r="AV109" s="170">
        <f>IFERROR(VLOOKUP(B109,'BS lương'!$B$2:$M$181,11,0),0)</f>
        <v>0</v>
      </c>
      <c r="AW109" s="170"/>
      <c r="AX109" s="170">
        <f t="shared" si="50"/>
        <v>8012070</v>
      </c>
    </row>
    <row r="110" spans="1:51" ht="12" customHeight="1" x14ac:dyDescent="0.3">
      <c r="A110" s="205">
        <f t="shared" si="41"/>
        <v>87</v>
      </c>
      <c r="B110" s="171" t="s">
        <v>194</v>
      </c>
      <c r="C110" s="171" t="s">
        <v>195</v>
      </c>
      <c r="D110" s="171" t="s">
        <v>66</v>
      </c>
      <c r="E110" s="172"/>
      <c r="F110" s="172">
        <v>1.54</v>
      </c>
      <c r="G110" s="209">
        <f>VLOOKUP(B110,'Bảng lương tính trên HTfast'!$B$13:$H$194,6,0)</f>
        <v>20</v>
      </c>
      <c r="H110" s="170">
        <f>VLOOKUP(B110,'Bảng lương tính trên HTfast'!$B$13:$H$194,7,0)</f>
        <v>7801000</v>
      </c>
      <c r="I110" s="173">
        <f>IFERROR(VLOOKUP(B110,'Luong vitri'!$C$6:$O$179,10,0),0)</f>
        <v>0</v>
      </c>
      <c r="J110" s="174">
        <f>VLOOKUP(B110,'Bảng lương tính trên HTfast'!$B$13:$I$194,8,0)</f>
        <v>1.1299999999999999</v>
      </c>
      <c r="K110" s="173">
        <f>IFERROR(VLOOKUP(B110,'Luong vitri'!$C$6:$O$201,12,0),0)</f>
        <v>0.35</v>
      </c>
      <c r="L110" s="170">
        <f t="shared" si="42"/>
        <v>2730350</v>
      </c>
      <c r="M110" s="170">
        <f t="shared" si="43"/>
        <v>819105</v>
      </c>
      <c r="N110" s="170">
        <f t="shared" si="44"/>
        <v>9634235</v>
      </c>
      <c r="O110" s="170">
        <f>IFERROR(VLOOKUP(B110,'Bảng lương tính trên HTfast'!$B$13:$O$194,12,0),0)</f>
        <v>0</v>
      </c>
      <c r="P110" s="170">
        <f>IFERROR(VLOOKUP(B110,'BS lương'!$B$2:$M$188,9,0),0)</f>
        <v>714286</v>
      </c>
      <c r="Q110" s="170">
        <f>IFERROR(VLOOKUP(B110,'BS lương'!$B$2:$M$188,10,0),0)</f>
        <v>0</v>
      </c>
      <c r="R110" s="170">
        <f t="shared" si="45"/>
        <v>10348521</v>
      </c>
      <c r="S110" s="170">
        <f>IFERROR(VLOOKUP(B110,'Bảng lương tính trên HTfast'!$B$13:$U$194,16,0),0)</f>
        <v>819105</v>
      </c>
      <c r="T110" s="170"/>
      <c r="U110" s="170"/>
      <c r="V110" s="170"/>
      <c r="W110" s="170">
        <f>IFERROR(VLOOKUP(B110,'Bảng lương tính trên HTfast'!$B$13:$U$190,20,0),0)</f>
        <v>9000000</v>
      </c>
      <c r="X110" s="170"/>
      <c r="Y110" s="170"/>
      <c r="Z110" s="170"/>
      <c r="AA110" s="170">
        <f t="shared" si="46"/>
        <v>529416</v>
      </c>
      <c r="AB110" s="170"/>
      <c r="AC110" s="170"/>
      <c r="AD110" s="170"/>
      <c r="AE110" s="170"/>
      <c r="AF110" s="170"/>
      <c r="AG110" s="170"/>
      <c r="AH110" s="170"/>
      <c r="AI110" s="170"/>
      <c r="AJ110" s="170"/>
      <c r="AK110" s="170"/>
      <c r="AL110" s="170"/>
      <c r="AM110" s="170"/>
      <c r="AN110" s="170"/>
      <c r="AO110" s="170"/>
      <c r="AP110" s="170">
        <f t="shared" si="47"/>
        <v>26471</v>
      </c>
      <c r="AQ110" s="170"/>
      <c r="AR110" s="170">
        <f t="shared" si="48"/>
        <v>9502945</v>
      </c>
      <c r="AS110" s="170"/>
      <c r="AT110" s="170"/>
      <c r="AU110" s="170">
        <f t="shared" si="49"/>
        <v>95029</v>
      </c>
      <c r="AV110" s="170">
        <f>IFERROR(VLOOKUP(B110,'BS lương'!$B$2:$M$181,11,0),0)</f>
        <v>0</v>
      </c>
      <c r="AW110" s="170"/>
      <c r="AX110" s="170">
        <f t="shared" si="50"/>
        <v>9407916</v>
      </c>
    </row>
    <row r="111" spans="1:51" ht="12" customHeight="1" x14ac:dyDescent="0.3">
      <c r="A111" s="205">
        <f t="shared" si="41"/>
        <v>88</v>
      </c>
      <c r="B111" s="171" t="s">
        <v>192</v>
      </c>
      <c r="C111" s="171" t="s">
        <v>193</v>
      </c>
      <c r="D111" s="171" t="s">
        <v>66</v>
      </c>
      <c r="E111" s="172"/>
      <c r="F111" s="172">
        <v>1.85</v>
      </c>
      <c r="G111" s="209">
        <f>VLOOKUP(B111,'Bảng lương tính trên HTfast'!$B$13:$H$194,6,0)</f>
        <v>20</v>
      </c>
      <c r="H111" s="170">
        <f>VLOOKUP(B111,'Bảng lương tính trên HTfast'!$B$13:$H$194,7,0)</f>
        <v>7841000</v>
      </c>
      <c r="I111" s="173">
        <f>IFERROR(VLOOKUP(B111,'Luong vitri'!$C$6:$O$179,10,0),0)</f>
        <v>0</v>
      </c>
      <c r="J111" s="174">
        <f>VLOOKUP(B111,'Bảng lương tính trên HTfast'!$B$13:$I$194,8,0)</f>
        <v>1.1299999999999999</v>
      </c>
      <c r="K111" s="173">
        <f>IFERROR(VLOOKUP(B111,'Luong vitri'!$C$6:$O$201,12,0),0)</f>
        <v>0.35</v>
      </c>
      <c r="L111" s="170">
        <f t="shared" si="42"/>
        <v>2744350</v>
      </c>
      <c r="M111" s="170">
        <f t="shared" si="43"/>
        <v>823305</v>
      </c>
      <c r="N111" s="170">
        <f t="shared" si="44"/>
        <v>9683635</v>
      </c>
      <c r="O111" s="170">
        <f>IFERROR(VLOOKUP(B111,'Bảng lương tính trên HTfast'!$B$13:$O$194,12,0),0)</f>
        <v>0</v>
      </c>
      <c r="P111" s="170">
        <f>IFERROR(VLOOKUP(B111,'BS lương'!$B$2:$M$188,9,0),0)</f>
        <v>714286</v>
      </c>
      <c r="Q111" s="170">
        <f>IFERROR(VLOOKUP(B111,'BS lương'!$B$2:$M$188,10,0),0)</f>
        <v>0</v>
      </c>
      <c r="R111" s="170">
        <f t="shared" si="45"/>
        <v>10397921</v>
      </c>
      <c r="S111" s="170">
        <f>IFERROR(VLOOKUP(B111,'Bảng lương tính trên HTfast'!$B$13:$U$194,16,0),0)</f>
        <v>823305</v>
      </c>
      <c r="T111" s="170"/>
      <c r="U111" s="170"/>
      <c r="V111" s="170"/>
      <c r="W111" s="170">
        <f>IFERROR(VLOOKUP(B111,'Bảng lương tính trên HTfast'!$B$13:$U$190,20,0),0)</f>
        <v>9000000</v>
      </c>
      <c r="X111" s="170"/>
      <c r="Y111" s="170"/>
      <c r="Z111" s="170"/>
      <c r="AA111" s="170">
        <f t="shared" si="46"/>
        <v>574616</v>
      </c>
      <c r="AB111" s="170"/>
      <c r="AC111" s="170"/>
      <c r="AD111" s="170"/>
      <c r="AE111" s="170"/>
      <c r="AF111" s="170"/>
      <c r="AG111" s="170"/>
      <c r="AH111" s="170"/>
      <c r="AI111" s="170"/>
      <c r="AJ111" s="170"/>
      <c r="AK111" s="170"/>
      <c r="AL111" s="170"/>
      <c r="AM111" s="170"/>
      <c r="AN111" s="170"/>
      <c r="AO111" s="170"/>
      <c r="AP111" s="170">
        <f t="shared" si="47"/>
        <v>28731</v>
      </c>
      <c r="AQ111" s="170"/>
      <c r="AR111" s="170">
        <f t="shared" si="48"/>
        <v>9545885</v>
      </c>
      <c r="AS111" s="170"/>
      <c r="AT111" s="170"/>
      <c r="AU111" s="170">
        <f t="shared" si="49"/>
        <v>95459</v>
      </c>
      <c r="AV111" s="170">
        <f>IFERROR(VLOOKUP(B111,'BS lương'!$B$2:$M$181,11,0),0)</f>
        <v>0</v>
      </c>
      <c r="AW111" s="170"/>
      <c r="AX111" s="170">
        <f t="shared" si="50"/>
        <v>9450426</v>
      </c>
    </row>
    <row r="112" spans="1:51" ht="12" customHeight="1" x14ac:dyDescent="0.3">
      <c r="A112" s="205">
        <f t="shared" si="41"/>
        <v>89</v>
      </c>
      <c r="B112" s="171" t="s">
        <v>82</v>
      </c>
      <c r="C112" s="171" t="s">
        <v>83</v>
      </c>
      <c r="D112" s="171" t="s">
        <v>61</v>
      </c>
      <c r="E112" s="172"/>
      <c r="F112" s="172">
        <v>1.85</v>
      </c>
      <c r="G112" s="209">
        <f>VLOOKUP(B112,'Bảng lương tính trên HTfast'!$B$13:$H$194,6,0)</f>
        <v>20</v>
      </c>
      <c r="H112" s="170">
        <f>VLOOKUP(B112,'Bảng lương tính trên HTfast'!$B$13:$H$194,7,0)</f>
        <v>12020000</v>
      </c>
      <c r="I112" s="173">
        <f>IFERROR(VLOOKUP(B112,'Luong vitri'!$C$6:$O$179,10,0),0)</f>
        <v>0</v>
      </c>
      <c r="J112" s="174">
        <f>VLOOKUP(B112,'Bảng lương tính trên HTfast'!$B$13:$I$194,8,0)</f>
        <v>1.1299999999999999</v>
      </c>
      <c r="K112" s="173">
        <f>IFERROR(VLOOKUP(B112,'Luong vitri'!$C$6:$O$201,12,0),0)</f>
        <v>0.4</v>
      </c>
      <c r="L112" s="170">
        <f t="shared" si="42"/>
        <v>4808000</v>
      </c>
      <c r="M112" s="170">
        <f t="shared" si="43"/>
        <v>1442400</v>
      </c>
      <c r="N112" s="170">
        <f t="shared" si="44"/>
        <v>15025000</v>
      </c>
      <c r="O112" s="170">
        <f>IFERROR(VLOOKUP(B112,'Bảng lương tính trên HTfast'!$B$13:$O$194,12,0),0)</f>
        <v>0</v>
      </c>
      <c r="P112" s="170">
        <f>IFERROR(VLOOKUP(B112,'BS lương'!$B$2:$M$188,9,0),0)</f>
        <v>2229318</v>
      </c>
      <c r="Q112" s="170">
        <f>IFERROR(VLOOKUP(B112,'BS lương'!$B$2:$M$188,10,0),0)</f>
        <v>819546</v>
      </c>
      <c r="R112" s="170">
        <f t="shared" si="45"/>
        <v>18073864</v>
      </c>
      <c r="S112" s="170">
        <f>IFERROR(VLOOKUP(B112,'Bảng lương tính trên HTfast'!$B$13:$U$194,16,0),0)</f>
        <v>1262100</v>
      </c>
      <c r="T112" s="170"/>
      <c r="U112" s="170"/>
      <c r="V112" s="170"/>
      <c r="W112" s="170">
        <f>IFERROR(VLOOKUP(B112,'Bảng lương tính trên HTfast'!$B$13:$U$190,20,0),0)</f>
        <v>16200000</v>
      </c>
      <c r="X112" s="170"/>
      <c r="Y112" s="170"/>
      <c r="Z112" s="170"/>
      <c r="AA112" s="170">
        <f t="shared" si="46"/>
        <v>0</v>
      </c>
      <c r="AB112" s="170"/>
      <c r="AC112" s="170"/>
      <c r="AD112" s="170"/>
      <c r="AE112" s="170"/>
      <c r="AF112" s="170"/>
      <c r="AG112" s="170"/>
      <c r="AH112" s="170"/>
      <c r="AI112" s="170"/>
      <c r="AJ112" s="170"/>
      <c r="AK112" s="170"/>
      <c r="AL112" s="170"/>
      <c r="AM112" s="170"/>
      <c r="AN112" s="170"/>
      <c r="AO112" s="170"/>
      <c r="AP112" s="170">
        <f t="shared" si="47"/>
        <v>0</v>
      </c>
      <c r="AQ112" s="170"/>
      <c r="AR112" s="170">
        <f t="shared" si="48"/>
        <v>16811764</v>
      </c>
      <c r="AS112" s="170"/>
      <c r="AT112" s="170"/>
      <c r="AU112" s="170">
        <f t="shared" si="49"/>
        <v>149000</v>
      </c>
      <c r="AV112" s="170">
        <f>IFERROR(VLOOKUP(B112,'BS lương'!$B$2:$M$181,11,0),0)</f>
        <v>0</v>
      </c>
      <c r="AW112" s="170"/>
      <c r="AX112" s="170">
        <f t="shared" si="50"/>
        <v>16662764</v>
      </c>
    </row>
    <row r="113" spans="1:50" ht="12" customHeight="1" x14ac:dyDescent="0.3">
      <c r="A113" s="205">
        <f t="shared" si="41"/>
        <v>90</v>
      </c>
      <c r="B113" s="171" t="s">
        <v>272</v>
      </c>
      <c r="C113" s="171" t="s">
        <v>273</v>
      </c>
      <c r="D113" s="171" t="s">
        <v>66</v>
      </c>
      <c r="E113" s="172"/>
      <c r="F113" s="172">
        <v>1.85</v>
      </c>
      <c r="G113" s="209">
        <f>VLOOKUP(B113,'Bảng lương tính trên HTfast'!$B$13:$H$194,6,0)</f>
        <v>20</v>
      </c>
      <c r="H113" s="170">
        <f>VLOOKUP(B113,'Bảng lương tính trên HTfast'!$B$13:$H$194,7,0)</f>
        <v>7323000</v>
      </c>
      <c r="I113" s="173">
        <f>IFERROR(VLOOKUP(B113,'Luong vitri'!$C$6:$O$179,10,0),0)</f>
        <v>0</v>
      </c>
      <c r="J113" s="174">
        <f>VLOOKUP(B113,'Bảng lương tính trên HTfast'!$B$13:$I$194,8,0)</f>
        <v>1</v>
      </c>
      <c r="K113" s="173">
        <f>IFERROR(VLOOKUP(B113,'Luong vitri'!$C$6:$O$201,12,0),0)</f>
        <v>0.45</v>
      </c>
      <c r="L113" s="170">
        <f t="shared" si="42"/>
        <v>3295350</v>
      </c>
      <c r="M113" s="170">
        <f t="shared" si="43"/>
        <v>988605</v>
      </c>
      <c r="N113" s="170">
        <f t="shared" si="44"/>
        <v>8311605</v>
      </c>
      <c r="O113" s="170">
        <f>IFERROR(VLOOKUP(B113,'Bảng lương tính trên HTfast'!$B$13:$O$194,12,0),0)</f>
        <v>0</v>
      </c>
      <c r="P113" s="170">
        <f>IFERROR(VLOOKUP(B113,'BS lương'!$B$2:$M$188,9,0),0)</f>
        <v>555556</v>
      </c>
      <c r="Q113" s="170">
        <f>IFERROR(VLOOKUP(B113,'BS lương'!$B$2:$M$188,10,0),0)</f>
        <v>0</v>
      </c>
      <c r="R113" s="170">
        <f t="shared" si="45"/>
        <v>8867161</v>
      </c>
      <c r="S113" s="170">
        <f>IFERROR(VLOOKUP(B113,'Bảng lương tính trên HTfast'!$B$13:$U$194,16,0),0)</f>
        <v>768915</v>
      </c>
      <c r="T113" s="170"/>
      <c r="U113" s="170"/>
      <c r="V113" s="170"/>
      <c r="W113" s="170">
        <f>IFERROR(VLOOKUP(B113,'Bảng lương tính trên HTfast'!$B$13:$U$190,20,0),0)</f>
        <v>9000000</v>
      </c>
      <c r="X113" s="170"/>
      <c r="Y113" s="170"/>
      <c r="Z113" s="170"/>
      <c r="AA113" s="170">
        <f t="shared" si="46"/>
        <v>0</v>
      </c>
      <c r="AB113" s="170"/>
      <c r="AC113" s="170"/>
      <c r="AD113" s="170"/>
      <c r="AE113" s="170"/>
      <c r="AF113" s="170"/>
      <c r="AG113" s="170"/>
      <c r="AH113" s="170"/>
      <c r="AI113" s="170"/>
      <c r="AJ113" s="170"/>
      <c r="AK113" s="170"/>
      <c r="AL113" s="170"/>
      <c r="AM113" s="170"/>
      <c r="AN113" s="170"/>
      <c r="AO113" s="170"/>
      <c r="AP113" s="170">
        <f t="shared" si="47"/>
        <v>0</v>
      </c>
      <c r="AQ113" s="170"/>
      <c r="AR113" s="170">
        <f t="shared" si="48"/>
        <v>8098246</v>
      </c>
      <c r="AS113" s="170"/>
      <c r="AT113" s="170"/>
      <c r="AU113" s="170">
        <f t="shared" si="49"/>
        <v>80982</v>
      </c>
      <c r="AV113" s="170">
        <f>IFERROR(VLOOKUP(B113,'BS lương'!$B$2:$M$181,11,0),0)</f>
        <v>0</v>
      </c>
      <c r="AW113" s="170"/>
      <c r="AX113" s="170">
        <f t="shared" si="50"/>
        <v>8017264</v>
      </c>
    </row>
    <row r="114" spans="1:50" ht="12" customHeight="1" x14ac:dyDescent="0.3">
      <c r="A114" s="205">
        <f t="shared" si="41"/>
        <v>91</v>
      </c>
      <c r="B114" s="171" t="s">
        <v>324</v>
      </c>
      <c r="C114" s="171" t="s">
        <v>325</v>
      </c>
      <c r="D114" s="171" t="s">
        <v>66</v>
      </c>
      <c r="E114" s="172"/>
      <c r="F114" s="172">
        <v>1.85</v>
      </c>
      <c r="G114" s="209">
        <f>VLOOKUP(B114,'Bảng lương tính trên HTfast'!$B$13:$H$194,6,0)</f>
        <v>20</v>
      </c>
      <c r="H114" s="170">
        <f>VLOOKUP(B114,'Bảng lương tính trên HTfast'!$B$13:$H$194,7,0)</f>
        <v>7323000</v>
      </c>
      <c r="I114" s="173">
        <f>IFERROR(VLOOKUP(B114,'Luong vitri'!$C$6:$O$179,10,0),0)</f>
        <v>0</v>
      </c>
      <c r="J114" s="174">
        <f>VLOOKUP(B114,'Bảng lương tính trên HTfast'!$B$13:$I$194,8,0)</f>
        <v>1</v>
      </c>
      <c r="K114" s="173">
        <f>IFERROR(VLOOKUP(B114,'Luong vitri'!$C$6:$O$201,12,0),0)</f>
        <v>0.45</v>
      </c>
      <c r="L114" s="170">
        <f t="shared" si="42"/>
        <v>3295350</v>
      </c>
      <c r="M114" s="170">
        <f t="shared" si="43"/>
        <v>988605</v>
      </c>
      <c r="N114" s="170">
        <f t="shared" si="44"/>
        <v>8311605</v>
      </c>
      <c r="O114" s="170">
        <f>IFERROR(VLOOKUP(B114,'Bảng lương tính trên HTfast'!$B$13:$O$194,12,0),0)</f>
        <v>730000</v>
      </c>
      <c r="P114" s="170">
        <f>IFERROR(VLOOKUP(B114,'BS lương'!$B$2:$M$188,9,0),0)</f>
        <v>370370</v>
      </c>
      <c r="Q114" s="170">
        <f>IFERROR(VLOOKUP(B114,'BS lương'!$B$2:$M$188,10,0),0)</f>
        <v>0</v>
      </c>
      <c r="R114" s="170">
        <f t="shared" si="45"/>
        <v>9411975</v>
      </c>
      <c r="S114" s="170">
        <f>IFERROR(VLOOKUP(B114,'Bảng lương tính trên HTfast'!$B$13:$U$194,16,0),0)</f>
        <v>768915</v>
      </c>
      <c r="T114" s="170"/>
      <c r="U114" s="170"/>
      <c r="V114" s="170"/>
      <c r="W114" s="170">
        <f>IFERROR(VLOOKUP(B114,'Bảng lương tính trên HTfast'!$B$13:$U$190,20,0),0)</f>
        <v>9000000</v>
      </c>
      <c r="X114" s="170"/>
      <c r="Y114" s="170"/>
      <c r="Z114" s="170"/>
      <c r="AA114" s="170">
        <f t="shared" si="46"/>
        <v>0</v>
      </c>
      <c r="AB114" s="170"/>
      <c r="AC114" s="170"/>
      <c r="AD114" s="170"/>
      <c r="AE114" s="170"/>
      <c r="AF114" s="170"/>
      <c r="AG114" s="170"/>
      <c r="AH114" s="170"/>
      <c r="AI114" s="170"/>
      <c r="AJ114" s="170"/>
      <c r="AK114" s="170"/>
      <c r="AL114" s="170"/>
      <c r="AM114" s="170"/>
      <c r="AN114" s="170"/>
      <c r="AO114" s="170"/>
      <c r="AP114" s="170">
        <f t="shared" si="47"/>
        <v>0</v>
      </c>
      <c r="AQ114" s="170"/>
      <c r="AR114" s="170">
        <f t="shared" si="48"/>
        <v>8643060</v>
      </c>
      <c r="AS114" s="170"/>
      <c r="AT114" s="170"/>
      <c r="AU114" s="170">
        <f t="shared" si="49"/>
        <v>86431</v>
      </c>
      <c r="AV114" s="170">
        <f>IFERROR(VLOOKUP(B114,'BS lương'!$B$2:$M$181,11,0),0)</f>
        <v>0</v>
      </c>
      <c r="AW114" s="170"/>
      <c r="AX114" s="170">
        <f t="shared" si="50"/>
        <v>8556629</v>
      </c>
    </row>
    <row r="115" spans="1:50" ht="12" customHeight="1" x14ac:dyDescent="0.3">
      <c r="A115" s="205">
        <f t="shared" si="41"/>
        <v>92</v>
      </c>
      <c r="B115" s="171" t="s">
        <v>92</v>
      </c>
      <c r="C115" s="171" t="s">
        <v>93</v>
      </c>
      <c r="D115" s="171" t="s">
        <v>66</v>
      </c>
      <c r="E115" s="172"/>
      <c r="F115" s="172">
        <v>1.85</v>
      </c>
      <c r="G115" s="209">
        <f>VLOOKUP(B115,'Bảng lương tính trên HTfast'!$B$13:$H$194,6,0)</f>
        <v>20</v>
      </c>
      <c r="H115" s="170">
        <f>VLOOKUP(B115,'Bảng lương tính trên HTfast'!$B$13:$H$194,7,0)</f>
        <v>7841000</v>
      </c>
      <c r="I115" s="173">
        <f>IFERROR(VLOOKUP(B115,'Luong vitri'!$C$6:$O$179,10,0),0)</f>
        <v>0</v>
      </c>
      <c r="J115" s="174">
        <f>VLOOKUP(B115,'Bảng lương tính trên HTfast'!$B$13:$I$194,8,0)</f>
        <v>1.1299999999999999</v>
      </c>
      <c r="K115" s="173">
        <f>IFERROR(VLOOKUP(B115,'Luong vitri'!$C$6:$O$201,12,0),0)</f>
        <v>0.35</v>
      </c>
      <c r="L115" s="170">
        <f t="shared" si="42"/>
        <v>2744350</v>
      </c>
      <c r="M115" s="170">
        <f t="shared" si="43"/>
        <v>823305</v>
      </c>
      <c r="N115" s="170">
        <f t="shared" si="44"/>
        <v>9683635</v>
      </c>
      <c r="O115" s="170">
        <f>IFERROR(VLOOKUP(B115,'Bảng lương tính trên HTfast'!$B$13:$O$194,12,0),0)</f>
        <v>0</v>
      </c>
      <c r="P115" s="170">
        <f>IFERROR(VLOOKUP(B115,'BS lương'!$B$2:$M$188,9,0),0)</f>
        <v>2846472</v>
      </c>
      <c r="Q115" s="170">
        <f>IFERROR(VLOOKUP(B115,'BS lương'!$B$2:$M$188,10,0),0)</f>
        <v>623716</v>
      </c>
      <c r="R115" s="170">
        <f t="shared" si="45"/>
        <v>13153823</v>
      </c>
      <c r="S115" s="170">
        <f>IFERROR(VLOOKUP(B115,'Bảng lương tính trên HTfast'!$B$13:$U$194,16,0),0)</f>
        <v>823305</v>
      </c>
      <c r="T115" s="170"/>
      <c r="U115" s="170"/>
      <c r="V115" s="170"/>
      <c r="W115" s="170">
        <f>IFERROR(VLOOKUP(B115,'Bảng lương tính trên HTfast'!$B$13:$U$190,20,0),0)</f>
        <v>9000000</v>
      </c>
      <c r="X115" s="170"/>
      <c r="Y115" s="170"/>
      <c r="Z115" s="170"/>
      <c r="AA115" s="170">
        <f t="shared" si="46"/>
        <v>2706802</v>
      </c>
      <c r="AB115" s="170"/>
      <c r="AC115" s="170"/>
      <c r="AD115" s="170"/>
      <c r="AE115" s="170"/>
      <c r="AF115" s="170"/>
      <c r="AG115" s="170"/>
      <c r="AH115" s="170"/>
      <c r="AI115" s="170"/>
      <c r="AJ115" s="170"/>
      <c r="AK115" s="170"/>
      <c r="AL115" s="170"/>
      <c r="AM115" s="170"/>
      <c r="AN115" s="170"/>
      <c r="AO115" s="170"/>
      <c r="AP115" s="170">
        <f t="shared" si="47"/>
        <v>135340</v>
      </c>
      <c r="AQ115" s="170"/>
      <c r="AR115" s="170">
        <f t="shared" si="48"/>
        <v>12195178</v>
      </c>
      <c r="AS115" s="170"/>
      <c r="AT115" s="170"/>
      <c r="AU115" s="170">
        <f t="shared" si="49"/>
        <v>121952</v>
      </c>
      <c r="AV115" s="170">
        <f>IFERROR(VLOOKUP(B115,'BS lương'!$B$2:$M$181,11,0),0)</f>
        <v>0</v>
      </c>
      <c r="AW115" s="170"/>
      <c r="AX115" s="170">
        <f t="shared" si="50"/>
        <v>12073226</v>
      </c>
    </row>
    <row r="116" spans="1:50" ht="12" customHeight="1" x14ac:dyDescent="0.3">
      <c r="A116" s="205">
        <f t="shared" si="41"/>
        <v>93</v>
      </c>
      <c r="B116" s="171" t="s">
        <v>351</v>
      </c>
      <c r="C116" s="171" t="s">
        <v>352</v>
      </c>
      <c r="D116" s="171" t="s">
        <v>66</v>
      </c>
      <c r="E116" s="172"/>
      <c r="F116" s="172">
        <v>1.85</v>
      </c>
      <c r="G116" s="209">
        <f>VLOOKUP(B116,'Bảng lương tính trên HTfast'!$B$13:$H$194,6,0)</f>
        <v>20</v>
      </c>
      <c r="H116" s="170">
        <f>VLOOKUP(B116,'Bảng lương tính trên HTfast'!$B$13:$H$194,7,0)</f>
        <v>7323000</v>
      </c>
      <c r="I116" s="173">
        <f>IFERROR(VLOOKUP(B116,'Luong vitri'!$C$6:$O$179,10,0),0)</f>
        <v>0.1</v>
      </c>
      <c r="J116" s="174">
        <f>VLOOKUP(B116,'Bảng lương tính trên HTfast'!$B$13:$I$194,8,0)</f>
        <v>1</v>
      </c>
      <c r="K116" s="173">
        <f>IFERROR(VLOOKUP(B116,'Luong vitri'!$C$6:$O$201,12,0),0)</f>
        <v>0.45</v>
      </c>
      <c r="L116" s="170">
        <f t="shared" si="42"/>
        <v>3624885</v>
      </c>
      <c r="M116" s="170">
        <f t="shared" si="43"/>
        <v>1087466</v>
      </c>
      <c r="N116" s="170">
        <f t="shared" si="44"/>
        <v>9142766</v>
      </c>
      <c r="O116" s="170">
        <f>IFERROR(VLOOKUP(B116,'Bảng lương tính trên HTfast'!$B$13:$O$194,12,0),0)</f>
        <v>730000</v>
      </c>
      <c r="P116" s="170">
        <f>IFERROR(VLOOKUP(B116,'BS lương'!$B$2:$M$188,9,0),0)</f>
        <v>0</v>
      </c>
      <c r="Q116" s="170">
        <f>IFERROR(VLOOKUP(B116,'BS lương'!$B$2:$M$188,10,0),0)</f>
        <v>0</v>
      </c>
      <c r="R116" s="170">
        <f t="shared" si="45"/>
        <v>9872766</v>
      </c>
      <c r="S116" s="170">
        <f>IFERROR(VLOOKUP(B116,'Bảng lương tính trên HTfast'!$B$13:$U$194,16,0),0)</f>
        <v>768915</v>
      </c>
      <c r="T116" s="170"/>
      <c r="U116" s="170"/>
      <c r="V116" s="170"/>
      <c r="W116" s="170">
        <f>IFERROR(VLOOKUP(B116,'Bảng lương tính trên HTfast'!$B$13:$U$190,20,0),0)</f>
        <v>9000000</v>
      </c>
      <c r="X116" s="170"/>
      <c r="Y116" s="170"/>
      <c r="Z116" s="170"/>
      <c r="AA116" s="170">
        <f t="shared" si="46"/>
        <v>0</v>
      </c>
      <c r="AB116" s="170"/>
      <c r="AC116" s="170"/>
      <c r="AD116" s="170"/>
      <c r="AE116" s="170"/>
      <c r="AF116" s="170"/>
      <c r="AG116" s="170"/>
      <c r="AH116" s="170"/>
      <c r="AI116" s="170"/>
      <c r="AJ116" s="170"/>
      <c r="AK116" s="170"/>
      <c r="AL116" s="170"/>
      <c r="AM116" s="170"/>
      <c r="AN116" s="170"/>
      <c r="AO116" s="170"/>
      <c r="AP116" s="170">
        <f t="shared" si="47"/>
        <v>0</v>
      </c>
      <c r="AQ116" s="170"/>
      <c r="AR116" s="170">
        <f t="shared" si="48"/>
        <v>9103851</v>
      </c>
      <c r="AS116" s="170"/>
      <c r="AT116" s="170"/>
      <c r="AU116" s="170">
        <f t="shared" si="49"/>
        <v>91039</v>
      </c>
      <c r="AV116" s="170">
        <f>IFERROR(VLOOKUP(B116,'BS lương'!$B$2:$M$181,11,0),0)</f>
        <v>0</v>
      </c>
      <c r="AW116" s="170"/>
      <c r="AX116" s="170">
        <f t="shared" si="50"/>
        <v>9012812</v>
      </c>
    </row>
    <row r="117" spans="1:50" ht="12" customHeight="1" x14ac:dyDescent="0.3">
      <c r="A117" s="205">
        <f t="shared" si="41"/>
        <v>94</v>
      </c>
      <c r="B117" s="171" t="s">
        <v>266</v>
      </c>
      <c r="C117" s="171" t="s">
        <v>267</v>
      </c>
      <c r="D117" s="171" t="s">
        <v>66</v>
      </c>
      <c r="E117" s="172"/>
      <c r="F117" s="172">
        <v>1.54</v>
      </c>
      <c r="G117" s="209">
        <f>VLOOKUP(B117,'Bảng lương tính trên HTfast'!$B$13:$H$194,6,0)</f>
        <v>20</v>
      </c>
      <c r="H117" s="170">
        <f>VLOOKUP(B117,'Bảng lương tính trên HTfast'!$B$13:$H$194,7,0)</f>
        <v>7323000</v>
      </c>
      <c r="I117" s="173">
        <f>IFERROR(VLOOKUP(B117,'Luong vitri'!$C$6:$O$179,10,0),0)</f>
        <v>0</v>
      </c>
      <c r="J117" s="174">
        <f>VLOOKUP(B117,'Bảng lương tính trên HTfast'!$B$13:$I$194,8,0)</f>
        <v>1</v>
      </c>
      <c r="K117" s="173">
        <f>IFERROR(VLOOKUP(B117,'Luong vitri'!$C$6:$O$201,12,0),0)</f>
        <v>0.45</v>
      </c>
      <c r="L117" s="170">
        <f t="shared" si="42"/>
        <v>3295350</v>
      </c>
      <c r="M117" s="170">
        <f t="shared" si="43"/>
        <v>988605</v>
      </c>
      <c r="N117" s="170">
        <f t="shared" si="44"/>
        <v>8311605</v>
      </c>
      <c r="O117" s="170">
        <f>IFERROR(VLOOKUP(B117,'Bảng lương tính trên HTfast'!$B$13:$O$194,12,0),0)</f>
        <v>0</v>
      </c>
      <c r="P117" s="170">
        <f>IFERROR(VLOOKUP(B117,'BS lương'!$B$2:$M$188,9,0),0)</f>
        <v>555556</v>
      </c>
      <c r="Q117" s="170">
        <f>IFERROR(VLOOKUP(B117,'BS lương'!$B$2:$M$188,10,0),0)</f>
        <v>0</v>
      </c>
      <c r="R117" s="170">
        <f t="shared" si="45"/>
        <v>8867161</v>
      </c>
      <c r="S117" s="170">
        <f>IFERROR(VLOOKUP(B117,'Bảng lương tính trên HTfast'!$B$13:$U$194,16,0),0)</f>
        <v>768915</v>
      </c>
      <c r="T117" s="170"/>
      <c r="U117" s="170"/>
      <c r="V117" s="170"/>
      <c r="W117" s="170">
        <f>IFERROR(VLOOKUP(B117,'Bảng lương tính trên HTfast'!$B$13:$U$190,20,0),0)</f>
        <v>12600000</v>
      </c>
      <c r="X117" s="170"/>
      <c r="Y117" s="170"/>
      <c r="Z117" s="170"/>
      <c r="AA117" s="170">
        <f t="shared" si="46"/>
        <v>0</v>
      </c>
      <c r="AB117" s="170"/>
      <c r="AC117" s="170"/>
      <c r="AD117" s="170"/>
      <c r="AE117" s="170"/>
      <c r="AF117" s="170"/>
      <c r="AG117" s="170"/>
      <c r="AH117" s="170"/>
      <c r="AI117" s="170"/>
      <c r="AJ117" s="170"/>
      <c r="AK117" s="170"/>
      <c r="AL117" s="170"/>
      <c r="AM117" s="170"/>
      <c r="AN117" s="170"/>
      <c r="AO117" s="170"/>
      <c r="AP117" s="170">
        <f t="shared" si="47"/>
        <v>0</v>
      </c>
      <c r="AQ117" s="170"/>
      <c r="AR117" s="170">
        <f t="shared" si="48"/>
        <v>8098246</v>
      </c>
      <c r="AS117" s="170"/>
      <c r="AT117" s="170"/>
      <c r="AU117" s="170">
        <f t="shared" si="49"/>
        <v>80982</v>
      </c>
      <c r="AV117" s="170">
        <f>IFERROR(VLOOKUP(B117,'BS lương'!$B$2:$M$181,11,0),0)</f>
        <v>0</v>
      </c>
      <c r="AW117" s="170"/>
      <c r="AX117" s="170">
        <f t="shared" si="50"/>
        <v>8017264</v>
      </c>
    </row>
    <row r="118" spans="1:50" ht="12" customHeight="1" x14ac:dyDescent="0.3">
      <c r="A118" s="205">
        <f t="shared" si="41"/>
        <v>95</v>
      </c>
      <c r="B118" s="171" t="s">
        <v>140</v>
      </c>
      <c r="C118" s="171" t="s">
        <v>141</v>
      </c>
      <c r="D118" s="171" t="s">
        <v>66</v>
      </c>
      <c r="E118" s="172"/>
      <c r="F118" s="172">
        <v>2.41</v>
      </c>
      <c r="G118" s="209">
        <f>VLOOKUP(B118,'Bảng lương tính trên HTfast'!$B$13:$H$194,6,0)</f>
        <v>20</v>
      </c>
      <c r="H118" s="170">
        <f>VLOOKUP(B118,'Bảng lương tính trên HTfast'!$B$13:$H$194,7,0)</f>
        <v>7363000</v>
      </c>
      <c r="I118" s="173">
        <f>IFERROR(VLOOKUP(B118,'Luong vitri'!$C$6:$O$179,10,0),0)</f>
        <v>0</v>
      </c>
      <c r="J118" s="174">
        <f>VLOOKUP(B118,'Bảng lương tính trên HTfast'!$B$13:$I$194,8,0)</f>
        <v>1.1299999999999999</v>
      </c>
      <c r="K118" s="173">
        <f>IFERROR(VLOOKUP(B118,'Luong vitri'!$C$6:$O$201,12,0),0)</f>
        <v>0.35</v>
      </c>
      <c r="L118" s="170">
        <f t="shared" si="42"/>
        <v>2577050</v>
      </c>
      <c r="M118" s="170">
        <f t="shared" si="43"/>
        <v>773115</v>
      </c>
      <c r="N118" s="170">
        <f t="shared" si="44"/>
        <v>9093305</v>
      </c>
      <c r="O118" s="170">
        <f>IFERROR(VLOOKUP(B118,'Bảng lương tính trên HTfast'!$B$13:$O$194,12,0),0)</f>
        <v>0</v>
      </c>
      <c r="P118" s="170">
        <f>IFERROR(VLOOKUP(B118,'BS lương'!$B$2:$M$188,9,0),0)</f>
        <v>0</v>
      </c>
      <c r="Q118" s="170">
        <f>IFERROR(VLOOKUP(B118,'BS lương'!$B$2:$M$188,10,0),0)</f>
        <v>0</v>
      </c>
      <c r="R118" s="170">
        <f t="shared" si="45"/>
        <v>9093305</v>
      </c>
      <c r="S118" s="170">
        <f>IFERROR(VLOOKUP(B118,'Bảng lương tính trên HTfast'!$B$13:$U$194,16,0),0)</f>
        <v>773115</v>
      </c>
      <c r="T118" s="170"/>
      <c r="U118" s="170"/>
      <c r="V118" s="170"/>
      <c r="W118" s="170">
        <f>IFERROR(VLOOKUP(B118,'Bảng lương tính trên HTfast'!$B$13:$U$190,20,0),0)</f>
        <v>12600000</v>
      </c>
      <c r="X118" s="170"/>
      <c r="Y118" s="170"/>
      <c r="Z118" s="170"/>
      <c r="AA118" s="170">
        <f t="shared" si="46"/>
        <v>0</v>
      </c>
      <c r="AB118" s="170"/>
      <c r="AC118" s="170"/>
      <c r="AD118" s="170"/>
      <c r="AE118" s="170"/>
      <c r="AF118" s="170"/>
      <c r="AG118" s="170"/>
      <c r="AH118" s="170"/>
      <c r="AI118" s="170"/>
      <c r="AJ118" s="170"/>
      <c r="AK118" s="170"/>
      <c r="AL118" s="170"/>
      <c r="AM118" s="170"/>
      <c r="AN118" s="170"/>
      <c r="AO118" s="170"/>
      <c r="AP118" s="170">
        <f t="shared" si="47"/>
        <v>0</v>
      </c>
      <c r="AQ118" s="170"/>
      <c r="AR118" s="170">
        <f t="shared" si="48"/>
        <v>8320190</v>
      </c>
      <c r="AS118" s="170"/>
      <c r="AT118" s="170"/>
      <c r="AU118" s="170">
        <f t="shared" si="49"/>
        <v>83202</v>
      </c>
      <c r="AV118" s="170">
        <f>IFERROR(VLOOKUP(B118,'BS lương'!$B$2:$M$181,11,0),0)</f>
        <v>0</v>
      </c>
      <c r="AW118" s="170"/>
      <c r="AX118" s="170">
        <f t="shared" si="50"/>
        <v>8236988</v>
      </c>
    </row>
    <row r="119" spans="1:50" ht="12" customHeight="1" x14ac:dyDescent="0.3">
      <c r="A119" s="205">
        <f t="shared" si="41"/>
        <v>96</v>
      </c>
      <c r="B119" s="171" t="s">
        <v>330</v>
      </c>
      <c r="C119" s="171" t="s">
        <v>331</v>
      </c>
      <c r="D119" s="171" t="s">
        <v>200</v>
      </c>
      <c r="E119" s="172"/>
      <c r="F119" s="172">
        <v>2.29</v>
      </c>
      <c r="G119" s="209">
        <f>VLOOKUP(B119,'Bảng lương tính trên HTfast'!$B$13:$H$194,6,0)</f>
        <v>20</v>
      </c>
      <c r="H119" s="170">
        <f>VLOOKUP(B119,'Bảng lương tính trên HTfast'!$B$13:$H$194,7,0)</f>
        <v>6567000</v>
      </c>
      <c r="I119" s="173">
        <f>IFERROR(VLOOKUP(B119,'Luong vitri'!$C$6:$O$179,10,0),0)</f>
        <v>0</v>
      </c>
      <c r="J119" s="174">
        <f>VLOOKUP(B119,'Bảng lương tính trên HTfast'!$B$13:$I$194,8,0)</f>
        <v>1</v>
      </c>
      <c r="K119" s="173">
        <f>IFERROR(VLOOKUP(B119,'Luong vitri'!$C$6:$O$201,12,0),0)</f>
        <v>0.35</v>
      </c>
      <c r="L119" s="170">
        <f t="shared" si="42"/>
        <v>2298450</v>
      </c>
      <c r="M119" s="170">
        <f t="shared" si="43"/>
        <v>689535</v>
      </c>
      <c r="N119" s="170">
        <f t="shared" si="44"/>
        <v>7256535</v>
      </c>
      <c r="O119" s="170">
        <f>IFERROR(VLOOKUP(B119,'Bảng lương tính trên HTfast'!$B$13:$O$194,12,0),0)</f>
        <v>0</v>
      </c>
      <c r="P119" s="170">
        <f>IFERROR(VLOOKUP(B119,'BS lương'!$B$2:$M$188,9,0),0)</f>
        <v>370370</v>
      </c>
      <c r="Q119" s="170">
        <f>IFERROR(VLOOKUP(B119,'BS lương'!$B$2:$M$188,10,0),0)</f>
        <v>0</v>
      </c>
      <c r="R119" s="170">
        <f t="shared" si="45"/>
        <v>7626905</v>
      </c>
      <c r="S119" s="170">
        <f>IFERROR(VLOOKUP(B119,'Bảng lương tính trên HTfast'!$B$13:$U$194,16,0),0)</f>
        <v>689535</v>
      </c>
      <c r="T119" s="170"/>
      <c r="U119" s="170"/>
      <c r="V119" s="170"/>
      <c r="W119" s="170">
        <f>IFERROR(VLOOKUP(B119,'Bảng lương tính trên HTfast'!$B$13:$U$190,20,0),0)</f>
        <v>16200000</v>
      </c>
      <c r="X119" s="170"/>
      <c r="Y119" s="170"/>
      <c r="Z119" s="170"/>
      <c r="AA119" s="170">
        <f t="shared" si="46"/>
        <v>0</v>
      </c>
      <c r="AB119" s="170"/>
      <c r="AC119" s="170"/>
      <c r="AD119" s="170"/>
      <c r="AE119" s="170"/>
      <c r="AF119" s="170"/>
      <c r="AG119" s="170"/>
      <c r="AH119" s="170"/>
      <c r="AI119" s="170"/>
      <c r="AJ119" s="170"/>
      <c r="AK119" s="170"/>
      <c r="AL119" s="170"/>
      <c r="AM119" s="170"/>
      <c r="AN119" s="170"/>
      <c r="AO119" s="170"/>
      <c r="AP119" s="170">
        <f t="shared" si="47"/>
        <v>0</v>
      </c>
      <c r="AQ119" s="170"/>
      <c r="AR119" s="170">
        <f t="shared" si="48"/>
        <v>6937370</v>
      </c>
      <c r="AS119" s="170"/>
      <c r="AT119" s="170"/>
      <c r="AU119" s="170">
        <f t="shared" si="49"/>
        <v>69374</v>
      </c>
      <c r="AV119" s="170">
        <f>IFERROR(VLOOKUP(B119,'BS lương'!$B$2:$M$181,11,0),0)</f>
        <v>0</v>
      </c>
      <c r="AW119" s="170"/>
      <c r="AX119" s="170">
        <f t="shared" si="50"/>
        <v>6867996</v>
      </c>
    </row>
    <row r="120" spans="1:50" ht="12" customHeight="1" x14ac:dyDescent="0.3">
      <c r="A120" s="205">
        <f t="shared" ref="A120:A154" si="51">A119+1</f>
        <v>97</v>
      </c>
      <c r="B120" s="171" t="s">
        <v>149</v>
      </c>
      <c r="C120" s="171" t="s">
        <v>150</v>
      </c>
      <c r="D120" s="171" t="s">
        <v>66</v>
      </c>
      <c r="E120" s="172"/>
      <c r="F120" s="172">
        <v>1.85</v>
      </c>
      <c r="G120" s="209">
        <f>VLOOKUP(B120,'Bảng lương tính trên HTfast'!$B$13:$H$194,6,0)</f>
        <v>20</v>
      </c>
      <c r="H120" s="170">
        <f>VLOOKUP(B120,'Bảng lương tính trên HTfast'!$B$13:$H$194,7,0)</f>
        <v>7801000</v>
      </c>
      <c r="I120" s="173">
        <f>IFERROR(VLOOKUP(B120,'Luong vitri'!$C$6:$O$179,10,0),0)</f>
        <v>0</v>
      </c>
      <c r="J120" s="174">
        <f>VLOOKUP(B120,'Bảng lương tính trên HTfast'!$B$13:$I$194,8,0)</f>
        <v>1.1299999999999999</v>
      </c>
      <c r="K120" s="173">
        <f>IFERROR(VLOOKUP(B120,'Luong vitri'!$C$6:$O$201,12,0),0)</f>
        <v>0.35</v>
      </c>
      <c r="L120" s="170">
        <f t="shared" ref="L120:L151" si="52">ROUND((H120+H120*I120)*K120,0)</f>
        <v>2730350</v>
      </c>
      <c r="M120" s="170">
        <f t="shared" ref="M120:M151" si="53">ROUND(L120*0.3,0)</f>
        <v>819105</v>
      </c>
      <c r="N120" s="170">
        <f t="shared" ref="N120:N151" si="54">ROUND((H120+H120*I120)*J120+M120,0)</f>
        <v>9634235</v>
      </c>
      <c r="O120" s="170">
        <f>IFERROR(VLOOKUP(B120,'Bảng lương tính trên HTfast'!$B$13:$O$194,12,0),0)</f>
        <v>0</v>
      </c>
      <c r="P120" s="170">
        <f>IFERROR(VLOOKUP(B120,'BS lương'!$B$2:$M$188,9,0),0)</f>
        <v>3019449</v>
      </c>
      <c r="Q120" s="170">
        <f>IFERROR(VLOOKUP(B120,'BS lương'!$B$2:$M$188,10,0),0)</f>
        <v>709182</v>
      </c>
      <c r="R120" s="170">
        <f t="shared" ref="R120:R151" si="55">N120+O120+P120+Q120</f>
        <v>13362866</v>
      </c>
      <c r="S120" s="170">
        <f>IFERROR(VLOOKUP(B120,'Bảng lương tính trên HTfast'!$B$13:$U$194,16,0),0)</f>
        <v>819105</v>
      </c>
      <c r="T120" s="170"/>
      <c r="U120" s="170"/>
      <c r="V120" s="170"/>
      <c r="W120" s="170">
        <f>IFERROR(VLOOKUP(B120,'Bảng lương tính trên HTfast'!$B$13:$U$190,20,0),0)</f>
        <v>9000000</v>
      </c>
      <c r="X120" s="170"/>
      <c r="Y120" s="170"/>
      <c r="Z120" s="170"/>
      <c r="AA120" s="170">
        <f t="shared" ref="AA120:AA154" si="56">IF((R120-S120-W120-O120-Q120)&gt;0,(R120-S120-W120-O120-Q120),0)</f>
        <v>2834579</v>
      </c>
      <c r="AB120" s="170"/>
      <c r="AC120" s="170"/>
      <c r="AD120" s="170"/>
      <c r="AE120" s="170"/>
      <c r="AF120" s="170"/>
      <c r="AG120" s="170"/>
      <c r="AH120" s="170"/>
      <c r="AI120" s="170"/>
      <c r="AJ120" s="170"/>
      <c r="AK120" s="170"/>
      <c r="AL120" s="170"/>
      <c r="AM120" s="170"/>
      <c r="AN120" s="170"/>
      <c r="AO120" s="170"/>
      <c r="AP120" s="170">
        <f t="shared" ref="AP120:AP154" si="57">ROUND(IF(AA120&lt;5000000,AA120*0.05,IF(AA120&lt;10000000,250000+(AA120-5000000)*0.1,IF(AA120&lt;18000000,750000+(AA120-10000000)*0.15,IF(AA120&lt;32000000,1950000+(AA120-18000000)*0.2,IF(AA120&lt;52000000,4750000+(AA120-32000000)*0.25,IF(AA120&lt;80000000,9750000+(AA120-52000000)*0.3,IF(AA120&gt;80000000,18150000+(AA120-80000000)*0.35,0))))))),0)</f>
        <v>141729</v>
      </c>
      <c r="AQ120" s="170"/>
      <c r="AR120" s="170">
        <f t="shared" ref="AR120:AR154" si="58">R120-S120-AP120</f>
        <v>12402032</v>
      </c>
      <c r="AS120" s="170"/>
      <c r="AT120" s="170"/>
      <c r="AU120" s="170">
        <f t="shared" ref="AU120:AU154" si="59">IF(G120&gt;0,IF(AR120*1%&gt;149000,149000,ROUND(AR120*1%,0)),0)</f>
        <v>124020</v>
      </c>
      <c r="AV120" s="170">
        <f>IFERROR(VLOOKUP(B120,'BS lương'!$B$2:$M$181,11,0),0)</f>
        <v>0</v>
      </c>
      <c r="AW120" s="170"/>
      <c r="AX120" s="170">
        <f t="shared" ref="AX120:AX151" si="60">AR120-AU120-AV120-AW120</f>
        <v>12278012</v>
      </c>
    </row>
    <row r="121" spans="1:50" ht="12" customHeight="1" x14ac:dyDescent="0.3">
      <c r="A121" s="205">
        <f t="shared" si="51"/>
        <v>98</v>
      </c>
      <c r="B121" s="171" t="s">
        <v>239</v>
      </c>
      <c r="C121" s="171" t="s">
        <v>240</v>
      </c>
      <c r="D121" s="171" t="s">
        <v>66</v>
      </c>
      <c r="E121" s="172"/>
      <c r="F121" s="172">
        <v>1.85</v>
      </c>
      <c r="G121" s="209">
        <f>VLOOKUP(B121,'Bảng lương tính trên HTfast'!$B$13:$H$194,6,0)</f>
        <v>20</v>
      </c>
      <c r="H121" s="170">
        <f>VLOOKUP(B121,'Bảng lương tính trên HTfast'!$B$13:$H$194,7,0)</f>
        <v>7323000</v>
      </c>
      <c r="I121" s="173">
        <f>IFERROR(VLOOKUP(B121,'Luong vitri'!$C$6:$O$179,10,0),0)</f>
        <v>0</v>
      </c>
      <c r="J121" s="174">
        <f>VLOOKUP(B121,'Bảng lương tính trên HTfast'!$B$13:$I$194,8,0)</f>
        <v>1</v>
      </c>
      <c r="K121" s="173">
        <f>IFERROR(VLOOKUP(B121,'Luong vitri'!$C$6:$O$201,12,0),0)</f>
        <v>0.45</v>
      </c>
      <c r="L121" s="170">
        <f t="shared" si="52"/>
        <v>3295350</v>
      </c>
      <c r="M121" s="170">
        <f t="shared" si="53"/>
        <v>988605</v>
      </c>
      <c r="N121" s="170">
        <f t="shared" si="54"/>
        <v>8311605</v>
      </c>
      <c r="O121" s="170">
        <f>IFERROR(VLOOKUP(B121,'Bảng lương tính trên HTfast'!$B$13:$O$194,12,0),0)</f>
        <v>0</v>
      </c>
      <c r="P121" s="170">
        <f>IFERROR(VLOOKUP(B121,'BS lương'!$B$2:$M$188,9,0),0)</f>
        <v>588235</v>
      </c>
      <c r="Q121" s="170">
        <f>IFERROR(VLOOKUP(B121,'BS lương'!$B$2:$M$188,10,0),0)</f>
        <v>0</v>
      </c>
      <c r="R121" s="170">
        <f t="shared" si="55"/>
        <v>8899840</v>
      </c>
      <c r="S121" s="170">
        <f>IFERROR(VLOOKUP(B121,'Bảng lương tính trên HTfast'!$B$13:$U$194,16,0),0)</f>
        <v>768915</v>
      </c>
      <c r="T121" s="170"/>
      <c r="U121" s="170"/>
      <c r="V121" s="170"/>
      <c r="W121" s="170">
        <f>IFERROR(VLOOKUP(B121,'Bảng lương tính trên HTfast'!$B$13:$U$190,20,0),0)</f>
        <v>9000000</v>
      </c>
      <c r="X121" s="170"/>
      <c r="Y121" s="170"/>
      <c r="Z121" s="170"/>
      <c r="AA121" s="170">
        <f t="shared" si="56"/>
        <v>0</v>
      </c>
      <c r="AB121" s="170"/>
      <c r="AC121" s="170"/>
      <c r="AD121" s="170"/>
      <c r="AE121" s="170"/>
      <c r="AF121" s="170"/>
      <c r="AG121" s="170"/>
      <c r="AH121" s="170"/>
      <c r="AI121" s="170"/>
      <c r="AJ121" s="170"/>
      <c r="AK121" s="170"/>
      <c r="AL121" s="170"/>
      <c r="AM121" s="170"/>
      <c r="AN121" s="170"/>
      <c r="AO121" s="170"/>
      <c r="AP121" s="170">
        <f t="shared" si="57"/>
        <v>0</v>
      </c>
      <c r="AQ121" s="170"/>
      <c r="AR121" s="170">
        <f t="shared" si="58"/>
        <v>8130925</v>
      </c>
      <c r="AS121" s="170"/>
      <c r="AT121" s="170"/>
      <c r="AU121" s="170">
        <f t="shared" si="59"/>
        <v>81309</v>
      </c>
      <c r="AV121" s="170">
        <f>IFERROR(VLOOKUP(B121,'BS lương'!$B$2:$M$181,11,0),0)</f>
        <v>0</v>
      </c>
      <c r="AW121" s="170"/>
      <c r="AX121" s="170">
        <f t="shared" si="60"/>
        <v>8049616</v>
      </c>
    </row>
    <row r="122" spans="1:50" ht="12" customHeight="1" x14ac:dyDescent="0.3">
      <c r="A122" s="205">
        <f t="shared" si="51"/>
        <v>99</v>
      </c>
      <c r="B122" s="171" t="s">
        <v>59</v>
      </c>
      <c r="C122" s="171" t="s">
        <v>60</v>
      </c>
      <c r="D122" s="171" t="s">
        <v>61</v>
      </c>
      <c r="E122" s="172"/>
      <c r="F122" s="172">
        <v>3.13</v>
      </c>
      <c r="G122" s="209">
        <f>VLOOKUP(B122,'Bảng lương tính trên HTfast'!$B$13:$H$194,6,0)</f>
        <v>20</v>
      </c>
      <c r="H122" s="170">
        <f>VLOOKUP(B122,'Bảng lương tính trên HTfast'!$B$13:$H$194,7,0)</f>
        <v>12020000</v>
      </c>
      <c r="I122" s="173">
        <f>IFERROR(VLOOKUP(B122,'Luong vitri'!$C$6:$O$179,10,0),0)</f>
        <v>0</v>
      </c>
      <c r="J122" s="174">
        <f>VLOOKUP(B122,'Bảng lương tính trên HTfast'!$B$13:$I$194,8,0)</f>
        <v>1.1299999999999999</v>
      </c>
      <c r="K122" s="173">
        <f>IFERROR(VLOOKUP(B122,'Luong vitri'!$C$6:$O$187,12,0),0)</f>
        <v>0.5</v>
      </c>
      <c r="L122" s="170">
        <f t="shared" si="52"/>
        <v>6010000</v>
      </c>
      <c r="M122" s="170">
        <f t="shared" si="53"/>
        <v>1803000</v>
      </c>
      <c r="N122" s="170">
        <f t="shared" si="54"/>
        <v>15385600</v>
      </c>
      <c r="O122" s="170">
        <f>IFERROR(VLOOKUP(B122,'Bảng lương tính trên HTfast'!$B$13:$O$194,12,0),0)</f>
        <v>0</v>
      </c>
      <c r="P122" s="170">
        <f>IFERROR(VLOOKUP(B122,'BS lương'!$B$2:$M$188,9,0),0)</f>
        <v>1682955</v>
      </c>
      <c r="Q122" s="170">
        <f>IFERROR(VLOOKUP(B122,'BS lương'!$B$2:$M$188,10,0),0)</f>
        <v>341477</v>
      </c>
      <c r="R122" s="170">
        <f t="shared" si="55"/>
        <v>17410032</v>
      </c>
      <c r="S122" s="170">
        <f>IFERROR(VLOOKUP(B122,'Bảng lương tính trên HTfast'!$B$13:$U$194,16,0),0)</f>
        <v>1262100</v>
      </c>
      <c r="T122" s="170"/>
      <c r="U122" s="170"/>
      <c r="V122" s="170"/>
      <c r="W122" s="170">
        <f>IFERROR(VLOOKUP(B122,'Bảng lương tính trên HTfast'!$B$13:$U$190,20,0),0)</f>
        <v>16200000</v>
      </c>
      <c r="X122" s="170"/>
      <c r="Y122" s="170"/>
      <c r="Z122" s="170"/>
      <c r="AA122" s="170">
        <f t="shared" si="56"/>
        <v>0</v>
      </c>
      <c r="AB122" s="170"/>
      <c r="AC122" s="170"/>
      <c r="AD122" s="170"/>
      <c r="AE122" s="170"/>
      <c r="AF122" s="170"/>
      <c r="AG122" s="170"/>
      <c r="AH122" s="170"/>
      <c r="AI122" s="170"/>
      <c r="AJ122" s="170"/>
      <c r="AK122" s="170"/>
      <c r="AL122" s="170"/>
      <c r="AM122" s="170"/>
      <c r="AN122" s="170"/>
      <c r="AO122" s="170"/>
      <c r="AP122" s="170">
        <f t="shared" si="57"/>
        <v>0</v>
      </c>
      <c r="AQ122" s="170"/>
      <c r="AR122" s="170">
        <f t="shared" si="58"/>
        <v>16147932</v>
      </c>
      <c r="AS122" s="170"/>
      <c r="AT122" s="170"/>
      <c r="AU122" s="170">
        <f t="shared" si="59"/>
        <v>149000</v>
      </c>
      <c r="AV122" s="170">
        <f>IFERROR(VLOOKUP(B122,'BS lương'!$B$2:$M$181,11,0),0)</f>
        <v>0</v>
      </c>
      <c r="AW122" s="170"/>
      <c r="AX122" s="170">
        <f t="shared" si="60"/>
        <v>15998932</v>
      </c>
    </row>
    <row r="123" spans="1:50" ht="12" customHeight="1" x14ac:dyDescent="0.3">
      <c r="A123" s="205">
        <f t="shared" si="51"/>
        <v>100</v>
      </c>
      <c r="B123" s="171" t="s">
        <v>203</v>
      </c>
      <c r="C123" s="171" t="s">
        <v>204</v>
      </c>
      <c r="D123" s="171" t="s">
        <v>205</v>
      </c>
      <c r="E123" s="172"/>
      <c r="F123" s="172">
        <v>1.1000000000000001</v>
      </c>
      <c r="G123" s="209">
        <f>VLOOKUP(B123,'Bảng lương tính trên HTfast'!$B$13:$H$194,6,0)</f>
        <v>20</v>
      </c>
      <c r="H123" s="170">
        <f>VLOOKUP(B123,'Bảng lương tính trên HTfast'!$B$13:$H$194,7,0)</f>
        <v>4736000</v>
      </c>
      <c r="I123" s="173">
        <f>IFERROR(VLOOKUP(B123,'Luong vitri'!$C$6:$O$179,10,0),0)</f>
        <v>0</v>
      </c>
      <c r="J123" s="174">
        <f>VLOOKUP(B123,'Bảng lương tính trên HTfast'!$B$13:$I$194,8,0)</f>
        <v>1.1299999999999999</v>
      </c>
      <c r="K123" s="173">
        <f>IFERROR(VLOOKUP(B123,'Luong vitri'!$C$6:$O$201,12,0),0)</f>
        <v>0.35</v>
      </c>
      <c r="L123" s="170">
        <f t="shared" si="52"/>
        <v>1657600</v>
      </c>
      <c r="M123" s="170">
        <f t="shared" si="53"/>
        <v>497280</v>
      </c>
      <c r="N123" s="170">
        <f t="shared" si="54"/>
        <v>5848960</v>
      </c>
      <c r="O123" s="170">
        <f>IFERROR(VLOOKUP(B123,'Bảng lương tính trên HTfast'!$B$13:$O$194,12,0),0)</f>
        <v>0</v>
      </c>
      <c r="P123" s="170">
        <f>IFERROR(VLOOKUP(B123,'BS lương'!$B$2:$M$188,9,0),0)</f>
        <v>714286</v>
      </c>
      <c r="Q123" s="170">
        <f>IFERROR(VLOOKUP(B123,'BS lương'!$B$2:$M$188,10,0),0)</f>
        <v>0</v>
      </c>
      <c r="R123" s="170">
        <f t="shared" si="55"/>
        <v>6563246</v>
      </c>
      <c r="S123" s="170">
        <f>IFERROR(VLOOKUP(B123,'Bảng lương tính trên HTfast'!$B$13:$U$194,16,0),0)</f>
        <v>497280</v>
      </c>
      <c r="T123" s="170"/>
      <c r="U123" s="170"/>
      <c r="V123" s="170"/>
      <c r="W123" s="170">
        <f>IFERROR(VLOOKUP(B123,'Bảng lương tính trên HTfast'!$B$13:$U$190,20,0),0)</f>
        <v>12600000</v>
      </c>
      <c r="X123" s="170"/>
      <c r="Y123" s="170"/>
      <c r="Z123" s="170"/>
      <c r="AA123" s="170">
        <f t="shared" si="56"/>
        <v>0</v>
      </c>
      <c r="AB123" s="170"/>
      <c r="AC123" s="170"/>
      <c r="AD123" s="170"/>
      <c r="AE123" s="170"/>
      <c r="AF123" s="170"/>
      <c r="AG123" s="170"/>
      <c r="AH123" s="170"/>
      <c r="AI123" s="170"/>
      <c r="AJ123" s="170"/>
      <c r="AK123" s="170"/>
      <c r="AL123" s="170"/>
      <c r="AM123" s="170"/>
      <c r="AN123" s="170"/>
      <c r="AO123" s="170"/>
      <c r="AP123" s="170">
        <f t="shared" si="57"/>
        <v>0</v>
      </c>
      <c r="AQ123" s="170"/>
      <c r="AR123" s="170">
        <f t="shared" si="58"/>
        <v>6065966</v>
      </c>
      <c r="AS123" s="170"/>
      <c r="AT123" s="170"/>
      <c r="AU123" s="170">
        <f t="shared" si="59"/>
        <v>60660</v>
      </c>
      <c r="AV123" s="170">
        <f>IFERROR(VLOOKUP(B123,'BS lương'!$B$2:$M$181,11,0),0)</f>
        <v>0</v>
      </c>
      <c r="AW123" s="170"/>
      <c r="AX123" s="170">
        <f t="shared" si="60"/>
        <v>6005306</v>
      </c>
    </row>
    <row r="124" spans="1:50" ht="12" customHeight="1" x14ac:dyDescent="0.3">
      <c r="A124" s="205">
        <f t="shared" si="51"/>
        <v>101</v>
      </c>
      <c r="B124" s="171" t="s">
        <v>105</v>
      </c>
      <c r="C124" s="171" t="s">
        <v>106</v>
      </c>
      <c r="D124" s="171" t="s">
        <v>66</v>
      </c>
      <c r="E124" s="172"/>
      <c r="F124" s="172">
        <v>1.85</v>
      </c>
      <c r="G124" s="209">
        <f>VLOOKUP(B124,'Bảng lương tính trên HTfast'!$B$13:$H$194,6,0)</f>
        <v>20</v>
      </c>
      <c r="H124" s="170">
        <f>VLOOKUP(B124,'Bảng lương tính trên HTfast'!$B$13:$H$194,7,0)</f>
        <v>7801000</v>
      </c>
      <c r="I124" s="173">
        <f>IFERROR(VLOOKUP(B124,'Luong vitri'!$C$6:$O$179,10,0),0)</f>
        <v>0</v>
      </c>
      <c r="J124" s="174">
        <f>VLOOKUP(B124,'Bảng lương tính trên HTfast'!$B$13:$I$194,8,0)</f>
        <v>1.1299999999999999</v>
      </c>
      <c r="K124" s="173">
        <f>IFERROR(VLOOKUP(B124,'Luong vitri'!$C$6:$O$201,12,0),0)</f>
        <v>0.35</v>
      </c>
      <c r="L124" s="170">
        <f t="shared" si="52"/>
        <v>2730350</v>
      </c>
      <c r="M124" s="170">
        <f t="shared" si="53"/>
        <v>819105</v>
      </c>
      <c r="N124" s="170">
        <f t="shared" si="54"/>
        <v>9634235</v>
      </c>
      <c r="O124" s="170">
        <f>IFERROR(VLOOKUP(B124,'Bảng lương tính trên HTfast'!$B$13:$O$194,12,0),0)</f>
        <v>0</v>
      </c>
      <c r="P124" s="170">
        <f>IFERROR(VLOOKUP(B124,'BS lương'!$B$2:$M$188,9,0),0)</f>
        <v>0</v>
      </c>
      <c r="Q124" s="170">
        <f>IFERROR(VLOOKUP(B124,'BS lương'!$B$2:$M$188,10,0),0)</f>
        <v>0</v>
      </c>
      <c r="R124" s="170">
        <f t="shared" si="55"/>
        <v>9634235</v>
      </c>
      <c r="S124" s="170">
        <f>IFERROR(VLOOKUP(B124,'Bảng lương tính trên HTfast'!$B$13:$U$194,16,0),0)</f>
        <v>819105</v>
      </c>
      <c r="T124" s="170"/>
      <c r="U124" s="170"/>
      <c r="V124" s="170"/>
      <c r="W124" s="170">
        <f>IFERROR(VLOOKUP(B124,'Bảng lương tính trên HTfast'!$B$13:$U$190,20,0),0)</f>
        <v>16200000</v>
      </c>
      <c r="X124" s="170"/>
      <c r="Y124" s="170"/>
      <c r="Z124" s="170"/>
      <c r="AA124" s="170">
        <f t="shared" si="56"/>
        <v>0</v>
      </c>
      <c r="AB124" s="170"/>
      <c r="AC124" s="170"/>
      <c r="AD124" s="170"/>
      <c r="AE124" s="170"/>
      <c r="AF124" s="170"/>
      <c r="AG124" s="170"/>
      <c r="AH124" s="170"/>
      <c r="AI124" s="170"/>
      <c r="AJ124" s="170"/>
      <c r="AK124" s="170"/>
      <c r="AL124" s="170"/>
      <c r="AM124" s="170"/>
      <c r="AN124" s="170"/>
      <c r="AO124" s="170"/>
      <c r="AP124" s="170">
        <f t="shared" si="57"/>
        <v>0</v>
      </c>
      <c r="AQ124" s="170"/>
      <c r="AR124" s="170">
        <f t="shared" si="58"/>
        <v>8815130</v>
      </c>
      <c r="AS124" s="170"/>
      <c r="AT124" s="170"/>
      <c r="AU124" s="170">
        <f t="shared" si="59"/>
        <v>88151</v>
      </c>
      <c r="AV124" s="170">
        <f>IFERROR(VLOOKUP(B124,'BS lương'!$B$2:$M$181,11,0),0)</f>
        <v>0</v>
      </c>
      <c r="AW124" s="170"/>
      <c r="AX124" s="170">
        <f t="shared" si="60"/>
        <v>8726979</v>
      </c>
    </row>
    <row r="125" spans="1:50" ht="12" customHeight="1" x14ac:dyDescent="0.3">
      <c r="A125" s="205">
        <f t="shared" si="51"/>
        <v>102</v>
      </c>
      <c r="B125" s="171" t="s">
        <v>99</v>
      </c>
      <c r="C125" s="171" t="s">
        <v>100</v>
      </c>
      <c r="D125" s="171" t="s">
        <v>66</v>
      </c>
      <c r="E125" s="172"/>
      <c r="F125" s="172">
        <v>1.85</v>
      </c>
      <c r="G125" s="209">
        <f>VLOOKUP(B125,'Bảng lương tính trên HTfast'!$B$13:$H$194,6,0)</f>
        <v>20</v>
      </c>
      <c r="H125" s="170">
        <f>VLOOKUP(B125,'Bảng lương tính trên HTfast'!$B$13:$H$194,7,0)</f>
        <v>8358000</v>
      </c>
      <c r="I125" s="173">
        <f>IFERROR(VLOOKUP(B125,'Luong vitri'!$C$6:$O$179,10,0),0)</f>
        <v>0</v>
      </c>
      <c r="J125" s="174">
        <f>VLOOKUP(B125,'Bảng lương tính trên HTfast'!$B$13:$I$194,8,0)</f>
        <v>1.1299999999999999</v>
      </c>
      <c r="K125" s="173">
        <f>IFERROR(VLOOKUP(B125,'Luong vitri'!$C$6:$O$201,12,0),0)</f>
        <v>0.35</v>
      </c>
      <c r="L125" s="170">
        <f t="shared" si="52"/>
        <v>2925300</v>
      </c>
      <c r="M125" s="170">
        <f t="shared" si="53"/>
        <v>877590</v>
      </c>
      <c r="N125" s="170">
        <f t="shared" si="54"/>
        <v>10322130</v>
      </c>
      <c r="O125" s="170">
        <f>IFERROR(VLOOKUP(B125,'Bảng lương tính trên HTfast'!$B$13:$O$194,12,0),0)</f>
        <v>0</v>
      </c>
      <c r="P125" s="170">
        <f>IFERROR(VLOOKUP(B125,'BS lương'!$B$2:$M$188,9,0),0)</f>
        <v>0</v>
      </c>
      <c r="Q125" s="170">
        <f>IFERROR(VLOOKUP(B125,'BS lương'!$B$2:$M$188,10,0),0)</f>
        <v>0</v>
      </c>
      <c r="R125" s="170">
        <f t="shared" si="55"/>
        <v>10322130</v>
      </c>
      <c r="S125" s="170">
        <f>IFERROR(VLOOKUP(B125,'Bảng lương tính trên HTfast'!$B$13:$U$194,16,0),0)</f>
        <v>877590</v>
      </c>
      <c r="T125" s="170"/>
      <c r="U125" s="170"/>
      <c r="V125" s="170"/>
      <c r="W125" s="170">
        <f>IFERROR(VLOOKUP(B125,'Bảng lương tính trên HTfast'!$B$13:$U$190,20,0),0)</f>
        <v>9000000</v>
      </c>
      <c r="X125" s="170"/>
      <c r="Y125" s="170"/>
      <c r="Z125" s="170"/>
      <c r="AA125" s="170">
        <f t="shared" si="56"/>
        <v>444540</v>
      </c>
      <c r="AB125" s="170"/>
      <c r="AC125" s="170"/>
      <c r="AD125" s="170"/>
      <c r="AE125" s="170"/>
      <c r="AF125" s="170"/>
      <c r="AG125" s="170"/>
      <c r="AH125" s="170"/>
      <c r="AI125" s="170"/>
      <c r="AJ125" s="170"/>
      <c r="AK125" s="170"/>
      <c r="AL125" s="170"/>
      <c r="AM125" s="170"/>
      <c r="AN125" s="170"/>
      <c r="AO125" s="170"/>
      <c r="AP125" s="170">
        <f t="shared" si="57"/>
        <v>22227</v>
      </c>
      <c r="AQ125" s="170"/>
      <c r="AR125" s="170">
        <f t="shared" si="58"/>
        <v>9422313</v>
      </c>
      <c r="AS125" s="170"/>
      <c r="AT125" s="170"/>
      <c r="AU125" s="170">
        <f t="shared" si="59"/>
        <v>94223</v>
      </c>
      <c r="AV125" s="170">
        <f>IFERROR(VLOOKUP(B125,'BS lương'!$B$2:$M$181,11,0),0)</f>
        <v>0</v>
      </c>
      <c r="AW125" s="170"/>
      <c r="AX125" s="170">
        <f t="shared" si="60"/>
        <v>9328090</v>
      </c>
    </row>
    <row r="126" spans="1:50" ht="12" customHeight="1" x14ac:dyDescent="0.3">
      <c r="A126" s="205">
        <f t="shared" si="51"/>
        <v>103</v>
      </c>
      <c r="B126" s="171" t="s">
        <v>291</v>
      </c>
      <c r="C126" s="171" t="s">
        <v>292</v>
      </c>
      <c r="D126" s="171" t="s">
        <v>217</v>
      </c>
      <c r="E126" s="172"/>
      <c r="F126" s="172">
        <v>1.85</v>
      </c>
      <c r="G126" s="209">
        <f>VLOOKUP(B126,'Bảng lương tính trên HTfast'!$B$13:$H$194,6,0)</f>
        <v>20</v>
      </c>
      <c r="H126" s="170">
        <f>VLOOKUP(B126,'Bảng lương tính trên HTfast'!$B$13:$H$194,7,0)</f>
        <v>9831000</v>
      </c>
      <c r="I126" s="173">
        <f>IFERROR(VLOOKUP(B126,'Luong vitri'!$C$6:$O$179,10,0),0)</f>
        <v>0</v>
      </c>
      <c r="J126" s="174">
        <f>VLOOKUP(B126,'Bảng lương tính trên HTfast'!$B$13:$I$194,8,0)</f>
        <v>1</v>
      </c>
      <c r="K126" s="173">
        <f>IFERROR(VLOOKUP(B126,'Luong vitri'!$C$6:$O$201,12,0),0)</f>
        <v>0.4</v>
      </c>
      <c r="L126" s="170">
        <f t="shared" si="52"/>
        <v>3932400</v>
      </c>
      <c r="M126" s="170">
        <f t="shared" si="53"/>
        <v>1179720</v>
      </c>
      <c r="N126" s="170">
        <f t="shared" si="54"/>
        <v>11010720</v>
      </c>
      <c r="O126" s="170">
        <f>IFERROR(VLOOKUP(B126,'Bảng lương tính trên HTfast'!$B$13:$O$194,12,0),0)</f>
        <v>0</v>
      </c>
      <c r="P126" s="170">
        <f>IFERROR(VLOOKUP(B126,'BS lương'!$B$2:$M$188,9,0),0)</f>
        <v>5370370</v>
      </c>
      <c r="Q126" s="170">
        <f>IFERROR(VLOOKUP(B126,'BS lương'!$B$2:$M$188,10,0),0)</f>
        <v>0</v>
      </c>
      <c r="R126" s="170">
        <f t="shared" si="55"/>
        <v>16381090</v>
      </c>
      <c r="S126" s="170">
        <f>IFERROR(VLOOKUP(B126,'Bảng lương tính trên HTfast'!$B$13:$U$194,16,0),0)</f>
        <v>1032255</v>
      </c>
      <c r="T126" s="170"/>
      <c r="U126" s="170"/>
      <c r="V126" s="170"/>
      <c r="W126" s="170">
        <f>IFERROR(VLOOKUP(B126,'Bảng lương tính trên HTfast'!$B$13:$U$190,20,0),0)</f>
        <v>16200000</v>
      </c>
      <c r="X126" s="170"/>
      <c r="Y126" s="170"/>
      <c r="Z126" s="170"/>
      <c r="AA126" s="170">
        <f t="shared" si="56"/>
        <v>0</v>
      </c>
      <c r="AB126" s="170"/>
      <c r="AC126" s="170"/>
      <c r="AD126" s="170"/>
      <c r="AE126" s="170"/>
      <c r="AF126" s="170"/>
      <c r="AG126" s="170"/>
      <c r="AH126" s="170"/>
      <c r="AI126" s="170"/>
      <c r="AJ126" s="170"/>
      <c r="AK126" s="170"/>
      <c r="AL126" s="170"/>
      <c r="AM126" s="170"/>
      <c r="AN126" s="170"/>
      <c r="AO126" s="170"/>
      <c r="AP126" s="170">
        <f t="shared" si="57"/>
        <v>0</v>
      </c>
      <c r="AQ126" s="170"/>
      <c r="AR126" s="170">
        <f t="shared" si="58"/>
        <v>15348835</v>
      </c>
      <c r="AS126" s="170"/>
      <c r="AT126" s="170"/>
      <c r="AU126" s="170">
        <f t="shared" si="59"/>
        <v>149000</v>
      </c>
      <c r="AV126" s="170">
        <f>IFERROR(VLOOKUP(B126,'BS lương'!$B$2:$M$181,11,0),0)</f>
        <v>0</v>
      </c>
      <c r="AW126" s="170"/>
      <c r="AX126" s="170">
        <f t="shared" si="60"/>
        <v>15199835</v>
      </c>
    </row>
    <row r="127" spans="1:50" ht="12" customHeight="1" x14ac:dyDescent="0.3">
      <c r="A127" s="205">
        <f t="shared" si="51"/>
        <v>104</v>
      </c>
      <c r="B127" s="171" t="s">
        <v>101</v>
      </c>
      <c r="C127" s="171" t="s">
        <v>102</v>
      </c>
      <c r="D127" s="171" t="s">
        <v>66</v>
      </c>
      <c r="E127" s="172"/>
      <c r="F127" s="172">
        <v>1.85</v>
      </c>
      <c r="G127" s="209">
        <f>VLOOKUP(B127,'Bảng lương tính trên HTfast'!$B$13:$H$194,6,0)</f>
        <v>20</v>
      </c>
      <c r="H127" s="170">
        <f>VLOOKUP(B127,'Bảng lương tính trên HTfast'!$B$13:$H$194,7,0)</f>
        <v>8358000</v>
      </c>
      <c r="I127" s="173">
        <f>IFERROR(VLOOKUP(B127,'Luong vitri'!$C$6:$O$179,10,0),0)</f>
        <v>0</v>
      </c>
      <c r="J127" s="174">
        <f>VLOOKUP(B127,'Bảng lương tính trên HTfast'!$B$13:$I$194,8,0)</f>
        <v>1.1299999999999999</v>
      </c>
      <c r="K127" s="173">
        <f>IFERROR(VLOOKUP(B127,'Luong vitri'!$C$6:$O$201,12,0),0)</f>
        <v>0.35</v>
      </c>
      <c r="L127" s="170">
        <f t="shared" si="52"/>
        <v>2925300</v>
      </c>
      <c r="M127" s="170">
        <f t="shared" si="53"/>
        <v>877590</v>
      </c>
      <c r="N127" s="170">
        <f t="shared" si="54"/>
        <v>10322130</v>
      </c>
      <c r="O127" s="170">
        <f>IFERROR(VLOOKUP(B127,'Bảng lương tính trên HTfast'!$B$13:$O$194,12,0),0)</f>
        <v>0</v>
      </c>
      <c r="P127" s="170">
        <f>IFERROR(VLOOKUP(B127,'BS lương'!$B$2:$M$188,9,0),0)</f>
        <v>5000000</v>
      </c>
      <c r="Q127" s="170">
        <f>IFERROR(VLOOKUP(B127,'BS lương'!$B$2:$M$188,10,0),0)</f>
        <v>0</v>
      </c>
      <c r="R127" s="170">
        <f t="shared" si="55"/>
        <v>15322130</v>
      </c>
      <c r="S127" s="170">
        <f>IFERROR(VLOOKUP(B127,'Bảng lương tính trên HTfast'!$B$13:$U$194,16,0),0)</f>
        <v>877590</v>
      </c>
      <c r="T127" s="170"/>
      <c r="U127" s="170"/>
      <c r="V127" s="170"/>
      <c r="W127" s="170">
        <f>IFERROR(VLOOKUP(B127,'Bảng lương tính trên HTfast'!$B$13:$U$190,20,0),0)</f>
        <v>12600000</v>
      </c>
      <c r="X127" s="170"/>
      <c r="Y127" s="170"/>
      <c r="Z127" s="170"/>
      <c r="AA127" s="170">
        <f t="shared" si="56"/>
        <v>1844540</v>
      </c>
      <c r="AB127" s="170"/>
      <c r="AC127" s="170"/>
      <c r="AD127" s="170"/>
      <c r="AE127" s="170"/>
      <c r="AF127" s="170"/>
      <c r="AG127" s="170"/>
      <c r="AH127" s="170"/>
      <c r="AI127" s="170"/>
      <c r="AJ127" s="170"/>
      <c r="AK127" s="170"/>
      <c r="AL127" s="170"/>
      <c r="AM127" s="170"/>
      <c r="AN127" s="170"/>
      <c r="AO127" s="170"/>
      <c r="AP127" s="170">
        <f t="shared" si="57"/>
        <v>92227</v>
      </c>
      <c r="AQ127" s="170"/>
      <c r="AR127" s="170">
        <f t="shared" si="58"/>
        <v>14352313</v>
      </c>
      <c r="AS127" s="170"/>
      <c r="AT127" s="170"/>
      <c r="AU127" s="170">
        <f t="shared" si="59"/>
        <v>143523</v>
      </c>
      <c r="AV127" s="170">
        <f>IFERROR(VLOOKUP(B127,'BS lương'!$B$2:$M$181,11,0),0)</f>
        <v>0</v>
      </c>
      <c r="AW127" s="170"/>
      <c r="AX127" s="170">
        <f t="shared" si="60"/>
        <v>14208790</v>
      </c>
    </row>
    <row r="128" spans="1:50" ht="12" customHeight="1" x14ac:dyDescent="0.3">
      <c r="A128" s="205">
        <f t="shared" si="51"/>
        <v>105</v>
      </c>
      <c r="B128" s="171" t="s">
        <v>136</v>
      </c>
      <c r="C128" s="171" t="s">
        <v>137</v>
      </c>
      <c r="D128" s="171" t="s">
        <v>66</v>
      </c>
      <c r="E128" s="172"/>
      <c r="F128" s="172">
        <v>1.85</v>
      </c>
      <c r="G128" s="209">
        <f>VLOOKUP(B128,'Bảng lương tính trên HTfast'!$B$13:$H$194,6,0)</f>
        <v>20</v>
      </c>
      <c r="H128" s="170">
        <f>VLOOKUP(B128,'Bảng lương tính trên HTfast'!$B$13:$H$194,7,0)</f>
        <v>7363000</v>
      </c>
      <c r="I128" s="173">
        <f>IFERROR(VLOOKUP(B128,'Luong vitri'!$C$6:$O$179,10,0),0)</f>
        <v>0</v>
      </c>
      <c r="J128" s="174">
        <f>VLOOKUP(B128,'Bảng lương tính trên HTfast'!$B$13:$I$194,8,0)</f>
        <v>1.1299999999999999</v>
      </c>
      <c r="K128" s="173">
        <f>IFERROR(VLOOKUP(B128,'Luong vitri'!$C$6:$O$201,12,0),0)</f>
        <v>0.35</v>
      </c>
      <c r="L128" s="170">
        <f t="shared" si="52"/>
        <v>2577050</v>
      </c>
      <c r="M128" s="170">
        <f t="shared" si="53"/>
        <v>773115</v>
      </c>
      <c r="N128" s="170">
        <f t="shared" si="54"/>
        <v>9093305</v>
      </c>
      <c r="O128" s="170">
        <f>IFERROR(VLOOKUP(B128,'Bảng lương tính trên HTfast'!$B$13:$O$194,12,0),0)</f>
        <v>0</v>
      </c>
      <c r="P128" s="170">
        <f>IFERROR(VLOOKUP(B128,'BS lương'!$B$2:$M$188,9,0),0)</f>
        <v>2878540</v>
      </c>
      <c r="Q128" s="170">
        <f>IFERROR(VLOOKUP(B128,'BS lương'!$B$2:$M$188,10,0),0)</f>
        <v>753034</v>
      </c>
      <c r="R128" s="170">
        <f t="shared" si="55"/>
        <v>12724879</v>
      </c>
      <c r="S128" s="170">
        <f>IFERROR(VLOOKUP(B128,'Bảng lương tính trên HTfast'!$B$13:$U$194,16,0),0)</f>
        <v>773115</v>
      </c>
      <c r="T128" s="170"/>
      <c r="U128" s="170"/>
      <c r="V128" s="170"/>
      <c r="W128" s="170">
        <f>IFERROR(VLOOKUP(B128,'Bảng lương tính trên HTfast'!$B$13:$U$190,20,0),0)</f>
        <v>9000000</v>
      </c>
      <c r="X128" s="170"/>
      <c r="Y128" s="170"/>
      <c r="Z128" s="170"/>
      <c r="AA128" s="170">
        <f t="shared" si="56"/>
        <v>2198730</v>
      </c>
      <c r="AB128" s="170"/>
      <c r="AC128" s="170"/>
      <c r="AD128" s="170"/>
      <c r="AE128" s="170"/>
      <c r="AF128" s="170"/>
      <c r="AG128" s="170"/>
      <c r="AH128" s="170"/>
      <c r="AI128" s="170"/>
      <c r="AJ128" s="170"/>
      <c r="AK128" s="170"/>
      <c r="AL128" s="170"/>
      <c r="AM128" s="170"/>
      <c r="AN128" s="170"/>
      <c r="AO128" s="170"/>
      <c r="AP128" s="170">
        <f t="shared" si="57"/>
        <v>109937</v>
      </c>
      <c r="AQ128" s="170"/>
      <c r="AR128" s="170">
        <f t="shared" si="58"/>
        <v>11841827</v>
      </c>
      <c r="AS128" s="170"/>
      <c r="AT128" s="170"/>
      <c r="AU128" s="170">
        <f t="shared" si="59"/>
        <v>118418</v>
      </c>
      <c r="AV128" s="170">
        <f>IFERROR(VLOOKUP(B128,'BS lương'!$B$2:$M$181,11,0),0)</f>
        <v>0</v>
      </c>
      <c r="AW128" s="170"/>
      <c r="AX128" s="170">
        <f t="shared" si="60"/>
        <v>11723409</v>
      </c>
    </row>
    <row r="129" spans="1:50" ht="12" customHeight="1" x14ac:dyDescent="0.3">
      <c r="A129" s="205">
        <f t="shared" si="51"/>
        <v>106</v>
      </c>
      <c r="B129" s="171" t="s">
        <v>388</v>
      </c>
      <c r="C129" s="171" t="s">
        <v>389</v>
      </c>
      <c r="D129" s="171" t="s">
        <v>66</v>
      </c>
      <c r="E129" s="172"/>
      <c r="F129" s="172">
        <v>1.85</v>
      </c>
      <c r="G129" s="209">
        <f>VLOOKUP(B129,'Bảng lương tính trên HTfast'!$B$13:$H$194,6,0)</f>
        <v>20</v>
      </c>
      <c r="H129" s="170">
        <f>VLOOKUP(B129,'Bảng lương tính trên HTfast'!$B$13:$H$194,7,0)</f>
        <v>7363000</v>
      </c>
      <c r="I129" s="173">
        <f>IFERROR(VLOOKUP(B129,'Luong vitri'!$C$6:$O$179,10,0),0)</f>
        <v>0</v>
      </c>
      <c r="J129" s="174">
        <f>VLOOKUP(B129,'Bảng lương tính trên HTfast'!$B$13:$I$194,8,0)</f>
        <v>1.1299999999999999</v>
      </c>
      <c r="K129" s="173">
        <f>IFERROR(VLOOKUP(B129,'Luong vitri'!$C$6:$O$201,12,0),0)</f>
        <v>0.35</v>
      </c>
      <c r="L129" s="170">
        <f t="shared" si="52"/>
        <v>2577050</v>
      </c>
      <c r="M129" s="170">
        <f t="shared" si="53"/>
        <v>773115</v>
      </c>
      <c r="N129" s="170">
        <f t="shared" si="54"/>
        <v>9093305</v>
      </c>
      <c r="O129" s="170">
        <f>IFERROR(VLOOKUP(B129,'Bảng lương tính trên HTfast'!$B$13:$O$194,12,0),0)</f>
        <v>0</v>
      </c>
      <c r="P129" s="170">
        <f>IFERROR(VLOOKUP(B129,'BS lương'!$B$2:$M$188,9,0),0)</f>
        <v>0</v>
      </c>
      <c r="Q129" s="170">
        <f>IFERROR(VLOOKUP(B129,'BS lương'!$B$2:$M$188,10,0),0)</f>
        <v>0</v>
      </c>
      <c r="R129" s="170">
        <f t="shared" si="55"/>
        <v>9093305</v>
      </c>
      <c r="S129" s="170">
        <f>IFERROR(VLOOKUP(B129,'Bảng lương tính trên HTfast'!$B$13:$U$194,16,0),0)</f>
        <v>773115</v>
      </c>
      <c r="T129" s="170"/>
      <c r="U129" s="170"/>
      <c r="V129" s="170"/>
      <c r="W129" s="170">
        <f>IFERROR(VLOOKUP(B129,'Bảng lương tính trên HTfast'!$B$13:$U$190,20,0),0)</f>
        <v>9000000</v>
      </c>
      <c r="X129" s="170"/>
      <c r="Y129" s="170"/>
      <c r="Z129" s="170"/>
      <c r="AA129" s="170">
        <f t="shared" si="56"/>
        <v>0</v>
      </c>
      <c r="AB129" s="170"/>
      <c r="AC129" s="170"/>
      <c r="AD129" s="170"/>
      <c r="AE129" s="170"/>
      <c r="AF129" s="170"/>
      <c r="AG129" s="170"/>
      <c r="AH129" s="170"/>
      <c r="AI129" s="170"/>
      <c r="AJ129" s="170"/>
      <c r="AK129" s="170"/>
      <c r="AL129" s="170"/>
      <c r="AM129" s="170"/>
      <c r="AN129" s="170"/>
      <c r="AO129" s="170"/>
      <c r="AP129" s="170">
        <f t="shared" si="57"/>
        <v>0</v>
      </c>
      <c r="AQ129" s="170"/>
      <c r="AR129" s="170">
        <f t="shared" si="58"/>
        <v>8320190</v>
      </c>
      <c r="AS129" s="170"/>
      <c r="AT129" s="170"/>
      <c r="AU129" s="170">
        <f t="shared" si="59"/>
        <v>83202</v>
      </c>
      <c r="AV129" s="170">
        <f>IFERROR(VLOOKUP(B129,'BS lương'!$B$2:$M$181,11,0),0)</f>
        <v>0</v>
      </c>
      <c r="AW129" s="170"/>
      <c r="AX129" s="170">
        <f t="shared" si="60"/>
        <v>8236988</v>
      </c>
    </row>
    <row r="130" spans="1:50" ht="12" customHeight="1" x14ac:dyDescent="0.3">
      <c r="A130" s="205">
        <f t="shared" si="51"/>
        <v>107</v>
      </c>
      <c r="B130" s="171" t="s">
        <v>142</v>
      </c>
      <c r="C130" s="171" t="s">
        <v>143</v>
      </c>
      <c r="D130" s="171" t="s">
        <v>66</v>
      </c>
      <c r="E130" s="172"/>
      <c r="F130" s="172">
        <v>2.41</v>
      </c>
      <c r="G130" s="209">
        <f>VLOOKUP(B130,'Bảng lương tính trên HTfast'!$B$13:$H$194,6,0)</f>
        <v>20</v>
      </c>
      <c r="H130" s="170">
        <f>VLOOKUP(B130,'Bảng lương tính trên HTfast'!$B$13:$H$194,7,0)</f>
        <v>7841000</v>
      </c>
      <c r="I130" s="173">
        <f>IFERROR(VLOOKUP(B130,'Luong vitri'!$C$6:$O$179,10,0),0)</f>
        <v>0</v>
      </c>
      <c r="J130" s="174">
        <f>VLOOKUP(B130,'Bảng lương tính trên HTfast'!$B$13:$I$194,8,0)</f>
        <v>1.1299999999999999</v>
      </c>
      <c r="K130" s="173">
        <f>IFERROR(VLOOKUP(B130,'Luong vitri'!$C$6:$O$201,12,0),0)</f>
        <v>0.35</v>
      </c>
      <c r="L130" s="170">
        <f t="shared" si="52"/>
        <v>2744350</v>
      </c>
      <c r="M130" s="170">
        <f t="shared" si="53"/>
        <v>823305</v>
      </c>
      <c r="N130" s="170">
        <f t="shared" si="54"/>
        <v>9683635</v>
      </c>
      <c r="O130" s="170">
        <f>IFERROR(VLOOKUP(B130,'Bảng lương tính trên HTfast'!$B$13:$O$194,12,0),0)</f>
        <v>0</v>
      </c>
      <c r="P130" s="170">
        <f>IFERROR(VLOOKUP(B130,'BS lương'!$B$2:$M$188,9,0),0)</f>
        <v>0</v>
      </c>
      <c r="Q130" s="170">
        <f>IFERROR(VLOOKUP(B130,'BS lương'!$B$2:$M$188,10,0),0)</f>
        <v>0</v>
      </c>
      <c r="R130" s="170">
        <f t="shared" si="55"/>
        <v>9683635</v>
      </c>
      <c r="S130" s="170">
        <f>IFERROR(VLOOKUP(B130,'Bảng lương tính trên HTfast'!$B$13:$U$194,16,0),0)</f>
        <v>823305</v>
      </c>
      <c r="T130" s="170"/>
      <c r="U130" s="170"/>
      <c r="V130" s="170"/>
      <c r="W130" s="170">
        <f>IFERROR(VLOOKUP(B130,'Bảng lương tính trên HTfast'!$B$13:$U$190,20,0),0)</f>
        <v>9000000</v>
      </c>
      <c r="X130" s="170"/>
      <c r="Y130" s="170"/>
      <c r="Z130" s="170"/>
      <c r="AA130" s="170">
        <f t="shared" si="56"/>
        <v>0</v>
      </c>
      <c r="AB130" s="170"/>
      <c r="AC130" s="170"/>
      <c r="AD130" s="170"/>
      <c r="AE130" s="170"/>
      <c r="AF130" s="170"/>
      <c r="AG130" s="170"/>
      <c r="AH130" s="170"/>
      <c r="AI130" s="170"/>
      <c r="AJ130" s="170"/>
      <c r="AK130" s="170"/>
      <c r="AL130" s="170"/>
      <c r="AM130" s="170"/>
      <c r="AN130" s="170"/>
      <c r="AO130" s="170"/>
      <c r="AP130" s="170">
        <f t="shared" si="57"/>
        <v>0</v>
      </c>
      <c r="AQ130" s="170"/>
      <c r="AR130" s="170">
        <f t="shared" si="58"/>
        <v>8860330</v>
      </c>
      <c r="AS130" s="170"/>
      <c r="AT130" s="170"/>
      <c r="AU130" s="170">
        <f t="shared" si="59"/>
        <v>88603</v>
      </c>
      <c r="AV130" s="170">
        <f>IFERROR(VLOOKUP(B130,'BS lương'!$B$2:$M$181,11,0),0)</f>
        <v>0</v>
      </c>
      <c r="AW130" s="170"/>
      <c r="AX130" s="170">
        <f t="shared" si="60"/>
        <v>8771727</v>
      </c>
    </row>
    <row r="131" spans="1:50" ht="12" customHeight="1" x14ac:dyDescent="0.3">
      <c r="A131" s="205">
        <f t="shared" si="51"/>
        <v>108</v>
      </c>
      <c r="B131" s="171" t="s">
        <v>252</v>
      </c>
      <c r="C131" s="171" t="s">
        <v>253</v>
      </c>
      <c r="D131" s="171" t="s">
        <v>430</v>
      </c>
      <c r="E131" s="172"/>
      <c r="F131" s="172">
        <v>1.85</v>
      </c>
      <c r="G131" s="209">
        <f>VLOOKUP(B131,'Bảng lương tính trên HTfast'!$B$13:$H$194,6,0)</f>
        <v>20</v>
      </c>
      <c r="H131" s="170">
        <f>VLOOKUP(B131,'Bảng lương tính trên HTfast'!$B$13:$H$194,7,0)</f>
        <v>12020000</v>
      </c>
      <c r="I131" s="173">
        <f>IFERROR(VLOOKUP(B131,'Luong vitri'!$C$6:$O$179,10,0),0)</f>
        <v>0</v>
      </c>
      <c r="J131" s="174">
        <f>VLOOKUP(B131,'Bảng lương tính trên HTfast'!$B$13:$I$194,8,0)</f>
        <v>1</v>
      </c>
      <c r="K131" s="173">
        <f>IFERROR(VLOOKUP(B131,'Luong vitri'!$C$6:$O$201,12,0),0)</f>
        <v>0.5</v>
      </c>
      <c r="L131" s="170">
        <f t="shared" si="52"/>
        <v>6010000</v>
      </c>
      <c r="M131" s="170">
        <f t="shared" si="53"/>
        <v>1803000</v>
      </c>
      <c r="N131" s="170">
        <f t="shared" si="54"/>
        <v>13823000</v>
      </c>
      <c r="O131" s="170">
        <f>IFERROR(VLOOKUP(B131,'Bảng lương tính trên HTfast'!$B$13:$O$194,12,0),0)</f>
        <v>0</v>
      </c>
      <c r="P131" s="170">
        <f>IFERROR(VLOOKUP(B131,'BS lương'!$B$2:$M$188,9,0),0)</f>
        <v>555556</v>
      </c>
      <c r="Q131" s="170">
        <f>IFERROR(VLOOKUP(B131,'BS lương'!$B$2:$M$188,10,0),0)</f>
        <v>0</v>
      </c>
      <c r="R131" s="170">
        <f t="shared" si="55"/>
        <v>14378556</v>
      </c>
      <c r="S131" s="170">
        <f>IFERROR(VLOOKUP(B131,'Bảng lương tính trên HTfast'!$B$13:$U$194,16,0),0)</f>
        <v>1262100</v>
      </c>
      <c r="T131" s="170"/>
      <c r="U131" s="170"/>
      <c r="V131" s="170"/>
      <c r="W131" s="170">
        <f>IFERROR(VLOOKUP(B131,'Bảng lương tính trên HTfast'!$B$13:$U$190,20,0),0)</f>
        <v>19800000</v>
      </c>
      <c r="X131" s="170"/>
      <c r="Y131" s="170"/>
      <c r="Z131" s="170"/>
      <c r="AA131" s="170">
        <f t="shared" si="56"/>
        <v>0</v>
      </c>
      <c r="AB131" s="170"/>
      <c r="AC131" s="170"/>
      <c r="AD131" s="170"/>
      <c r="AE131" s="170"/>
      <c r="AF131" s="170"/>
      <c r="AG131" s="170"/>
      <c r="AH131" s="170"/>
      <c r="AI131" s="170"/>
      <c r="AJ131" s="170"/>
      <c r="AK131" s="170"/>
      <c r="AL131" s="170"/>
      <c r="AM131" s="170"/>
      <c r="AN131" s="170"/>
      <c r="AO131" s="170"/>
      <c r="AP131" s="170">
        <f t="shared" si="57"/>
        <v>0</v>
      </c>
      <c r="AQ131" s="170"/>
      <c r="AR131" s="170">
        <f t="shared" si="58"/>
        <v>13116456</v>
      </c>
      <c r="AS131" s="170"/>
      <c r="AT131" s="170"/>
      <c r="AU131" s="170">
        <f t="shared" si="59"/>
        <v>131165</v>
      </c>
      <c r="AV131" s="170">
        <f>IFERROR(VLOOKUP(B131,'BS lương'!$B$2:$M$181,11,0),0)</f>
        <v>0</v>
      </c>
      <c r="AW131" s="170"/>
      <c r="AX131" s="170">
        <f t="shared" si="60"/>
        <v>12985291</v>
      </c>
    </row>
    <row r="132" spans="1:50" ht="12" customHeight="1" x14ac:dyDescent="0.3">
      <c r="A132" s="205">
        <f t="shared" si="51"/>
        <v>109</v>
      </c>
      <c r="B132" s="171" t="s">
        <v>166</v>
      </c>
      <c r="C132" s="171" t="s">
        <v>167</v>
      </c>
      <c r="D132" s="171" t="s">
        <v>61</v>
      </c>
      <c r="E132" s="172"/>
      <c r="F132" s="172">
        <v>1.85</v>
      </c>
      <c r="G132" s="209">
        <f>VLOOKUP(B132,'Bảng lương tính trên HTfast'!$B$13:$H$194,6,0)</f>
        <v>20</v>
      </c>
      <c r="H132" s="170">
        <f>VLOOKUP(B132,'Bảng lương tính trên HTfast'!$B$13:$H$194,7,0)</f>
        <v>12020000</v>
      </c>
      <c r="I132" s="173">
        <f>IFERROR(VLOOKUP(B132,'Luong vitri'!$C$6:$O$179,10,0),0)</f>
        <v>0</v>
      </c>
      <c r="J132" s="174">
        <f>VLOOKUP(B132,'Bảng lương tính trên HTfast'!$B$13:$I$194,8,0)</f>
        <v>1.1299999999999999</v>
      </c>
      <c r="K132" s="173">
        <f>IFERROR(VLOOKUP(B132,'Luong vitri'!$C$6:$O$201,12,0),0)</f>
        <v>0.4</v>
      </c>
      <c r="L132" s="170">
        <f t="shared" si="52"/>
        <v>4808000</v>
      </c>
      <c r="M132" s="170">
        <f t="shared" si="53"/>
        <v>1442400</v>
      </c>
      <c r="N132" s="170">
        <f t="shared" si="54"/>
        <v>15025000</v>
      </c>
      <c r="O132" s="170">
        <f>IFERROR(VLOOKUP(B132,'Bảng lương tính trên HTfast'!$B$13:$O$194,12,0),0)</f>
        <v>0</v>
      </c>
      <c r="P132" s="170">
        <f>IFERROR(VLOOKUP(B132,'BS lương'!$B$2:$M$188,9,0),0)</f>
        <v>3956136</v>
      </c>
      <c r="Q132" s="170">
        <f>IFERROR(VLOOKUP(B132,'BS lương'!$B$2:$M$188,10,0),0)</f>
        <v>478068</v>
      </c>
      <c r="R132" s="170">
        <f t="shared" si="55"/>
        <v>19459204</v>
      </c>
      <c r="S132" s="170">
        <f>IFERROR(VLOOKUP(B132,'Bảng lương tính trên HTfast'!$B$13:$U$194,16,0),0)</f>
        <v>1262100</v>
      </c>
      <c r="T132" s="170"/>
      <c r="U132" s="170"/>
      <c r="V132" s="170"/>
      <c r="W132" s="170">
        <f>IFERROR(VLOOKUP(B132,'Bảng lương tính trên HTfast'!$B$13:$U$190,20,0),0)</f>
        <v>16200000</v>
      </c>
      <c r="X132" s="170"/>
      <c r="Y132" s="170"/>
      <c r="Z132" s="170"/>
      <c r="AA132" s="170">
        <f t="shared" si="56"/>
        <v>1519036</v>
      </c>
      <c r="AB132" s="170"/>
      <c r="AC132" s="170"/>
      <c r="AD132" s="170"/>
      <c r="AE132" s="170"/>
      <c r="AF132" s="170"/>
      <c r="AG132" s="170"/>
      <c r="AH132" s="170"/>
      <c r="AI132" s="170"/>
      <c r="AJ132" s="170"/>
      <c r="AK132" s="170"/>
      <c r="AL132" s="170"/>
      <c r="AM132" s="170"/>
      <c r="AN132" s="170"/>
      <c r="AO132" s="170"/>
      <c r="AP132" s="170">
        <f t="shared" si="57"/>
        <v>75952</v>
      </c>
      <c r="AQ132" s="170"/>
      <c r="AR132" s="170">
        <f t="shared" si="58"/>
        <v>18121152</v>
      </c>
      <c r="AS132" s="170"/>
      <c r="AT132" s="170"/>
      <c r="AU132" s="170">
        <f t="shared" si="59"/>
        <v>149000</v>
      </c>
      <c r="AV132" s="170">
        <f>IFERROR(VLOOKUP(B132,'BS lương'!$B$2:$M$181,11,0),0)</f>
        <v>0</v>
      </c>
      <c r="AW132" s="170"/>
      <c r="AX132" s="170">
        <f t="shared" si="60"/>
        <v>17972152</v>
      </c>
    </row>
    <row r="133" spans="1:50" ht="12" customHeight="1" x14ac:dyDescent="0.3">
      <c r="A133" s="205">
        <f t="shared" si="51"/>
        <v>110</v>
      </c>
      <c r="B133" s="171" t="s">
        <v>56</v>
      </c>
      <c r="C133" s="171" t="s">
        <v>57</v>
      </c>
      <c r="D133" s="171" t="s">
        <v>823</v>
      </c>
      <c r="E133" s="172"/>
      <c r="F133" s="172">
        <v>1.85</v>
      </c>
      <c r="G133" s="209">
        <f>VLOOKUP(B133,'Bảng lương tính trên HTfast'!$B$13:$H$194,6,0)</f>
        <v>20</v>
      </c>
      <c r="H133" s="170">
        <f>VLOOKUP(B133,'Bảng lương tính trên HTfast'!$B$13:$H$194,7,0)</f>
        <v>16238000</v>
      </c>
      <c r="I133" s="173">
        <f>IFERROR(VLOOKUP(B133,'Luong vitri'!$C$6:$O$179,10,0),0)</f>
        <v>0</v>
      </c>
      <c r="J133" s="174">
        <f>VLOOKUP(B133,'Bảng lương tính trên HTfast'!$B$13:$I$194,8,0)</f>
        <v>1.1299999999999999</v>
      </c>
      <c r="K133" s="173">
        <f>IFERROR(VLOOKUP(B133,'Luong vitri'!$C$6:$O$201,12,0),0)</f>
        <v>0.45</v>
      </c>
      <c r="L133" s="170">
        <f t="shared" si="52"/>
        <v>7307100</v>
      </c>
      <c r="M133" s="170">
        <f t="shared" si="53"/>
        <v>2192130</v>
      </c>
      <c r="N133" s="170">
        <f t="shared" si="54"/>
        <v>20541070</v>
      </c>
      <c r="O133" s="170">
        <f>IFERROR(VLOOKUP(B133,'Bảng lương tính trên HTfast'!$B$13:$O$194,12,0),0)</f>
        <v>0</v>
      </c>
      <c r="P133" s="170">
        <f>IFERROR(VLOOKUP(B133,'BS lương'!$B$2:$M$188,9,0),0)</f>
        <v>9005945</v>
      </c>
      <c r="Q133" s="170">
        <f>IFERROR(VLOOKUP(B133,'BS lương'!$B$2:$M$188,10,0),0)</f>
        <v>922613</v>
      </c>
      <c r="R133" s="170">
        <f t="shared" si="55"/>
        <v>30469628</v>
      </c>
      <c r="S133" s="170">
        <f>IFERROR(VLOOKUP(B133,'Bảng lương tính trên HTfast'!$B$13:$U$194,16,0),0)</f>
        <v>1704990</v>
      </c>
      <c r="T133" s="170"/>
      <c r="U133" s="170"/>
      <c r="V133" s="170"/>
      <c r="W133" s="170">
        <f>IFERROR(VLOOKUP(B133,'Bảng lương tính trên HTfast'!$B$13:$U$190,20,0),0)</f>
        <v>9000000</v>
      </c>
      <c r="X133" s="170"/>
      <c r="Y133" s="170"/>
      <c r="Z133" s="170"/>
      <c r="AA133" s="170">
        <f t="shared" si="56"/>
        <v>18842025</v>
      </c>
      <c r="AB133" s="170"/>
      <c r="AC133" s="170"/>
      <c r="AD133" s="170"/>
      <c r="AE133" s="170"/>
      <c r="AF133" s="170"/>
      <c r="AG133" s="170"/>
      <c r="AH133" s="170"/>
      <c r="AI133" s="170"/>
      <c r="AJ133" s="170"/>
      <c r="AK133" s="170"/>
      <c r="AL133" s="170"/>
      <c r="AM133" s="170"/>
      <c r="AN133" s="170"/>
      <c r="AO133" s="170"/>
      <c r="AP133" s="170">
        <f t="shared" si="57"/>
        <v>2118405</v>
      </c>
      <c r="AQ133" s="170"/>
      <c r="AR133" s="170">
        <f t="shared" si="58"/>
        <v>26646233</v>
      </c>
      <c r="AS133" s="170"/>
      <c r="AT133" s="170"/>
      <c r="AU133" s="170">
        <f t="shared" si="59"/>
        <v>149000</v>
      </c>
      <c r="AV133" s="170">
        <f>IFERROR(VLOOKUP(B133,'BS lương'!$B$2:$M$181,11,0),0)</f>
        <v>0</v>
      </c>
      <c r="AW133" s="170"/>
      <c r="AX133" s="170">
        <f t="shared" si="60"/>
        <v>26497233</v>
      </c>
    </row>
    <row r="134" spans="1:50" ht="12" customHeight="1" x14ac:dyDescent="0.3">
      <c r="A134" s="205">
        <f t="shared" si="51"/>
        <v>111</v>
      </c>
      <c r="B134" s="171" t="s">
        <v>378</v>
      </c>
      <c r="C134" s="171" t="s">
        <v>379</v>
      </c>
      <c r="D134" s="171" t="s">
        <v>214</v>
      </c>
      <c r="E134" s="172"/>
      <c r="F134" s="172">
        <v>1.85</v>
      </c>
      <c r="G134" s="209">
        <f>VLOOKUP(B134,'Bảng lương tính trên HTfast'!$B$13:$H$194,6,0)</f>
        <v>20</v>
      </c>
      <c r="H134" s="170">
        <f>VLOOKUP(B134,'Bảng lương tính trên HTfast'!$B$13:$H$194,7,0)</f>
        <v>16238000</v>
      </c>
      <c r="I134" s="173">
        <f>IFERROR(VLOOKUP(B134,'Luong vitri'!$C$6:$O$179,10,0),0)</f>
        <v>0</v>
      </c>
      <c r="J134" s="174">
        <f>VLOOKUP(B134,'Bảng lương tính trên HTfast'!$B$13:$I$194,8,0)</f>
        <v>1.1299999999999999</v>
      </c>
      <c r="K134" s="173">
        <f>IFERROR(VLOOKUP(B134,'Luong vitri'!$C$6:$O$201,12,0),0)</f>
        <v>0.55000000000000004</v>
      </c>
      <c r="L134" s="170">
        <f t="shared" si="52"/>
        <v>8930900</v>
      </c>
      <c r="M134" s="170">
        <f t="shared" si="53"/>
        <v>2679270</v>
      </c>
      <c r="N134" s="170">
        <f t="shared" si="54"/>
        <v>21028210</v>
      </c>
      <c r="O134" s="170">
        <f>IFERROR(VLOOKUP(B134,'Bảng lương tính trên HTfast'!$B$13:$O$194,12,0),0)</f>
        <v>0</v>
      </c>
      <c r="P134" s="170">
        <f>IFERROR(VLOOKUP(B134,'BS lương'!$B$2:$M$188,9,0),0)</f>
        <v>0</v>
      </c>
      <c r="Q134" s="170">
        <f>IFERROR(VLOOKUP(B134,'BS lương'!$B$2:$M$188,10,0),0)</f>
        <v>0</v>
      </c>
      <c r="R134" s="170">
        <f t="shared" si="55"/>
        <v>21028210</v>
      </c>
      <c r="S134" s="170">
        <f>IFERROR(VLOOKUP(B134,'Bảng lương tính trên HTfast'!$B$13:$U$194,16,0),0)</f>
        <v>1704990</v>
      </c>
      <c r="T134" s="170"/>
      <c r="U134" s="170"/>
      <c r="V134" s="170"/>
      <c r="W134" s="170">
        <f>IFERROR(VLOOKUP(B134,'Bảng lương tính trên HTfast'!$B$13:$U$190,20,0),0)</f>
        <v>16200000</v>
      </c>
      <c r="X134" s="170"/>
      <c r="Y134" s="170"/>
      <c r="Z134" s="170"/>
      <c r="AA134" s="170">
        <f t="shared" si="56"/>
        <v>3123220</v>
      </c>
      <c r="AB134" s="170"/>
      <c r="AC134" s="170"/>
      <c r="AD134" s="170"/>
      <c r="AE134" s="170"/>
      <c r="AF134" s="170"/>
      <c r="AG134" s="170"/>
      <c r="AH134" s="170"/>
      <c r="AI134" s="170"/>
      <c r="AJ134" s="170"/>
      <c r="AK134" s="170"/>
      <c r="AL134" s="170"/>
      <c r="AM134" s="170"/>
      <c r="AN134" s="170"/>
      <c r="AO134" s="170"/>
      <c r="AP134" s="170">
        <f t="shared" si="57"/>
        <v>156161</v>
      </c>
      <c r="AQ134" s="170"/>
      <c r="AR134" s="170">
        <f t="shared" si="58"/>
        <v>19167059</v>
      </c>
      <c r="AS134" s="170"/>
      <c r="AT134" s="170"/>
      <c r="AU134" s="170">
        <f t="shared" si="59"/>
        <v>149000</v>
      </c>
      <c r="AV134" s="170">
        <f>IFERROR(VLOOKUP(B134,'BS lương'!$B$2:$M$181,11,0),0)</f>
        <v>0</v>
      </c>
      <c r="AW134" s="170"/>
      <c r="AX134" s="170">
        <f t="shared" si="60"/>
        <v>19018059</v>
      </c>
    </row>
    <row r="135" spans="1:50" ht="12" customHeight="1" x14ac:dyDescent="0.3">
      <c r="A135" s="205">
        <f t="shared" si="51"/>
        <v>112</v>
      </c>
      <c r="B135" s="171" t="s">
        <v>103</v>
      </c>
      <c r="C135" s="171" t="s">
        <v>104</v>
      </c>
      <c r="D135" s="171" t="s">
        <v>66</v>
      </c>
      <c r="E135" s="172"/>
      <c r="F135" s="172">
        <v>1.85</v>
      </c>
      <c r="G135" s="209">
        <f>VLOOKUP(B135,'Bảng lương tính trên HTfast'!$B$13:$H$194,6,0)</f>
        <v>20</v>
      </c>
      <c r="H135" s="170">
        <f>VLOOKUP(B135,'Bảng lương tính trên HTfast'!$B$13:$H$194,7,0)</f>
        <v>7801000</v>
      </c>
      <c r="I135" s="173">
        <f>IFERROR(VLOOKUP(B135,'Luong vitri'!$C$6:$O$179,10,0),0)</f>
        <v>0</v>
      </c>
      <c r="J135" s="174">
        <f>VLOOKUP(B135,'Bảng lương tính trên HTfast'!$B$13:$I$194,8,0)</f>
        <v>1.1299999999999999</v>
      </c>
      <c r="K135" s="173">
        <f>IFERROR(VLOOKUP(B135,'Luong vitri'!$C$6:$O$201,12,0),0)</f>
        <v>0.35</v>
      </c>
      <c r="L135" s="170">
        <f t="shared" si="52"/>
        <v>2730350</v>
      </c>
      <c r="M135" s="170">
        <f t="shared" si="53"/>
        <v>819105</v>
      </c>
      <c r="N135" s="170">
        <f t="shared" si="54"/>
        <v>9634235</v>
      </c>
      <c r="O135" s="170">
        <f>IFERROR(VLOOKUP(B135,'Bảng lương tính trên HTfast'!$B$13:$O$194,12,0),0)</f>
        <v>0</v>
      </c>
      <c r="P135" s="170">
        <f>IFERROR(VLOOKUP(B135,'BS lương'!$B$2:$M$188,9,0),0)</f>
        <v>0</v>
      </c>
      <c r="Q135" s="170">
        <f>IFERROR(VLOOKUP(B135,'BS lương'!$B$2:$M$188,10,0),0)</f>
        <v>0</v>
      </c>
      <c r="R135" s="170">
        <f t="shared" si="55"/>
        <v>9634235</v>
      </c>
      <c r="S135" s="170">
        <f>IFERROR(VLOOKUP(B135,'Bảng lương tính trên HTfast'!$B$13:$U$194,16,0),0)</f>
        <v>819105</v>
      </c>
      <c r="T135" s="170"/>
      <c r="U135" s="170"/>
      <c r="V135" s="170"/>
      <c r="W135" s="170">
        <f>IFERROR(VLOOKUP(B135,'Bảng lương tính trên HTfast'!$B$13:$U$190,20,0),0)</f>
        <v>19800000</v>
      </c>
      <c r="X135" s="170"/>
      <c r="Y135" s="170"/>
      <c r="Z135" s="170"/>
      <c r="AA135" s="170">
        <f t="shared" si="56"/>
        <v>0</v>
      </c>
      <c r="AB135" s="170"/>
      <c r="AC135" s="170"/>
      <c r="AD135" s="170"/>
      <c r="AE135" s="170"/>
      <c r="AF135" s="170"/>
      <c r="AG135" s="170"/>
      <c r="AH135" s="170"/>
      <c r="AI135" s="170"/>
      <c r="AJ135" s="170"/>
      <c r="AK135" s="170"/>
      <c r="AL135" s="170"/>
      <c r="AM135" s="170"/>
      <c r="AN135" s="170"/>
      <c r="AO135" s="170"/>
      <c r="AP135" s="170">
        <f t="shared" si="57"/>
        <v>0</v>
      </c>
      <c r="AQ135" s="170"/>
      <c r="AR135" s="170">
        <f t="shared" si="58"/>
        <v>8815130</v>
      </c>
      <c r="AS135" s="170"/>
      <c r="AT135" s="170"/>
      <c r="AU135" s="170">
        <f t="shared" si="59"/>
        <v>88151</v>
      </c>
      <c r="AV135" s="170">
        <f>IFERROR(VLOOKUP(B135,'BS lương'!$B$2:$M$181,11,0),0)</f>
        <v>0</v>
      </c>
      <c r="AW135" s="170"/>
      <c r="AX135" s="170">
        <f t="shared" si="60"/>
        <v>8726979</v>
      </c>
    </row>
    <row r="136" spans="1:50" ht="12" customHeight="1" x14ac:dyDescent="0.3">
      <c r="A136" s="205">
        <f t="shared" si="51"/>
        <v>113</v>
      </c>
      <c r="B136" s="171" t="s">
        <v>258</v>
      </c>
      <c r="C136" s="171" t="s">
        <v>259</v>
      </c>
      <c r="D136" s="171" t="s">
        <v>66</v>
      </c>
      <c r="E136" s="172"/>
      <c r="F136" s="172">
        <v>2.29</v>
      </c>
      <c r="G136" s="209">
        <f>VLOOKUP(B136,'Bảng lương tính trên HTfast'!$B$13:$H$194,6,0)</f>
        <v>20</v>
      </c>
      <c r="H136" s="170">
        <f>VLOOKUP(B136,'Bảng lương tính trên HTfast'!$B$13:$H$194,7,0)</f>
        <v>7841000</v>
      </c>
      <c r="I136" s="173">
        <f>IFERROR(VLOOKUP(B136,'Luong vitri'!$C$6:$O$179,10,0),0)</f>
        <v>0</v>
      </c>
      <c r="J136" s="174">
        <f>VLOOKUP(B136,'Bảng lương tính trên HTfast'!$B$13:$I$194,8,0)</f>
        <v>1</v>
      </c>
      <c r="K136" s="173">
        <f>IFERROR(VLOOKUP(B136,'Luong vitri'!$C$6:$O$201,12,0),0)</f>
        <v>0.35</v>
      </c>
      <c r="L136" s="170">
        <f t="shared" si="52"/>
        <v>2744350</v>
      </c>
      <c r="M136" s="170">
        <f t="shared" si="53"/>
        <v>823305</v>
      </c>
      <c r="N136" s="170">
        <f t="shared" si="54"/>
        <v>8664305</v>
      </c>
      <c r="O136" s="170">
        <f>IFERROR(VLOOKUP(B136,'Bảng lương tính trên HTfast'!$B$13:$O$194,12,0),0)</f>
        <v>0</v>
      </c>
      <c r="P136" s="170">
        <f>IFERROR(VLOOKUP(B136,'BS lương'!$B$2:$M$188,9,0),0)</f>
        <v>555556</v>
      </c>
      <c r="Q136" s="170">
        <f>IFERROR(VLOOKUP(B136,'BS lương'!$B$2:$M$188,10,0),0)</f>
        <v>0</v>
      </c>
      <c r="R136" s="170">
        <f t="shared" si="55"/>
        <v>9219861</v>
      </c>
      <c r="S136" s="170">
        <f>IFERROR(VLOOKUP(B136,'Bảng lương tính trên HTfast'!$B$13:$U$194,16,0),0)</f>
        <v>823305</v>
      </c>
      <c r="T136" s="170"/>
      <c r="U136" s="170"/>
      <c r="V136" s="170"/>
      <c r="W136" s="170">
        <f>IFERROR(VLOOKUP(B136,'Bảng lương tính trên HTfast'!$B$13:$U$190,20,0),0)</f>
        <v>12600000</v>
      </c>
      <c r="X136" s="170"/>
      <c r="Y136" s="170"/>
      <c r="Z136" s="170"/>
      <c r="AA136" s="170">
        <f t="shared" si="56"/>
        <v>0</v>
      </c>
      <c r="AB136" s="170"/>
      <c r="AC136" s="170"/>
      <c r="AD136" s="170"/>
      <c r="AE136" s="170"/>
      <c r="AF136" s="170"/>
      <c r="AG136" s="170"/>
      <c r="AH136" s="170"/>
      <c r="AI136" s="170"/>
      <c r="AJ136" s="170"/>
      <c r="AK136" s="170"/>
      <c r="AL136" s="170"/>
      <c r="AM136" s="170"/>
      <c r="AN136" s="170"/>
      <c r="AO136" s="170"/>
      <c r="AP136" s="170">
        <f t="shared" si="57"/>
        <v>0</v>
      </c>
      <c r="AQ136" s="170"/>
      <c r="AR136" s="170">
        <f t="shared" si="58"/>
        <v>8396556</v>
      </c>
      <c r="AS136" s="170"/>
      <c r="AT136" s="170"/>
      <c r="AU136" s="170">
        <f t="shared" si="59"/>
        <v>83966</v>
      </c>
      <c r="AV136" s="170">
        <f>IFERROR(VLOOKUP(B136,'BS lương'!$B$2:$M$181,11,0),0)</f>
        <v>0</v>
      </c>
      <c r="AW136" s="170"/>
      <c r="AX136" s="170">
        <f t="shared" si="60"/>
        <v>8312590</v>
      </c>
    </row>
    <row r="137" spans="1:50" ht="12" customHeight="1" x14ac:dyDescent="0.3">
      <c r="A137" s="205">
        <f t="shared" si="51"/>
        <v>114</v>
      </c>
      <c r="B137" s="171" t="s">
        <v>64</v>
      </c>
      <c r="C137" s="171" t="s">
        <v>65</v>
      </c>
      <c r="D137" s="171" t="s">
        <v>66</v>
      </c>
      <c r="E137" s="172"/>
      <c r="F137" s="172">
        <v>1.85</v>
      </c>
      <c r="G137" s="209">
        <f>VLOOKUP(B137,'Bảng lương tính trên HTfast'!$B$13:$H$194,6,0)</f>
        <v>20</v>
      </c>
      <c r="H137" s="170">
        <f>VLOOKUP(B137,'Bảng lương tính trên HTfast'!$B$13:$H$194,7,0)</f>
        <v>8875000</v>
      </c>
      <c r="I137" s="173">
        <f>IFERROR(VLOOKUP(B137,'Luong vitri'!$C$6:$O$179,10,0),0)</f>
        <v>0</v>
      </c>
      <c r="J137" s="174">
        <f>VLOOKUP(B137,'Bảng lương tính trên HTfast'!$B$13:$I$194,8,0)</f>
        <v>1.1299999999999999</v>
      </c>
      <c r="K137" s="173">
        <f>IFERROR(VLOOKUP(B137,'Luong vitri'!$C$6:$O$187,12,0),0)</f>
        <v>0.45</v>
      </c>
      <c r="L137" s="170">
        <f t="shared" si="52"/>
        <v>3993750</v>
      </c>
      <c r="M137" s="170">
        <f t="shared" si="53"/>
        <v>1198125</v>
      </c>
      <c r="N137" s="170">
        <f t="shared" si="54"/>
        <v>11226875</v>
      </c>
      <c r="O137" s="170">
        <f>IFERROR(VLOOKUP(B137,'Bảng lương tính trên HTfast'!$B$13:$O$194,12,0),0)</f>
        <v>0</v>
      </c>
      <c r="P137" s="170">
        <f>IFERROR(VLOOKUP(B137,'BS lương'!$B$2:$M$188,9,0),0)</f>
        <v>0</v>
      </c>
      <c r="Q137" s="170">
        <f>IFERROR(VLOOKUP(B137,'BS lương'!$B$2:$M$188,10,0),0)</f>
        <v>0</v>
      </c>
      <c r="R137" s="170">
        <f t="shared" si="55"/>
        <v>11226875</v>
      </c>
      <c r="S137" s="170">
        <f>IFERROR(VLOOKUP(B137,'Bảng lương tính trên HTfast'!$B$13:$U$194,16,0),0)</f>
        <v>931875</v>
      </c>
      <c r="T137" s="170"/>
      <c r="U137" s="170"/>
      <c r="V137" s="170"/>
      <c r="W137" s="170">
        <f>IFERROR(VLOOKUP(B137,'Bảng lương tính trên HTfast'!$B$13:$U$190,20,0),0)</f>
        <v>9000000</v>
      </c>
      <c r="X137" s="170"/>
      <c r="Y137" s="170"/>
      <c r="Z137" s="170"/>
      <c r="AA137" s="170">
        <f t="shared" si="56"/>
        <v>1295000</v>
      </c>
      <c r="AB137" s="170"/>
      <c r="AC137" s="170"/>
      <c r="AD137" s="170"/>
      <c r="AE137" s="170"/>
      <c r="AF137" s="170"/>
      <c r="AG137" s="170"/>
      <c r="AH137" s="170"/>
      <c r="AI137" s="170"/>
      <c r="AJ137" s="170"/>
      <c r="AK137" s="170"/>
      <c r="AL137" s="170"/>
      <c r="AM137" s="170"/>
      <c r="AN137" s="170"/>
      <c r="AO137" s="170"/>
      <c r="AP137" s="170">
        <f t="shared" si="57"/>
        <v>64750</v>
      </c>
      <c r="AQ137" s="170"/>
      <c r="AR137" s="170">
        <f t="shared" si="58"/>
        <v>10230250</v>
      </c>
      <c r="AS137" s="170"/>
      <c r="AT137" s="170"/>
      <c r="AU137" s="170">
        <f t="shared" si="59"/>
        <v>102303</v>
      </c>
      <c r="AV137" s="170">
        <f>IFERROR(VLOOKUP(B137,'BS lương'!$B$2:$M$181,11,0),0)</f>
        <v>0</v>
      </c>
      <c r="AW137" s="170"/>
      <c r="AX137" s="170">
        <f t="shared" si="60"/>
        <v>10127947</v>
      </c>
    </row>
    <row r="138" spans="1:50" ht="12" customHeight="1" x14ac:dyDescent="0.3">
      <c r="A138" s="205">
        <f t="shared" si="51"/>
        <v>115</v>
      </c>
      <c r="B138" s="171" t="s">
        <v>336</v>
      </c>
      <c r="C138" s="171" t="s">
        <v>337</v>
      </c>
      <c r="D138" s="171" t="s">
        <v>66</v>
      </c>
      <c r="E138" s="172"/>
      <c r="F138" s="172">
        <v>1.85</v>
      </c>
      <c r="G138" s="209">
        <f>VLOOKUP(B138,'Bảng lương tính trên HTfast'!$B$13:$H$194,6,0)</f>
        <v>20</v>
      </c>
      <c r="H138" s="170">
        <f>VLOOKUP(B138,'Bảng lương tính trên HTfast'!$B$13:$H$194,7,0)</f>
        <v>7323000</v>
      </c>
      <c r="I138" s="173">
        <f>IFERROR(VLOOKUP(B138,'Luong vitri'!$C$6:$O$179,10,0),0)</f>
        <v>0</v>
      </c>
      <c r="J138" s="174">
        <f>VLOOKUP(B138,'Bảng lương tính trên HTfast'!$B$13:$I$194,8,0)</f>
        <v>1</v>
      </c>
      <c r="K138" s="173">
        <f>IFERROR(VLOOKUP(B138,'Luong vitri'!$C$6:$O$201,12,0),0)</f>
        <v>0.45</v>
      </c>
      <c r="L138" s="170">
        <f t="shared" si="52"/>
        <v>3295350</v>
      </c>
      <c r="M138" s="170">
        <f t="shared" si="53"/>
        <v>988605</v>
      </c>
      <c r="N138" s="170">
        <f t="shared" si="54"/>
        <v>8311605</v>
      </c>
      <c r="O138" s="170">
        <f>IFERROR(VLOOKUP(B138,'Bảng lương tính trên HTfast'!$B$13:$O$194,12,0),0)</f>
        <v>730000</v>
      </c>
      <c r="P138" s="170">
        <f>IFERROR(VLOOKUP(B138,'BS lương'!$B$2:$M$188,9,0),0)</f>
        <v>370370</v>
      </c>
      <c r="Q138" s="170">
        <f>IFERROR(VLOOKUP(B138,'BS lương'!$B$2:$M$188,10,0),0)</f>
        <v>0</v>
      </c>
      <c r="R138" s="170">
        <f t="shared" si="55"/>
        <v>9411975</v>
      </c>
      <c r="S138" s="170">
        <f>IFERROR(VLOOKUP(B138,'Bảng lương tính trên HTfast'!$B$13:$U$194,16,0),0)</f>
        <v>768915</v>
      </c>
      <c r="T138" s="170"/>
      <c r="U138" s="170"/>
      <c r="V138" s="170"/>
      <c r="W138" s="170">
        <f>IFERROR(VLOOKUP(B138,'Bảng lương tính trên HTfast'!$B$13:$U$190,20,0),0)</f>
        <v>9000000</v>
      </c>
      <c r="X138" s="170"/>
      <c r="Y138" s="170"/>
      <c r="Z138" s="170"/>
      <c r="AA138" s="170">
        <f t="shared" si="56"/>
        <v>0</v>
      </c>
      <c r="AB138" s="170"/>
      <c r="AC138" s="170"/>
      <c r="AD138" s="170"/>
      <c r="AE138" s="170"/>
      <c r="AF138" s="170"/>
      <c r="AG138" s="170"/>
      <c r="AH138" s="170"/>
      <c r="AI138" s="170"/>
      <c r="AJ138" s="170"/>
      <c r="AK138" s="170"/>
      <c r="AL138" s="170"/>
      <c r="AM138" s="170"/>
      <c r="AN138" s="170"/>
      <c r="AO138" s="170"/>
      <c r="AP138" s="170">
        <f t="shared" si="57"/>
        <v>0</v>
      </c>
      <c r="AQ138" s="170"/>
      <c r="AR138" s="170">
        <f t="shared" si="58"/>
        <v>8643060</v>
      </c>
      <c r="AS138" s="170"/>
      <c r="AT138" s="170"/>
      <c r="AU138" s="170">
        <f t="shared" si="59"/>
        <v>86431</v>
      </c>
      <c r="AV138" s="170">
        <f>IFERROR(VLOOKUP(B138,'BS lương'!$B$2:$M$181,11,0),0)</f>
        <v>0</v>
      </c>
      <c r="AW138" s="170"/>
      <c r="AX138" s="170">
        <f t="shared" si="60"/>
        <v>8556629</v>
      </c>
    </row>
    <row r="139" spans="1:50" ht="12" customHeight="1" x14ac:dyDescent="0.3">
      <c r="A139" s="205">
        <f t="shared" si="51"/>
        <v>116</v>
      </c>
      <c r="B139" s="171" t="s">
        <v>311</v>
      </c>
      <c r="C139" s="171" t="s">
        <v>312</v>
      </c>
      <c r="D139" s="171" t="s">
        <v>66</v>
      </c>
      <c r="E139" s="172"/>
      <c r="F139" s="172">
        <v>1.85</v>
      </c>
      <c r="G139" s="209">
        <f>VLOOKUP(B139,'Bảng lương tính trên HTfast'!$B$13:$H$194,6,0)</f>
        <v>20</v>
      </c>
      <c r="H139" s="170">
        <f>VLOOKUP(B139,'Bảng lương tính trên HTfast'!$B$13:$H$194,7,0)</f>
        <v>7841000</v>
      </c>
      <c r="I139" s="173">
        <f>IFERROR(VLOOKUP(B139,'Luong vitri'!$C$6:$O$179,10,0),0)</f>
        <v>0</v>
      </c>
      <c r="J139" s="174">
        <f>VLOOKUP(B139,'Bảng lương tính trên HTfast'!$B$13:$I$194,8,0)</f>
        <v>1</v>
      </c>
      <c r="K139" s="173">
        <f>IFERROR(VLOOKUP(B139,'Luong vitri'!$C$6:$O$201,12,0),0)</f>
        <v>0.35</v>
      </c>
      <c r="L139" s="170">
        <f t="shared" si="52"/>
        <v>2744350</v>
      </c>
      <c r="M139" s="170">
        <f t="shared" si="53"/>
        <v>823305</v>
      </c>
      <c r="N139" s="170">
        <f t="shared" si="54"/>
        <v>8664305</v>
      </c>
      <c r="O139" s="170">
        <f>IFERROR(VLOOKUP(B139,'Bảng lương tính trên HTfast'!$B$13:$O$194,12,0),0)</f>
        <v>0</v>
      </c>
      <c r="P139" s="170">
        <f>IFERROR(VLOOKUP(B139,'BS lương'!$B$2:$M$188,9,0),0)</f>
        <v>370370</v>
      </c>
      <c r="Q139" s="170">
        <f>IFERROR(VLOOKUP(B139,'BS lương'!$B$2:$M$188,10,0),0)</f>
        <v>0</v>
      </c>
      <c r="R139" s="170">
        <f t="shared" si="55"/>
        <v>9034675</v>
      </c>
      <c r="S139" s="170">
        <f>IFERROR(VLOOKUP(B139,'Bảng lương tính trên HTfast'!$B$13:$U$194,16,0),0)</f>
        <v>823305</v>
      </c>
      <c r="T139" s="170"/>
      <c r="U139" s="170"/>
      <c r="V139" s="170"/>
      <c r="W139" s="170">
        <f>IFERROR(VLOOKUP(B139,'Bảng lương tính trên HTfast'!$B$13:$U$190,20,0),0)</f>
        <v>9000000</v>
      </c>
      <c r="X139" s="170"/>
      <c r="Y139" s="170"/>
      <c r="Z139" s="170"/>
      <c r="AA139" s="170">
        <f t="shared" si="56"/>
        <v>0</v>
      </c>
      <c r="AB139" s="170"/>
      <c r="AC139" s="170"/>
      <c r="AD139" s="170"/>
      <c r="AE139" s="170"/>
      <c r="AF139" s="170"/>
      <c r="AG139" s="170"/>
      <c r="AH139" s="170"/>
      <c r="AI139" s="170"/>
      <c r="AJ139" s="170"/>
      <c r="AK139" s="170"/>
      <c r="AL139" s="170"/>
      <c r="AM139" s="170"/>
      <c r="AN139" s="170"/>
      <c r="AO139" s="170"/>
      <c r="AP139" s="170">
        <f t="shared" si="57"/>
        <v>0</v>
      </c>
      <c r="AQ139" s="170"/>
      <c r="AR139" s="170">
        <f t="shared" si="58"/>
        <v>8211370</v>
      </c>
      <c r="AS139" s="170"/>
      <c r="AT139" s="170"/>
      <c r="AU139" s="170">
        <f t="shared" si="59"/>
        <v>82114</v>
      </c>
      <c r="AV139" s="170">
        <f>IFERROR(VLOOKUP(B139,'BS lương'!$B$2:$M$181,11,0),0)</f>
        <v>0</v>
      </c>
      <c r="AW139" s="170"/>
      <c r="AX139" s="170">
        <f t="shared" si="60"/>
        <v>8129256</v>
      </c>
    </row>
    <row r="140" spans="1:50" ht="12" customHeight="1" x14ac:dyDescent="0.3">
      <c r="A140" s="205">
        <f t="shared" si="51"/>
        <v>117</v>
      </c>
      <c r="B140" s="171" t="s">
        <v>365</v>
      </c>
      <c r="C140" s="171" t="s">
        <v>366</v>
      </c>
      <c r="D140" s="171" t="s">
        <v>66</v>
      </c>
      <c r="E140" s="172"/>
      <c r="F140" s="172">
        <v>1.85</v>
      </c>
      <c r="G140" s="209">
        <f>VLOOKUP(B140,'Bảng lương tính trên HTfast'!$B$13:$H$194,6,0)</f>
        <v>20</v>
      </c>
      <c r="H140" s="170">
        <f>VLOOKUP(B140,'Bảng lương tính trên HTfast'!$B$13:$H$194,7,0)</f>
        <v>7363000</v>
      </c>
      <c r="I140" s="173">
        <f>IFERROR(VLOOKUP(B140,'Luong vitri'!$C$6:$O$179,10,0),0)</f>
        <v>0</v>
      </c>
      <c r="J140" s="174">
        <f>VLOOKUP(B140,'Bảng lương tính trên HTfast'!$B$13:$I$194,8,0)</f>
        <v>1</v>
      </c>
      <c r="K140" s="173">
        <f>IFERROR(VLOOKUP(B140,'Luong vitri'!$C$6:$O$201,12,0),0)</f>
        <v>0.35</v>
      </c>
      <c r="L140" s="170">
        <f t="shared" si="52"/>
        <v>2577050</v>
      </c>
      <c r="M140" s="170">
        <f t="shared" si="53"/>
        <v>773115</v>
      </c>
      <c r="N140" s="170">
        <f t="shared" si="54"/>
        <v>8136115</v>
      </c>
      <c r="O140" s="170">
        <f>IFERROR(VLOOKUP(B140,'Bảng lương tính trên HTfast'!$B$13:$O$194,12,0),0)</f>
        <v>730000</v>
      </c>
      <c r="P140" s="170">
        <f>IFERROR(VLOOKUP(B140,'BS lương'!$B$2:$M$188,9,0),0)</f>
        <v>0</v>
      </c>
      <c r="Q140" s="170">
        <f>IFERROR(VLOOKUP(B140,'BS lương'!$B$2:$M$188,10,0),0)</f>
        <v>0</v>
      </c>
      <c r="R140" s="170">
        <f t="shared" si="55"/>
        <v>8866115</v>
      </c>
      <c r="S140" s="170">
        <f>IFERROR(VLOOKUP(B140,'Bảng lương tính trên HTfast'!$B$13:$U$194,16,0),0)</f>
        <v>773115</v>
      </c>
      <c r="T140" s="170"/>
      <c r="U140" s="170"/>
      <c r="V140" s="170"/>
      <c r="W140" s="170">
        <f>IFERROR(VLOOKUP(B140,'Bảng lương tính trên HTfast'!$B$13:$U$190,20,0),0)</f>
        <v>12600000</v>
      </c>
      <c r="X140" s="170"/>
      <c r="Y140" s="170"/>
      <c r="Z140" s="170"/>
      <c r="AA140" s="170">
        <f t="shared" si="56"/>
        <v>0</v>
      </c>
      <c r="AB140" s="170"/>
      <c r="AC140" s="170"/>
      <c r="AD140" s="170"/>
      <c r="AE140" s="170"/>
      <c r="AF140" s="170"/>
      <c r="AG140" s="170"/>
      <c r="AH140" s="170"/>
      <c r="AI140" s="170"/>
      <c r="AJ140" s="170"/>
      <c r="AK140" s="170"/>
      <c r="AL140" s="170"/>
      <c r="AM140" s="170"/>
      <c r="AN140" s="170"/>
      <c r="AO140" s="170"/>
      <c r="AP140" s="170">
        <f t="shared" si="57"/>
        <v>0</v>
      </c>
      <c r="AQ140" s="170"/>
      <c r="AR140" s="170">
        <f t="shared" si="58"/>
        <v>8093000</v>
      </c>
      <c r="AS140" s="170"/>
      <c r="AT140" s="170"/>
      <c r="AU140" s="170">
        <f t="shared" si="59"/>
        <v>80930</v>
      </c>
      <c r="AV140" s="170">
        <f>IFERROR(VLOOKUP(B140,'BS lương'!$B$2:$M$181,11,0),0)</f>
        <v>0</v>
      </c>
      <c r="AW140" s="170"/>
      <c r="AX140" s="170">
        <f t="shared" si="60"/>
        <v>8012070</v>
      </c>
    </row>
    <row r="141" spans="1:50" ht="12" customHeight="1" x14ac:dyDescent="0.3">
      <c r="A141" s="205">
        <f t="shared" si="51"/>
        <v>118</v>
      </c>
      <c r="B141" s="171" t="s">
        <v>289</v>
      </c>
      <c r="C141" s="171" t="s">
        <v>290</v>
      </c>
      <c r="D141" s="171" t="s">
        <v>217</v>
      </c>
      <c r="E141" s="172"/>
      <c r="F141" s="172">
        <v>1.85</v>
      </c>
      <c r="G141" s="209">
        <f>VLOOKUP(B141,'Bảng lương tính trên HTfast'!$B$13:$H$194,6,0)</f>
        <v>20</v>
      </c>
      <c r="H141" s="170">
        <f>VLOOKUP(B141,'Bảng lương tính trên HTfast'!$B$13:$H$194,7,0)</f>
        <v>9831000</v>
      </c>
      <c r="I141" s="173">
        <f>IFERROR(VLOOKUP(B141,'Luong vitri'!$C$6:$O$179,10,0),0)</f>
        <v>0</v>
      </c>
      <c r="J141" s="174">
        <f>VLOOKUP(B141,'Bảng lương tính trên HTfast'!$B$13:$I$194,8,0)</f>
        <v>1</v>
      </c>
      <c r="K141" s="173">
        <f>IFERROR(VLOOKUP(B141,'Luong vitri'!$C$6:$O$201,12,0),0)</f>
        <v>0.45</v>
      </c>
      <c r="L141" s="170">
        <f t="shared" si="52"/>
        <v>4423950</v>
      </c>
      <c r="M141" s="170">
        <f t="shared" si="53"/>
        <v>1327185</v>
      </c>
      <c r="N141" s="170">
        <f t="shared" si="54"/>
        <v>11158185</v>
      </c>
      <c r="O141" s="170">
        <f>IFERROR(VLOOKUP(B141,'Bảng lương tính trên HTfast'!$B$13:$O$194,12,0),0)</f>
        <v>0</v>
      </c>
      <c r="P141" s="170">
        <f>IFERROR(VLOOKUP(B141,'BS lương'!$B$2:$M$188,9,0),0)</f>
        <v>370370</v>
      </c>
      <c r="Q141" s="170">
        <f>IFERROR(VLOOKUP(B141,'BS lương'!$B$2:$M$188,10,0),0)</f>
        <v>0</v>
      </c>
      <c r="R141" s="170">
        <f t="shared" si="55"/>
        <v>11528555</v>
      </c>
      <c r="S141" s="170">
        <f>IFERROR(VLOOKUP(B141,'Bảng lương tính trên HTfast'!$B$13:$U$194,16,0),0)</f>
        <v>1032255</v>
      </c>
      <c r="T141" s="170"/>
      <c r="U141" s="170"/>
      <c r="V141" s="170"/>
      <c r="W141" s="170">
        <f>IFERROR(VLOOKUP(B141,'Bảng lương tính trên HTfast'!$B$13:$U$190,20,0),0)</f>
        <v>16200000</v>
      </c>
      <c r="X141" s="170"/>
      <c r="Y141" s="170"/>
      <c r="Z141" s="170"/>
      <c r="AA141" s="170">
        <f t="shared" si="56"/>
        <v>0</v>
      </c>
      <c r="AB141" s="170"/>
      <c r="AC141" s="170"/>
      <c r="AD141" s="170"/>
      <c r="AE141" s="170"/>
      <c r="AF141" s="170"/>
      <c r="AG141" s="170"/>
      <c r="AH141" s="170"/>
      <c r="AI141" s="170"/>
      <c r="AJ141" s="170"/>
      <c r="AK141" s="170"/>
      <c r="AL141" s="170"/>
      <c r="AM141" s="170"/>
      <c r="AN141" s="170"/>
      <c r="AO141" s="170"/>
      <c r="AP141" s="170">
        <f t="shared" si="57"/>
        <v>0</v>
      </c>
      <c r="AQ141" s="170"/>
      <c r="AR141" s="170">
        <f t="shared" si="58"/>
        <v>10496300</v>
      </c>
      <c r="AS141" s="170"/>
      <c r="AT141" s="170"/>
      <c r="AU141" s="170">
        <f t="shared" si="59"/>
        <v>104963</v>
      </c>
      <c r="AV141" s="170">
        <f>IFERROR(VLOOKUP(B141,'BS lương'!$B$2:$M$181,11,0),0)</f>
        <v>0</v>
      </c>
      <c r="AW141" s="170"/>
      <c r="AX141" s="170">
        <f t="shared" si="60"/>
        <v>10391337</v>
      </c>
    </row>
    <row r="142" spans="1:50" ht="12" customHeight="1" x14ac:dyDescent="0.3">
      <c r="A142" s="205">
        <f t="shared" si="51"/>
        <v>119</v>
      </c>
      <c r="B142" s="171" t="s">
        <v>361</v>
      </c>
      <c r="C142" s="171" t="s">
        <v>362</v>
      </c>
      <c r="D142" s="171" t="s">
        <v>66</v>
      </c>
      <c r="E142" s="172"/>
      <c r="F142" s="172">
        <v>36.42</v>
      </c>
      <c r="G142" s="209">
        <f>VLOOKUP(B142,'Bảng lương tính trên HTfast'!$B$13:$H$194,6,0)</f>
        <v>20</v>
      </c>
      <c r="H142" s="170">
        <f>VLOOKUP(B142,'Bảng lương tính trên HTfast'!$B$13:$H$194,7,0)</f>
        <v>7363000</v>
      </c>
      <c r="I142" s="173">
        <f>IFERROR(VLOOKUP(B142,'Luong vitri'!$C$6:$O$179,10,0),0)</f>
        <v>0</v>
      </c>
      <c r="J142" s="174">
        <f>VLOOKUP(B142,'Bảng lương tính trên HTfast'!$B$13:$I$194,8,0)</f>
        <v>1</v>
      </c>
      <c r="K142" s="173">
        <f>IFERROR(VLOOKUP(B142,'Luong vitri'!$C$6:$O$201,12,0),0)</f>
        <v>0.35</v>
      </c>
      <c r="L142" s="170">
        <f t="shared" si="52"/>
        <v>2577050</v>
      </c>
      <c r="M142" s="170">
        <f t="shared" si="53"/>
        <v>773115</v>
      </c>
      <c r="N142" s="170">
        <f t="shared" si="54"/>
        <v>8136115</v>
      </c>
      <c r="O142" s="170">
        <f>IFERROR(VLOOKUP(B142,'Bảng lương tính trên HTfast'!$B$13:$O$194,12,0),0)</f>
        <v>730000</v>
      </c>
      <c r="P142" s="170">
        <f>IFERROR(VLOOKUP(B142,'BS lương'!$B$2:$M$188,9,0),0)</f>
        <v>0</v>
      </c>
      <c r="Q142" s="170">
        <f>IFERROR(VLOOKUP(B142,'BS lương'!$B$2:$M$188,10,0),0)</f>
        <v>0</v>
      </c>
      <c r="R142" s="170">
        <f t="shared" si="55"/>
        <v>8866115</v>
      </c>
      <c r="S142" s="170">
        <f>IFERROR(VLOOKUP(B142,'Bảng lương tính trên HTfast'!$B$13:$U$194,16,0),0)</f>
        <v>773115</v>
      </c>
      <c r="T142" s="170"/>
      <c r="U142" s="170"/>
      <c r="V142" s="170"/>
      <c r="W142" s="170">
        <f>IFERROR(VLOOKUP(B142,'Bảng lương tính trên HTfast'!$B$13:$U$190,20,0),0)</f>
        <v>9000000</v>
      </c>
      <c r="X142" s="170"/>
      <c r="Y142" s="170"/>
      <c r="Z142" s="170"/>
      <c r="AA142" s="170">
        <f t="shared" si="56"/>
        <v>0</v>
      </c>
      <c r="AB142" s="170"/>
      <c r="AC142" s="170"/>
      <c r="AD142" s="170"/>
      <c r="AE142" s="170"/>
      <c r="AF142" s="170"/>
      <c r="AG142" s="170"/>
      <c r="AH142" s="170"/>
      <c r="AI142" s="170"/>
      <c r="AJ142" s="170"/>
      <c r="AK142" s="170"/>
      <c r="AL142" s="170"/>
      <c r="AM142" s="170"/>
      <c r="AN142" s="170"/>
      <c r="AO142" s="170"/>
      <c r="AP142" s="170">
        <f t="shared" si="57"/>
        <v>0</v>
      </c>
      <c r="AQ142" s="170"/>
      <c r="AR142" s="170">
        <f t="shared" si="58"/>
        <v>8093000</v>
      </c>
      <c r="AS142" s="170"/>
      <c r="AT142" s="170"/>
      <c r="AU142" s="170">
        <f t="shared" si="59"/>
        <v>80930</v>
      </c>
      <c r="AV142" s="170">
        <f>IFERROR(VLOOKUP(B142,'BS lương'!$B$2:$M$181,11,0),0)</f>
        <v>0</v>
      </c>
      <c r="AW142" s="170"/>
      <c r="AX142" s="170">
        <f t="shared" si="60"/>
        <v>8012070</v>
      </c>
    </row>
    <row r="143" spans="1:50" ht="12" customHeight="1" x14ac:dyDescent="0.3">
      <c r="A143" s="205">
        <f t="shared" si="51"/>
        <v>120</v>
      </c>
      <c r="B143" s="171" t="s">
        <v>138</v>
      </c>
      <c r="C143" s="171" t="s">
        <v>139</v>
      </c>
      <c r="D143" s="171" t="s">
        <v>66</v>
      </c>
      <c r="E143" s="172"/>
      <c r="F143" s="172">
        <v>17.02</v>
      </c>
      <c r="G143" s="209">
        <f>VLOOKUP(B143,'Bảng lương tính trên HTfast'!$B$13:$H$194,6,0)</f>
        <v>20</v>
      </c>
      <c r="H143" s="170">
        <f>VLOOKUP(B143,'Bảng lương tính trên HTfast'!$B$13:$H$194,7,0)</f>
        <v>7323000</v>
      </c>
      <c r="I143" s="173">
        <f>IFERROR(VLOOKUP(B143,'Luong vitri'!$C$6:$O$179,10,0),0)</f>
        <v>0</v>
      </c>
      <c r="J143" s="174">
        <f>VLOOKUP(B143,'Bảng lương tính trên HTfast'!$B$13:$I$194,8,0)</f>
        <v>1.1299999999999999</v>
      </c>
      <c r="K143" s="173">
        <f>IFERROR(VLOOKUP(B143,'Luong vitri'!$C$6:$O$201,12,0),0)</f>
        <v>0.35</v>
      </c>
      <c r="L143" s="170">
        <f t="shared" si="52"/>
        <v>2563050</v>
      </c>
      <c r="M143" s="170">
        <f t="shared" si="53"/>
        <v>768915</v>
      </c>
      <c r="N143" s="170">
        <f t="shared" si="54"/>
        <v>9043905</v>
      </c>
      <c r="O143" s="170">
        <f>IFERROR(VLOOKUP(B143,'Bảng lương tính trên HTfast'!$B$13:$O$194,12,0),0)</f>
        <v>0</v>
      </c>
      <c r="P143" s="170">
        <f>IFERROR(VLOOKUP(B143,'BS lương'!$B$2:$M$188,9,0),0)</f>
        <v>0</v>
      </c>
      <c r="Q143" s="170">
        <f>IFERROR(VLOOKUP(B143,'BS lương'!$B$2:$M$188,10,0),0)</f>
        <v>0</v>
      </c>
      <c r="R143" s="170">
        <f t="shared" si="55"/>
        <v>9043905</v>
      </c>
      <c r="S143" s="170">
        <f>IFERROR(VLOOKUP(B143,'Bảng lương tính trên HTfast'!$B$13:$U$194,16,0),0)</f>
        <v>768915</v>
      </c>
      <c r="T143" s="170"/>
      <c r="U143" s="170"/>
      <c r="V143" s="170"/>
      <c r="W143" s="170">
        <f>IFERROR(VLOOKUP(B143,'Bảng lương tính trên HTfast'!$B$13:$U$190,20,0),0)</f>
        <v>12600000</v>
      </c>
      <c r="X143" s="170"/>
      <c r="Y143" s="170"/>
      <c r="Z143" s="170"/>
      <c r="AA143" s="170">
        <f t="shared" si="56"/>
        <v>0</v>
      </c>
      <c r="AB143" s="170"/>
      <c r="AC143" s="170"/>
      <c r="AD143" s="170"/>
      <c r="AE143" s="170"/>
      <c r="AF143" s="170"/>
      <c r="AG143" s="170"/>
      <c r="AH143" s="170"/>
      <c r="AI143" s="170"/>
      <c r="AJ143" s="170"/>
      <c r="AK143" s="170"/>
      <c r="AL143" s="170"/>
      <c r="AM143" s="170"/>
      <c r="AN143" s="170"/>
      <c r="AO143" s="170"/>
      <c r="AP143" s="170">
        <f t="shared" si="57"/>
        <v>0</v>
      </c>
      <c r="AQ143" s="170"/>
      <c r="AR143" s="170">
        <f t="shared" si="58"/>
        <v>8274990</v>
      </c>
      <c r="AS143" s="170"/>
      <c r="AT143" s="170"/>
      <c r="AU143" s="170">
        <f t="shared" si="59"/>
        <v>82750</v>
      </c>
      <c r="AV143" s="170">
        <f>IFERROR(VLOOKUP(B143,'BS lương'!$B$2:$M$181,11,0),0)</f>
        <v>0</v>
      </c>
      <c r="AW143" s="170"/>
      <c r="AX143" s="170">
        <f t="shared" si="60"/>
        <v>8192240</v>
      </c>
    </row>
    <row r="144" spans="1:50" ht="12" customHeight="1" x14ac:dyDescent="0.3">
      <c r="A144" s="205">
        <f t="shared" si="51"/>
        <v>121</v>
      </c>
      <c r="B144" s="171" t="s">
        <v>803</v>
      </c>
      <c r="C144" s="171" t="s">
        <v>804</v>
      </c>
      <c r="D144" s="171" t="s">
        <v>66</v>
      </c>
      <c r="E144" s="172"/>
      <c r="F144" s="172">
        <v>15.51</v>
      </c>
      <c r="G144" s="209">
        <f>VLOOKUP(B144,'Bảng lương tính trên HTfast'!$B$13:$H$194,6,0)</f>
        <v>20</v>
      </c>
      <c r="H144" s="170">
        <f>VLOOKUP(B144,'Bảng lương tính trên HTfast'!$B$13:$H$194,7,0)</f>
        <v>7323000</v>
      </c>
      <c r="I144" s="173">
        <f>IFERROR(VLOOKUP(B144,'Luong vitri'!$C$6:$O$179,10,0),0)</f>
        <v>0</v>
      </c>
      <c r="J144" s="174">
        <f>VLOOKUP(B144,'Bảng lương tính trên HTfast'!$B$13:$I$194,8,0)</f>
        <v>1.1299999999999999</v>
      </c>
      <c r="K144" s="173">
        <f>IFERROR(VLOOKUP(B144,'Luong vitri'!$C$6:$O$187,12,0),0)</f>
        <v>0.45</v>
      </c>
      <c r="L144" s="170">
        <f t="shared" si="52"/>
        <v>3295350</v>
      </c>
      <c r="M144" s="170">
        <f t="shared" si="53"/>
        <v>988605</v>
      </c>
      <c r="N144" s="170">
        <f t="shared" si="54"/>
        <v>9263595</v>
      </c>
      <c r="O144" s="170">
        <f>IFERROR(VLOOKUP(B144,'Bảng lương tính trên HTfast'!$B$13:$O$194,12,0),0)</f>
        <v>0</v>
      </c>
      <c r="P144" s="170">
        <f>IFERROR(VLOOKUP(B144,'BS lương'!$B$2:$M$188,9,0),0)</f>
        <v>0</v>
      </c>
      <c r="Q144" s="170">
        <f>IFERROR(VLOOKUP(B144,'BS lương'!$B$2:$M$188,10,0),0)</f>
        <v>0</v>
      </c>
      <c r="R144" s="170">
        <f t="shared" si="55"/>
        <v>9263595</v>
      </c>
      <c r="S144" s="170">
        <f>IFERROR(VLOOKUP(B144,'Bảng lương tính trên HTfast'!$B$13:$U$194,16,0),0)</f>
        <v>768915</v>
      </c>
      <c r="T144" s="170"/>
      <c r="U144" s="170"/>
      <c r="V144" s="170"/>
      <c r="W144" s="170">
        <f>IFERROR(VLOOKUP(B144,'Bảng lương tính trên HTfast'!$B$13:$U$190,20,0),0)</f>
        <v>9000000</v>
      </c>
      <c r="X144" s="170"/>
      <c r="Y144" s="170"/>
      <c r="Z144" s="170"/>
      <c r="AA144" s="170">
        <f t="shared" si="56"/>
        <v>0</v>
      </c>
      <c r="AB144" s="170"/>
      <c r="AC144" s="170"/>
      <c r="AD144" s="170"/>
      <c r="AE144" s="170"/>
      <c r="AF144" s="170"/>
      <c r="AG144" s="170"/>
      <c r="AH144" s="170"/>
      <c r="AI144" s="170"/>
      <c r="AJ144" s="170"/>
      <c r="AK144" s="170"/>
      <c r="AL144" s="170"/>
      <c r="AM144" s="170"/>
      <c r="AN144" s="170"/>
      <c r="AO144" s="170"/>
      <c r="AP144" s="170">
        <f t="shared" si="57"/>
        <v>0</v>
      </c>
      <c r="AQ144" s="170"/>
      <c r="AR144" s="170">
        <f t="shared" si="58"/>
        <v>8494680</v>
      </c>
      <c r="AS144" s="170"/>
      <c r="AT144" s="170"/>
      <c r="AU144" s="170">
        <f t="shared" si="59"/>
        <v>84947</v>
      </c>
      <c r="AV144" s="170">
        <f>IFERROR(VLOOKUP(B144,'BS lương'!$B$2:$M$181,11,0),0)</f>
        <v>0</v>
      </c>
      <c r="AW144" s="170"/>
      <c r="AX144" s="170">
        <f t="shared" si="60"/>
        <v>8409733</v>
      </c>
    </row>
    <row r="145" spans="1:51" s="210" customFormat="1" ht="12" customHeight="1" x14ac:dyDescent="0.3">
      <c r="A145" s="205">
        <f t="shared" si="51"/>
        <v>122</v>
      </c>
      <c r="B145" s="171" t="s">
        <v>303</v>
      </c>
      <c r="C145" s="171" t="s">
        <v>304</v>
      </c>
      <c r="D145" s="171" t="s">
        <v>66</v>
      </c>
      <c r="E145" s="172"/>
      <c r="F145" s="172">
        <v>1.85</v>
      </c>
      <c r="G145" s="209">
        <f>VLOOKUP(B145,'Bảng lương tính trên HTfast'!$B$13:$H$194,6,0)</f>
        <v>20</v>
      </c>
      <c r="H145" s="170">
        <f>VLOOKUP(B145,'Bảng lương tính trên HTfast'!$B$13:$H$194,7,0)</f>
        <v>7323000</v>
      </c>
      <c r="I145" s="173">
        <f>IFERROR(VLOOKUP(B145,'Luong vitri'!$C$6:$O$179,10,0),0)</f>
        <v>0</v>
      </c>
      <c r="J145" s="174">
        <f>VLOOKUP(B145,'Bảng lương tính trên HTfast'!$B$13:$I$194,8,0)</f>
        <v>1</v>
      </c>
      <c r="K145" s="173">
        <f>IFERROR(VLOOKUP(B145,'Luong vitri'!$C$6:$O$201,12,0),0)</f>
        <v>0.35</v>
      </c>
      <c r="L145" s="170">
        <f t="shared" si="52"/>
        <v>2563050</v>
      </c>
      <c r="M145" s="170">
        <f t="shared" si="53"/>
        <v>768915</v>
      </c>
      <c r="N145" s="170">
        <f t="shared" si="54"/>
        <v>8091915</v>
      </c>
      <c r="O145" s="170">
        <f>IFERROR(VLOOKUP(B145,'Bảng lương tính trên HTfast'!$B$13:$O$194,12,0),0)</f>
        <v>0</v>
      </c>
      <c r="P145" s="170">
        <f>IFERROR(VLOOKUP(B145,'BS lương'!$B$2:$M$188,9,0),0)</f>
        <v>370370</v>
      </c>
      <c r="Q145" s="170">
        <f>IFERROR(VLOOKUP(B145,'BS lương'!$B$2:$M$188,10,0),0)</f>
        <v>0</v>
      </c>
      <c r="R145" s="170">
        <f t="shared" si="55"/>
        <v>8462285</v>
      </c>
      <c r="S145" s="170">
        <f>IFERROR(VLOOKUP(B145,'Bảng lương tính trên HTfast'!$B$13:$U$194,16,0),0)</f>
        <v>768915</v>
      </c>
      <c r="T145" s="170"/>
      <c r="U145" s="170"/>
      <c r="V145" s="170"/>
      <c r="W145" s="170">
        <f>IFERROR(VLOOKUP(B145,'Bảng lương tính trên HTfast'!$B$13:$U$190,20,0),0)</f>
        <v>9000000</v>
      </c>
      <c r="X145" s="170"/>
      <c r="Y145" s="170"/>
      <c r="Z145" s="170"/>
      <c r="AA145" s="170">
        <f t="shared" si="56"/>
        <v>0</v>
      </c>
      <c r="AB145" s="170"/>
      <c r="AC145" s="170"/>
      <c r="AD145" s="170"/>
      <c r="AE145" s="170"/>
      <c r="AF145" s="170"/>
      <c r="AG145" s="170"/>
      <c r="AH145" s="170"/>
      <c r="AI145" s="170"/>
      <c r="AJ145" s="170"/>
      <c r="AK145" s="170"/>
      <c r="AL145" s="170"/>
      <c r="AM145" s="170"/>
      <c r="AN145" s="170"/>
      <c r="AO145" s="170"/>
      <c r="AP145" s="170">
        <f t="shared" si="57"/>
        <v>0</v>
      </c>
      <c r="AQ145" s="170"/>
      <c r="AR145" s="170">
        <f t="shared" si="58"/>
        <v>7693370</v>
      </c>
      <c r="AS145" s="170"/>
      <c r="AT145" s="170"/>
      <c r="AU145" s="170">
        <f t="shared" si="59"/>
        <v>76934</v>
      </c>
      <c r="AV145" s="170">
        <f>IFERROR(VLOOKUP(B145,'BS lương'!$B$2:$M$181,11,0),0)</f>
        <v>0</v>
      </c>
      <c r="AW145" s="170"/>
      <c r="AX145" s="170">
        <f t="shared" si="60"/>
        <v>7616436</v>
      </c>
      <c r="AY145" s="175"/>
    </row>
    <row r="146" spans="1:51" ht="12" customHeight="1" x14ac:dyDescent="0.3">
      <c r="A146" s="205">
        <f t="shared" si="51"/>
        <v>123</v>
      </c>
      <c r="B146" s="171" t="s">
        <v>369</v>
      </c>
      <c r="C146" s="171" t="s">
        <v>370</v>
      </c>
      <c r="D146" s="171" t="s">
        <v>66</v>
      </c>
      <c r="E146" s="172"/>
      <c r="F146" s="172">
        <v>2.29</v>
      </c>
      <c r="G146" s="209">
        <f>VLOOKUP(B146,'Bảng lương tính trên HTfast'!$B$13:$H$194,6,0)</f>
        <v>20</v>
      </c>
      <c r="H146" s="170">
        <f>VLOOKUP(B146,'Bảng lương tính trên HTfast'!$B$13:$H$194,7,0)</f>
        <v>7323000</v>
      </c>
      <c r="I146" s="173">
        <f>IFERROR(VLOOKUP(B146,'Luong vitri'!$C$6:$O$179,10,0),0)</f>
        <v>0</v>
      </c>
      <c r="J146" s="174">
        <f>VLOOKUP(B146,'Bảng lương tính trên HTfast'!$B$13:$I$194,8,0)</f>
        <v>1</v>
      </c>
      <c r="K146" s="173">
        <f>IFERROR(VLOOKUP(B146,'Luong vitri'!$C$6:$O$201,12,0),0)</f>
        <v>0.45</v>
      </c>
      <c r="L146" s="170">
        <f t="shared" si="52"/>
        <v>3295350</v>
      </c>
      <c r="M146" s="170">
        <f t="shared" si="53"/>
        <v>988605</v>
      </c>
      <c r="N146" s="170">
        <f t="shared" si="54"/>
        <v>8311605</v>
      </c>
      <c r="O146" s="170">
        <f>IFERROR(VLOOKUP(B146,'Bảng lương tính trên HTfast'!$B$13:$O$194,12,0),0)</f>
        <v>730000</v>
      </c>
      <c r="P146" s="170">
        <f>IFERROR(VLOOKUP(B146,'BS lương'!$B$2:$M$188,9,0),0)</f>
        <v>5000000</v>
      </c>
      <c r="Q146" s="170">
        <f>IFERROR(VLOOKUP(B146,'BS lương'!$B$2:$M$188,10,0),0)</f>
        <v>0</v>
      </c>
      <c r="R146" s="170">
        <f t="shared" si="55"/>
        <v>14041605</v>
      </c>
      <c r="S146" s="170">
        <f>IFERROR(VLOOKUP(B146,'Bảng lương tính trên HTfast'!$B$13:$U$194,16,0),0)</f>
        <v>768915</v>
      </c>
      <c r="T146" s="170"/>
      <c r="U146" s="170"/>
      <c r="V146" s="170"/>
      <c r="W146" s="170">
        <f>IFERROR(VLOOKUP(B146,'Bảng lương tính trên HTfast'!$B$13:$U$190,20,0),0)</f>
        <v>16200000</v>
      </c>
      <c r="X146" s="170"/>
      <c r="Y146" s="170"/>
      <c r="Z146" s="170"/>
      <c r="AA146" s="170">
        <f t="shared" si="56"/>
        <v>0</v>
      </c>
      <c r="AB146" s="170"/>
      <c r="AC146" s="170"/>
      <c r="AD146" s="170"/>
      <c r="AE146" s="170"/>
      <c r="AF146" s="170"/>
      <c r="AG146" s="170"/>
      <c r="AH146" s="170"/>
      <c r="AI146" s="170"/>
      <c r="AJ146" s="170"/>
      <c r="AK146" s="170"/>
      <c r="AL146" s="170"/>
      <c r="AM146" s="170"/>
      <c r="AN146" s="170"/>
      <c r="AO146" s="170"/>
      <c r="AP146" s="170">
        <f t="shared" si="57"/>
        <v>0</v>
      </c>
      <c r="AQ146" s="170"/>
      <c r="AR146" s="170">
        <f t="shared" si="58"/>
        <v>13272690</v>
      </c>
      <c r="AS146" s="170"/>
      <c r="AT146" s="170"/>
      <c r="AU146" s="170">
        <f t="shared" si="59"/>
        <v>132727</v>
      </c>
      <c r="AV146" s="170">
        <f>IFERROR(VLOOKUP(B146,'BS lương'!$B$2:$M$181,11,0),0)</f>
        <v>0</v>
      </c>
      <c r="AW146" s="170"/>
      <c r="AX146" s="170">
        <f t="shared" si="60"/>
        <v>13139963</v>
      </c>
    </row>
    <row r="147" spans="1:51" ht="12" customHeight="1" x14ac:dyDescent="0.3">
      <c r="A147" s="205">
        <f t="shared" si="51"/>
        <v>124</v>
      </c>
      <c r="B147" s="171" t="s">
        <v>116</v>
      </c>
      <c r="C147" s="171" t="s">
        <v>117</v>
      </c>
      <c r="D147" s="171" t="s">
        <v>61</v>
      </c>
      <c r="E147" s="172"/>
      <c r="F147" s="172">
        <v>1.85</v>
      </c>
      <c r="G147" s="209">
        <f>VLOOKUP(B147,'Bảng lương tính trên HTfast'!$B$13:$H$194,6,0)</f>
        <v>20</v>
      </c>
      <c r="H147" s="170">
        <f>VLOOKUP(B147,'Bảng lương tính trên HTfast'!$B$13:$H$194,7,0)</f>
        <v>12020000</v>
      </c>
      <c r="I147" s="173">
        <f>IFERROR(VLOOKUP(B147,'Luong vitri'!$C$6:$O$179,10,0),0)</f>
        <v>0</v>
      </c>
      <c r="J147" s="174">
        <f>VLOOKUP(B147,'Bảng lương tính trên HTfast'!$B$13:$I$194,8,0)</f>
        <v>1.1299999999999999</v>
      </c>
      <c r="K147" s="173">
        <f>IFERROR(VLOOKUP(B147,'Luong vitri'!$C$6:$O$201,12,0),0)</f>
        <v>0.4</v>
      </c>
      <c r="L147" s="170">
        <f t="shared" si="52"/>
        <v>4808000</v>
      </c>
      <c r="M147" s="170">
        <f t="shared" si="53"/>
        <v>1442400</v>
      </c>
      <c r="N147" s="170">
        <f t="shared" si="54"/>
        <v>15025000</v>
      </c>
      <c r="O147" s="170">
        <f>IFERROR(VLOOKUP(B147,'Bảng lương tính trên HTfast'!$B$13:$O$194,12,0),0)</f>
        <v>0</v>
      </c>
      <c r="P147" s="170">
        <f>IFERROR(VLOOKUP(B147,'BS lương'!$B$2:$M$188,9,0),0)</f>
        <v>4453003</v>
      </c>
      <c r="Q147" s="170">
        <f>IFERROR(VLOOKUP(B147,'BS lương'!$B$2:$M$188,10,0),0)</f>
        <v>614659</v>
      </c>
      <c r="R147" s="170">
        <f t="shared" si="55"/>
        <v>20092662</v>
      </c>
      <c r="S147" s="170">
        <f>IFERROR(VLOOKUP(B147,'Bảng lương tính trên HTfast'!$B$13:$U$194,16,0),0)</f>
        <v>1262100</v>
      </c>
      <c r="T147" s="170"/>
      <c r="U147" s="170"/>
      <c r="V147" s="170"/>
      <c r="W147" s="170">
        <f>IFERROR(VLOOKUP(B147,'Bảng lương tính trên HTfast'!$B$13:$U$190,20,0),0)</f>
        <v>23400000</v>
      </c>
      <c r="X147" s="170"/>
      <c r="Y147" s="170"/>
      <c r="Z147" s="170"/>
      <c r="AA147" s="170">
        <f t="shared" si="56"/>
        <v>0</v>
      </c>
      <c r="AB147" s="170"/>
      <c r="AC147" s="170"/>
      <c r="AD147" s="170"/>
      <c r="AE147" s="170"/>
      <c r="AF147" s="170"/>
      <c r="AG147" s="170"/>
      <c r="AH147" s="170"/>
      <c r="AI147" s="170"/>
      <c r="AJ147" s="170"/>
      <c r="AK147" s="170"/>
      <c r="AL147" s="170"/>
      <c r="AM147" s="170"/>
      <c r="AN147" s="170"/>
      <c r="AO147" s="170"/>
      <c r="AP147" s="170">
        <f t="shared" si="57"/>
        <v>0</v>
      </c>
      <c r="AQ147" s="170"/>
      <c r="AR147" s="170">
        <f t="shared" si="58"/>
        <v>18830562</v>
      </c>
      <c r="AS147" s="170"/>
      <c r="AT147" s="170"/>
      <c r="AU147" s="170">
        <f t="shared" si="59"/>
        <v>149000</v>
      </c>
      <c r="AV147" s="170">
        <f>IFERROR(VLOOKUP(B147,'BS lương'!$B$2:$M$181,11,0),0)</f>
        <v>0</v>
      </c>
      <c r="AW147" s="170"/>
      <c r="AX147" s="170">
        <f t="shared" si="60"/>
        <v>18681562</v>
      </c>
    </row>
    <row r="148" spans="1:51" ht="12" customHeight="1" x14ac:dyDescent="0.3">
      <c r="A148" s="205">
        <f t="shared" si="51"/>
        <v>125</v>
      </c>
      <c r="B148" s="171" t="s">
        <v>121</v>
      </c>
      <c r="C148" s="171" t="s">
        <v>122</v>
      </c>
      <c r="D148" s="171" t="s">
        <v>66</v>
      </c>
      <c r="E148" s="172"/>
      <c r="F148" s="172">
        <v>1.85</v>
      </c>
      <c r="G148" s="209">
        <f>VLOOKUP(B148,'Bảng lương tính trên HTfast'!$B$13:$H$194,6,0)</f>
        <v>20</v>
      </c>
      <c r="H148" s="170">
        <f>VLOOKUP(B148,'Bảng lương tính trên HTfast'!$B$13:$H$194,7,0)</f>
        <v>8278000</v>
      </c>
      <c r="I148" s="173">
        <f>IFERROR(VLOOKUP(B148,'Luong vitri'!$C$6:$O$179,10,0),0)</f>
        <v>0</v>
      </c>
      <c r="J148" s="174">
        <f>VLOOKUP(B148,'Bảng lương tính trên HTfast'!$B$13:$I$194,8,0)</f>
        <v>1.1299999999999999</v>
      </c>
      <c r="K148" s="173">
        <f>IFERROR(VLOOKUP(B148,'Luong vitri'!$C$6:$O$201,12,0),0)</f>
        <v>0.35</v>
      </c>
      <c r="L148" s="170">
        <f t="shared" si="52"/>
        <v>2897300</v>
      </c>
      <c r="M148" s="170">
        <f t="shared" si="53"/>
        <v>869190</v>
      </c>
      <c r="N148" s="170">
        <f t="shared" si="54"/>
        <v>10223330</v>
      </c>
      <c r="O148" s="170">
        <f>IFERROR(VLOOKUP(B148,'Bảng lương tính trên HTfast'!$B$13:$O$194,12,0),0)</f>
        <v>0</v>
      </c>
      <c r="P148" s="170">
        <f>IFERROR(VLOOKUP(B148,'BS lương'!$B$2:$M$188,9,0),0)</f>
        <v>1428571</v>
      </c>
      <c r="Q148" s="170">
        <f>IFERROR(VLOOKUP(B148,'BS lương'!$B$2:$M$188,10,0),0)</f>
        <v>0</v>
      </c>
      <c r="R148" s="170">
        <f t="shared" si="55"/>
        <v>11651901</v>
      </c>
      <c r="S148" s="170">
        <f>IFERROR(VLOOKUP(B148,'Bảng lương tính trên HTfast'!$B$13:$U$194,16,0),0)</f>
        <v>869190</v>
      </c>
      <c r="T148" s="170"/>
      <c r="U148" s="170"/>
      <c r="V148" s="170"/>
      <c r="W148" s="170">
        <f>IFERROR(VLOOKUP(B148,'Bảng lương tính trên HTfast'!$B$13:$U$190,20,0),0)</f>
        <v>19800000</v>
      </c>
      <c r="X148" s="170"/>
      <c r="Y148" s="170"/>
      <c r="Z148" s="170"/>
      <c r="AA148" s="170">
        <f t="shared" si="56"/>
        <v>0</v>
      </c>
      <c r="AB148" s="170"/>
      <c r="AC148" s="170"/>
      <c r="AD148" s="170"/>
      <c r="AE148" s="170"/>
      <c r="AF148" s="170"/>
      <c r="AG148" s="170"/>
      <c r="AH148" s="170"/>
      <c r="AI148" s="170"/>
      <c r="AJ148" s="170"/>
      <c r="AK148" s="170"/>
      <c r="AL148" s="170"/>
      <c r="AM148" s="170"/>
      <c r="AN148" s="170"/>
      <c r="AO148" s="170"/>
      <c r="AP148" s="170">
        <f t="shared" si="57"/>
        <v>0</v>
      </c>
      <c r="AQ148" s="170"/>
      <c r="AR148" s="170">
        <f t="shared" si="58"/>
        <v>10782711</v>
      </c>
      <c r="AS148" s="170"/>
      <c r="AT148" s="170"/>
      <c r="AU148" s="170">
        <f t="shared" si="59"/>
        <v>107827</v>
      </c>
      <c r="AV148" s="170">
        <f>IFERROR(VLOOKUP(B148,'BS lương'!$B$2:$M$181,11,0),0)</f>
        <v>0</v>
      </c>
      <c r="AW148" s="170"/>
      <c r="AX148" s="170">
        <f t="shared" si="60"/>
        <v>10674884</v>
      </c>
    </row>
    <row r="149" spans="1:51" ht="12" customHeight="1" x14ac:dyDescent="0.3">
      <c r="A149" s="205">
        <f t="shared" si="51"/>
        <v>126</v>
      </c>
      <c r="B149" s="171" t="s">
        <v>380</v>
      </c>
      <c r="C149" s="171" t="s">
        <v>381</v>
      </c>
      <c r="D149" s="171" t="s">
        <v>217</v>
      </c>
      <c r="E149" s="172"/>
      <c r="F149" s="172">
        <v>1.85</v>
      </c>
      <c r="G149" s="209">
        <f>VLOOKUP(B149,'Bảng lương tính trên HTfast'!$B$13:$H$194,6,0)</f>
        <v>20</v>
      </c>
      <c r="H149" s="170">
        <f>VLOOKUP(B149,'Bảng lương tính trên HTfast'!$B$13:$H$194,7,0)</f>
        <v>9831000</v>
      </c>
      <c r="I149" s="173">
        <f>IFERROR(VLOOKUP(B149,'Luong vitri'!$C$6:$O$179,10,0),0)</f>
        <v>0</v>
      </c>
      <c r="J149" s="174">
        <f>VLOOKUP(B149,'Bảng lương tính trên HTfast'!$B$13:$I$194,8,0)</f>
        <v>1.1299999999999999</v>
      </c>
      <c r="K149" s="173">
        <f>IFERROR(VLOOKUP(B149,'Luong vitri'!$C$6:$O$201,12,0),0)</f>
        <v>0.4</v>
      </c>
      <c r="L149" s="170">
        <f t="shared" si="52"/>
        <v>3932400</v>
      </c>
      <c r="M149" s="170">
        <f t="shared" si="53"/>
        <v>1179720</v>
      </c>
      <c r="N149" s="170">
        <f t="shared" si="54"/>
        <v>12288750</v>
      </c>
      <c r="O149" s="170">
        <f>IFERROR(VLOOKUP(B149,'Bảng lương tính trên HTfast'!$B$13:$O$194,12,0),0)</f>
        <v>0</v>
      </c>
      <c r="P149" s="170">
        <f>IFERROR(VLOOKUP(B149,'BS lương'!$B$2:$M$188,9,0),0)</f>
        <v>0</v>
      </c>
      <c r="Q149" s="170">
        <f>IFERROR(VLOOKUP(B149,'BS lương'!$B$2:$M$188,10,0),0)</f>
        <v>0</v>
      </c>
      <c r="R149" s="170">
        <f t="shared" si="55"/>
        <v>12288750</v>
      </c>
      <c r="S149" s="170">
        <f>IFERROR(VLOOKUP(B149,'Bảng lương tính trên HTfast'!$B$13:$U$194,16,0),0)</f>
        <v>1032255</v>
      </c>
      <c r="T149" s="170"/>
      <c r="U149" s="170"/>
      <c r="V149" s="170"/>
      <c r="W149" s="170">
        <f>IFERROR(VLOOKUP(B149,'Bảng lương tính trên HTfast'!$B$13:$U$190,20,0),0)</f>
        <v>16200000</v>
      </c>
      <c r="X149" s="170"/>
      <c r="Y149" s="170"/>
      <c r="Z149" s="170"/>
      <c r="AA149" s="170">
        <f t="shared" si="56"/>
        <v>0</v>
      </c>
      <c r="AB149" s="170"/>
      <c r="AC149" s="170"/>
      <c r="AD149" s="170"/>
      <c r="AE149" s="170"/>
      <c r="AF149" s="170"/>
      <c r="AG149" s="170"/>
      <c r="AH149" s="170"/>
      <c r="AI149" s="170"/>
      <c r="AJ149" s="170"/>
      <c r="AK149" s="170"/>
      <c r="AL149" s="170"/>
      <c r="AM149" s="170"/>
      <c r="AN149" s="170"/>
      <c r="AO149" s="170"/>
      <c r="AP149" s="170">
        <f t="shared" si="57"/>
        <v>0</v>
      </c>
      <c r="AQ149" s="170"/>
      <c r="AR149" s="170">
        <f t="shared" si="58"/>
        <v>11256495</v>
      </c>
      <c r="AS149" s="170"/>
      <c r="AT149" s="170"/>
      <c r="AU149" s="170">
        <f t="shared" si="59"/>
        <v>112565</v>
      </c>
      <c r="AV149" s="170">
        <f>IFERROR(VLOOKUP(B149,'BS lương'!$B$2:$M$181,11,0),0)</f>
        <v>0</v>
      </c>
      <c r="AW149" s="170"/>
      <c r="AX149" s="170">
        <f t="shared" si="60"/>
        <v>11143930</v>
      </c>
    </row>
    <row r="150" spans="1:51" ht="12" customHeight="1" x14ac:dyDescent="0.3">
      <c r="A150" s="205">
        <f t="shared" si="51"/>
        <v>127</v>
      </c>
      <c r="B150" s="171" t="s">
        <v>118</v>
      </c>
      <c r="C150" s="171" t="s">
        <v>119</v>
      </c>
      <c r="D150" s="171" t="s">
        <v>120</v>
      </c>
      <c r="E150" s="172"/>
      <c r="F150" s="172">
        <v>1.85</v>
      </c>
      <c r="G150" s="209">
        <f>VLOOKUP(B150,'Bảng lương tính trên HTfast'!$B$13:$H$194,6,0)</f>
        <v>20</v>
      </c>
      <c r="H150" s="170">
        <f>VLOOKUP(B150,'Bảng lương tính trên HTfast'!$B$13:$H$194,7,0)</f>
        <v>10533600</v>
      </c>
      <c r="I150" s="173">
        <f>IFERROR(VLOOKUP(B150,'Luong vitri'!$C$6:$O$179,10,0),0)</f>
        <v>0</v>
      </c>
      <c r="J150" s="174">
        <f>VLOOKUP(B150,'Bảng lương tính trên HTfast'!$B$13:$I$194,8,0)</f>
        <v>1.1299999999999999</v>
      </c>
      <c r="K150" s="173">
        <f>IFERROR(VLOOKUP(B150,'Luong vitri'!$C$6:$O$201,12,0),0)</f>
        <v>0.35</v>
      </c>
      <c r="L150" s="170">
        <f t="shared" si="52"/>
        <v>3686760</v>
      </c>
      <c r="M150" s="170">
        <f t="shared" si="53"/>
        <v>1106028</v>
      </c>
      <c r="N150" s="170">
        <f t="shared" si="54"/>
        <v>13008996</v>
      </c>
      <c r="O150" s="170">
        <f>IFERROR(VLOOKUP(B150,'Bảng lương tính trên HTfast'!$B$13:$O$194,12,0),0)</f>
        <v>0</v>
      </c>
      <c r="P150" s="170">
        <f>IFERROR(VLOOKUP(B150,'BS lương'!$B$2:$M$188,9,0),0)</f>
        <v>1428571</v>
      </c>
      <c r="Q150" s="170">
        <f>IFERROR(VLOOKUP(B150,'BS lương'!$B$2:$M$188,10,0),0)</f>
        <v>0</v>
      </c>
      <c r="R150" s="170">
        <f t="shared" si="55"/>
        <v>14437567</v>
      </c>
      <c r="S150" s="170">
        <f>IFERROR(VLOOKUP(B150,'Bảng lương tính trên HTfast'!$B$13:$U$194,16,0),0)</f>
        <v>1106028</v>
      </c>
      <c r="T150" s="170"/>
      <c r="U150" s="170"/>
      <c r="V150" s="170"/>
      <c r="W150" s="170">
        <f>IFERROR(VLOOKUP(B150,'Bảng lương tính trên HTfast'!$B$13:$U$190,20,0),0)</f>
        <v>16200000</v>
      </c>
      <c r="X150" s="170"/>
      <c r="Y150" s="170"/>
      <c r="Z150" s="170"/>
      <c r="AA150" s="170">
        <f t="shared" si="56"/>
        <v>0</v>
      </c>
      <c r="AB150" s="170"/>
      <c r="AC150" s="170"/>
      <c r="AD150" s="170"/>
      <c r="AE150" s="170"/>
      <c r="AF150" s="170"/>
      <c r="AG150" s="170"/>
      <c r="AH150" s="170"/>
      <c r="AI150" s="170"/>
      <c r="AJ150" s="170"/>
      <c r="AK150" s="170"/>
      <c r="AL150" s="170"/>
      <c r="AM150" s="170"/>
      <c r="AN150" s="170"/>
      <c r="AO150" s="170"/>
      <c r="AP150" s="170">
        <f t="shared" si="57"/>
        <v>0</v>
      </c>
      <c r="AQ150" s="170"/>
      <c r="AR150" s="170">
        <f t="shared" si="58"/>
        <v>13331539</v>
      </c>
      <c r="AS150" s="170"/>
      <c r="AT150" s="170"/>
      <c r="AU150" s="170">
        <f t="shared" si="59"/>
        <v>133315</v>
      </c>
      <c r="AV150" s="170">
        <f>IFERROR(VLOOKUP(B150,'BS lương'!$B$2:$M$181,11,0),0)</f>
        <v>0</v>
      </c>
      <c r="AW150" s="170"/>
      <c r="AX150" s="170">
        <f t="shared" si="60"/>
        <v>13198224</v>
      </c>
    </row>
    <row r="151" spans="1:51" ht="12" customHeight="1" x14ac:dyDescent="0.3">
      <c r="A151" s="205">
        <f t="shared" si="51"/>
        <v>128</v>
      </c>
      <c r="B151" s="171" t="s">
        <v>334</v>
      </c>
      <c r="C151" s="171" t="s">
        <v>335</v>
      </c>
      <c r="D151" s="171" t="s">
        <v>66</v>
      </c>
      <c r="E151" s="172"/>
      <c r="F151" s="172">
        <v>1.85</v>
      </c>
      <c r="G151" s="209">
        <f>VLOOKUP(B151,'Bảng lương tính trên HTfast'!$B$13:$H$194,6,0)</f>
        <v>20</v>
      </c>
      <c r="H151" s="170">
        <f>VLOOKUP(B151,'Bảng lương tính trên HTfast'!$B$13:$H$194,7,0)</f>
        <v>7323000</v>
      </c>
      <c r="I151" s="173">
        <f>IFERROR(VLOOKUP(B151,'Luong vitri'!$C$6:$O$179,10,0),0)</f>
        <v>0</v>
      </c>
      <c r="J151" s="174">
        <f>VLOOKUP(B151,'Bảng lương tính trên HTfast'!$B$13:$I$194,8,0)</f>
        <v>1</v>
      </c>
      <c r="K151" s="173">
        <f>IFERROR(VLOOKUP(B151,'Luong vitri'!$C$6:$O$201,12,0),0)</f>
        <v>0.45</v>
      </c>
      <c r="L151" s="170">
        <f t="shared" si="52"/>
        <v>3295350</v>
      </c>
      <c r="M151" s="170">
        <f t="shared" si="53"/>
        <v>988605</v>
      </c>
      <c r="N151" s="170">
        <f t="shared" si="54"/>
        <v>8311605</v>
      </c>
      <c r="O151" s="170">
        <f>IFERROR(VLOOKUP(B151,'Bảng lương tính trên HTfast'!$B$13:$O$194,12,0),0)</f>
        <v>730000</v>
      </c>
      <c r="P151" s="170">
        <f>IFERROR(VLOOKUP(B151,'BS lương'!$B$2:$M$188,9,0),0)</f>
        <v>5370370</v>
      </c>
      <c r="Q151" s="170">
        <f>IFERROR(VLOOKUP(B151,'BS lương'!$B$2:$M$188,10,0),0)</f>
        <v>0</v>
      </c>
      <c r="R151" s="170">
        <f t="shared" si="55"/>
        <v>14411975</v>
      </c>
      <c r="S151" s="170">
        <f>IFERROR(VLOOKUP(B151,'Bảng lương tính trên HTfast'!$B$13:$U$194,16,0),0)</f>
        <v>768915</v>
      </c>
      <c r="T151" s="170"/>
      <c r="U151" s="170"/>
      <c r="V151" s="170"/>
      <c r="W151" s="170">
        <f>IFERROR(VLOOKUP(B151,'Bảng lương tính trên HTfast'!$B$13:$U$190,20,0),0)</f>
        <v>12600000</v>
      </c>
      <c r="X151" s="170"/>
      <c r="Y151" s="170"/>
      <c r="Z151" s="170"/>
      <c r="AA151" s="170">
        <f t="shared" si="56"/>
        <v>313060</v>
      </c>
      <c r="AB151" s="170"/>
      <c r="AC151" s="170"/>
      <c r="AD151" s="170"/>
      <c r="AE151" s="170"/>
      <c r="AF151" s="170"/>
      <c r="AG151" s="170"/>
      <c r="AH151" s="170"/>
      <c r="AI151" s="170"/>
      <c r="AJ151" s="170"/>
      <c r="AK151" s="170"/>
      <c r="AL151" s="170"/>
      <c r="AM151" s="170"/>
      <c r="AN151" s="170"/>
      <c r="AO151" s="170"/>
      <c r="AP151" s="170">
        <f t="shared" si="57"/>
        <v>15653</v>
      </c>
      <c r="AQ151" s="170"/>
      <c r="AR151" s="170">
        <f t="shared" si="58"/>
        <v>13627407</v>
      </c>
      <c r="AS151" s="170"/>
      <c r="AT151" s="170"/>
      <c r="AU151" s="170">
        <f t="shared" si="59"/>
        <v>136274</v>
      </c>
      <c r="AV151" s="170">
        <f>IFERROR(VLOOKUP(B151,'BS lương'!$B$2:$M$181,11,0),0)</f>
        <v>0</v>
      </c>
      <c r="AW151" s="170"/>
      <c r="AX151" s="170">
        <f t="shared" si="60"/>
        <v>13491133</v>
      </c>
    </row>
    <row r="152" spans="1:51" ht="12" customHeight="1" x14ac:dyDescent="0.3">
      <c r="A152" s="205">
        <f t="shared" si="51"/>
        <v>129</v>
      </c>
      <c r="B152" s="171" t="s">
        <v>69</v>
      </c>
      <c r="C152" s="171" t="s">
        <v>70</v>
      </c>
      <c r="D152" s="171" t="s">
        <v>66</v>
      </c>
      <c r="E152" s="172"/>
      <c r="F152" s="172">
        <v>1.85</v>
      </c>
      <c r="G152" s="209">
        <f>VLOOKUP(B152,'Bảng lương tính trên HTfast'!$B$13:$H$194,6,0)</f>
        <v>20</v>
      </c>
      <c r="H152" s="170">
        <f>VLOOKUP(B152,'Bảng lương tính trên HTfast'!$B$13:$H$194,7,0)</f>
        <v>7323000</v>
      </c>
      <c r="I152" s="173">
        <f>IFERROR(VLOOKUP(B152,'Luong vitri'!$C$6:$O$179,10,0),0)</f>
        <v>0</v>
      </c>
      <c r="J152" s="174">
        <f>VLOOKUP(B152,'Bảng lương tính trên HTfast'!$B$13:$I$194,8,0)</f>
        <v>1.1299999999999999</v>
      </c>
      <c r="K152" s="173">
        <f>IFERROR(VLOOKUP(B152,'Luong vitri'!$C$6:$O$187,12,0),0)</f>
        <v>0.45</v>
      </c>
      <c r="L152" s="170">
        <f t="shared" ref="L152:L154" si="61">ROUND((H152+H152*I152)*K152,0)</f>
        <v>3295350</v>
      </c>
      <c r="M152" s="170">
        <f t="shared" ref="M152:M154" si="62">ROUND(L152*0.3,0)</f>
        <v>988605</v>
      </c>
      <c r="N152" s="170">
        <f t="shared" ref="N152:N154" si="63">ROUND((H152+H152*I152)*J152+M152,0)</f>
        <v>9263595</v>
      </c>
      <c r="O152" s="170">
        <f>IFERROR(VLOOKUP(B152,'Bảng lương tính trên HTfast'!$B$13:$O$194,12,0),0)</f>
        <v>0</v>
      </c>
      <c r="P152" s="170">
        <f>IFERROR(VLOOKUP(B152,'BS lương'!$B$2:$M$188,9,0),0)</f>
        <v>0</v>
      </c>
      <c r="Q152" s="170">
        <f>IFERROR(VLOOKUP(B152,'BS lương'!$B$2:$M$188,10,0),0)</f>
        <v>0</v>
      </c>
      <c r="R152" s="170">
        <f t="shared" ref="R152:R154" si="64">N152+O152+P152+Q152</f>
        <v>9263595</v>
      </c>
      <c r="S152" s="170">
        <f>IFERROR(VLOOKUP(B152,'Bảng lương tính trên HTfast'!$B$13:$U$194,16,0),0)</f>
        <v>768915</v>
      </c>
      <c r="T152" s="170"/>
      <c r="U152" s="170"/>
      <c r="V152" s="170"/>
      <c r="W152" s="170">
        <f>IFERROR(VLOOKUP(B152,'Bảng lương tính trên HTfast'!$B$13:$U$190,20,0),0)</f>
        <v>9000000</v>
      </c>
      <c r="X152" s="170"/>
      <c r="Y152" s="170"/>
      <c r="Z152" s="170"/>
      <c r="AA152" s="170">
        <f t="shared" si="56"/>
        <v>0</v>
      </c>
      <c r="AB152" s="170"/>
      <c r="AC152" s="170"/>
      <c r="AD152" s="170"/>
      <c r="AE152" s="170"/>
      <c r="AF152" s="170"/>
      <c r="AG152" s="170"/>
      <c r="AH152" s="170"/>
      <c r="AI152" s="170"/>
      <c r="AJ152" s="170"/>
      <c r="AK152" s="170"/>
      <c r="AL152" s="170"/>
      <c r="AM152" s="170"/>
      <c r="AN152" s="170"/>
      <c r="AO152" s="170"/>
      <c r="AP152" s="170">
        <f t="shared" si="57"/>
        <v>0</v>
      </c>
      <c r="AQ152" s="170"/>
      <c r="AR152" s="170">
        <f t="shared" si="58"/>
        <v>8494680</v>
      </c>
      <c r="AS152" s="170"/>
      <c r="AT152" s="170"/>
      <c r="AU152" s="170">
        <f t="shared" si="59"/>
        <v>84947</v>
      </c>
      <c r="AV152" s="170">
        <f>IFERROR(VLOOKUP(B152,'BS lương'!$B$2:$M$181,11,0),0)</f>
        <v>0</v>
      </c>
      <c r="AW152" s="170"/>
      <c r="AX152" s="170">
        <f t="shared" ref="AX152:AX154" si="65">AR152-AU152-AV152-AW152</f>
        <v>8409733</v>
      </c>
    </row>
    <row r="153" spans="1:51" ht="12" customHeight="1" x14ac:dyDescent="0.3">
      <c r="A153" s="205">
        <f t="shared" si="51"/>
        <v>130</v>
      </c>
      <c r="B153" s="171" t="s">
        <v>405</v>
      </c>
      <c r="C153" s="171" t="s">
        <v>406</v>
      </c>
      <c r="D153" s="171" t="s">
        <v>66</v>
      </c>
      <c r="E153" s="172"/>
      <c r="F153" s="172">
        <v>0</v>
      </c>
      <c r="G153" s="209">
        <f>VLOOKUP(B153,'Bảng lương tính trên HTfast'!$B$13:$H$194,6,0)</f>
        <v>20</v>
      </c>
      <c r="H153" s="170">
        <f>VLOOKUP(B153,'Bảng lương tính trên HTfast'!$B$13:$H$194,7,0)</f>
        <v>7323000</v>
      </c>
      <c r="I153" s="173">
        <f>IFERROR(VLOOKUP(B153,'Luong vitri'!$C$6:$O$179,10,0),0)</f>
        <v>0</v>
      </c>
      <c r="J153" s="174">
        <f>VLOOKUP(B153,'Bảng lương tính trên HTfast'!$B$13:$I$194,8,0)</f>
        <v>1.1299999999999999</v>
      </c>
      <c r="K153" s="173">
        <f>IFERROR(VLOOKUP(B153,'Luong vitri'!$C$6:$O$201,12,0),0)</f>
        <v>0.45</v>
      </c>
      <c r="L153" s="170">
        <f t="shared" si="61"/>
        <v>3295350</v>
      </c>
      <c r="M153" s="170">
        <f t="shared" si="62"/>
        <v>988605</v>
      </c>
      <c r="N153" s="170">
        <f t="shared" si="63"/>
        <v>9263595</v>
      </c>
      <c r="O153" s="170">
        <f>IFERROR(VLOOKUP(B153,'Bảng lương tính trên HTfast'!$B$13:$O$194,12,0),0)</f>
        <v>0</v>
      </c>
      <c r="P153" s="170">
        <f>IFERROR(VLOOKUP(B153,'BS lương'!$B$2:$M$188,9,0),0)</f>
        <v>0</v>
      </c>
      <c r="Q153" s="170">
        <f>IFERROR(VLOOKUP(B153,'BS lương'!$B$2:$M$188,10,0),0)</f>
        <v>0</v>
      </c>
      <c r="R153" s="170">
        <f t="shared" si="64"/>
        <v>9263595</v>
      </c>
      <c r="S153" s="170">
        <f>IFERROR(VLOOKUP(B153,'Bảng lương tính trên HTfast'!$B$13:$U$194,16,0),0)</f>
        <v>768915</v>
      </c>
      <c r="T153" s="170"/>
      <c r="U153" s="170"/>
      <c r="V153" s="170"/>
      <c r="W153" s="170">
        <f>IFERROR(VLOOKUP(B153,'Bảng lương tính trên HTfast'!$B$13:$U$193,20,0),0)</f>
        <v>9000000</v>
      </c>
      <c r="X153" s="170"/>
      <c r="Y153" s="170"/>
      <c r="Z153" s="170"/>
      <c r="AA153" s="170">
        <f t="shared" si="56"/>
        <v>0</v>
      </c>
      <c r="AB153" s="170"/>
      <c r="AC153" s="170"/>
      <c r="AD153" s="170"/>
      <c r="AE153" s="170"/>
      <c r="AF153" s="170"/>
      <c r="AG153" s="170"/>
      <c r="AH153" s="170"/>
      <c r="AI153" s="170"/>
      <c r="AJ153" s="170"/>
      <c r="AK153" s="170"/>
      <c r="AL153" s="170"/>
      <c r="AM153" s="170"/>
      <c r="AN153" s="170"/>
      <c r="AO153" s="170"/>
      <c r="AP153" s="170">
        <f t="shared" si="57"/>
        <v>0</v>
      </c>
      <c r="AQ153" s="170"/>
      <c r="AR153" s="170">
        <f t="shared" si="58"/>
        <v>8494680</v>
      </c>
      <c r="AS153" s="170"/>
      <c r="AT153" s="170"/>
      <c r="AU153" s="170">
        <f t="shared" si="59"/>
        <v>84947</v>
      </c>
      <c r="AV153" s="170">
        <f>IFERROR(VLOOKUP(B153,'BS lương'!$B$2:$M$181,11,0),0)</f>
        <v>0</v>
      </c>
      <c r="AW153" s="170"/>
      <c r="AX153" s="170">
        <f t="shared" si="65"/>
        <v>8409733</v>
      </c>
    </row>
    <row r="154" spans="1:51" ht="12" customHeight="1" x14ac:dyDescent="0.3">
      <c r="A154" s="205">
        <f t="shared" si="51"/>
        <v>131</v>
      </c>
      <c r="B154" s="171" t="s">
        <v>77</v>
      </c>
      <c r="C154" s="171" t="s">
        <v>78</v>
      </c>
      <c r="D154" s="171" t="s">
        <v>66</v>
      </c>
      <c r="E154" s="172"/>
      <c r="F154" s="172">
        <v>1.85</v>
      </c>
      <c r="G154" s="209">
        <f>VLOOKUP(B154,'Bảng lương tính trên HTfast'!$B$13:$H$194,6,0)</f>
        <v>20</v>
      </c>
      <c r="H154" s="170">
        <f>VLOOKUP(B154,'Bảng lương tính trên HTfast'!$B$13:$H$194,7,0)</f>
        <v>7323000</v>
      </c>
      <c r="I154" s="173">
        <f>IFERROR(VLOOKUP(B154,'Luong vitri'!$C$6:$O$179,10,0),0)</f>
        <v>0</v>
      </c>
      <c r="J154" s="174">
        <f>VLOOKUP(B154,'Bảng lương tính trên HTfast'!$B$13:$I$194,8,0)</f>
        <v>1.1299999999999999</v>
      </c>
      <c r="K154" s="173">
        <f>IFERROR(VLOOKUP(B154,'Luong vitri'!$C$6:$O$201,12,0),0)</f>
        <v>0.45</v>
      </c>
      <c r="L154" s="170">
        <f t="shared" si="61"/>
        <v>3295350</v>
      </c>
      <c r="M154" s="170">
        <f t="shared" si="62"/>
        <v>988605</v>
      </c>
      <c r="N154" s="170">
        <f t="shared" si="63"/>
        <v>9263595</v>
      </c>
      <c r="O154" s="170">
        <f>IFERROR(VLOOKUP(B154,'Bảng lương tính trên HTfast'!$B$13:$O$194,12,0),0)</f>
        <v>730000</v>
      </c>
      <c r="P154" s="170">
        <f>IFERROR(VLOOKUP(B154,'BS lương'!$B$2:$M$188,9,0),0)</f>
        <v>370370</v>
      </c>
      <c r="Q154" s="170">
        <f>IFERROR(VLOOKUP(B154,'BS lương'!$B$2:$M$188,10,0),0)</f>
        <v>0</v>
      </c>
      <c r="R154" s="170">
        <f t="shared" si="64"/>
        <v>10363965</v>
      </c>
      <c r="S154" s="170">
        <f>IFERROR(VLOOKUP(B154,'Bảng lương tính trên HTfast'!$B$13:$U$194,16,0),0)</f>
        <v>768915</v>
      </c>
      <c r="T154" s="170"/>
      <c r="U154" s="170"/>
      <c r="V154" s="170"/>
      <c r="W154" s="170">
        <f>IFERROR(VLOOKUP(B154,'Bảng lương tính trên HTfast'!$B$13:$U$190,20,0),0)</f>
        <v>9000000</v>
      </c>
      <c r="X154" s="170"/>
      <c r="Y154" s="170"/>
      <c r="Z154" s="170"/>
      <c r="AA154" s="170">
        <f t="shared" si="56"/>
        <v>0</v>
      </c>
      <c r="AB154" s="170"/>
      <c r="AC154" s="170"/>
      <c r="AD154" s="170"/>
      <c r="AE154" s="170"/>
      <c r="AF154" s="170"/>
      <c r="AG154" s="170"/>
      <c r="AH154" s="170"/>
      <c r="AI154" s="170"/>
      <c r="AJ154" s="170"/>
      <c r="AK154" s="170"/>
      <c r="AL154" s="170"/>
      <c r="AM154" s="170"/>
      <c r="AN154" s="170"/>
      <c r="AO154" s="170"/>
      <c r="AP154" s="170">
        <f t="shared" si="57"/>
        <v>0</v>
      </c>
      <c r="AQ154" s="170"/>
      <c r="AR154" s="170">
        <f t="shared" si="58"/>
        <v>9595050</v>
      </c>
      <c r="AS154" s="170"/>
      <c r="AT154" s="170"/>
      <c r="AU154" s="170">
        <f t="shared" si="59"/>
        <v>95951</v>
      </c>
      <c r="AV154" s="170">
        <f>IFERROR(VLOOKUP(B154,'BS lương'!$B$2:$M$181,11,0),0)</f>
        <v>0</v>
      </c>
      <c r="AW154" s="170"/>
      <c r="AX154" s="170">
        <f t="shared" si="65"/>
        <v>9499099</v>
      </c>
    </row>
    <row r="155" spans="1:51" ht="12" customHeight="1" x14ac:dyDescent="0.3">
      <c r="A155" s="205">
        <v>0</v>
      </c>
      <c r="B155" s="171" t="s">
        <v>40</v>
      </c>
      <c r="C155" s="171" t="s">
        <v>79</v>
      </c>
      <c r="D155" s="171"/>
      <c r="E155" s="172"/>
      <c r="F155" s="172">
        <v>3.13</v>
      </c>
      <c r="G155" s="209"/>
      <c r="H155" s="170"/>
      <c r="I155" s="173"/>
      <c r="J155" s="174"/>
      <c r="K155" s="173"/>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row>
    <row r="156" spans="1:51" ht="12" customHeight="1" x14ac:dyDescent="0.3">
      <c r="A156" s="205">
        <v>0</v>
      </c>
      <c r="B156" s="171" t="s">
        <v>40</v>
      </c>
      <c r="C156" s="171" t="s">
        <v>163</v>
      </c>
      <c r="D156" s="171"/>
      <c r="E156" s="172"/>
      <c r="F156" s="172">
        <v>1.85</v>
      </c>
      <c r="G156" s="209"/>
      <c r="H156" s="170"/>
      <c r="I156" s="173"/>
      <c r="J156" s="174"/>
      <c r="K156" s="173"/>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row>
    <row r="157" spans="1:51" ht="12" customHeight="1" x14ac:dyDescent="0.3">
      <c r="A157" s="205">
        <v>0</v>
      </c>
      <c r="B157" s="171" t="s">
        <v>40</v>
      </c>
      <c r="C157" s="171" t="s">
        <v>131</v>
      </c>
      <c r="D157" s="171"/>
      <c r="E157" s="172"/>
      <c r="F157" s="172">
        <v>2.41</v>
      </c>
      <c r="G157" s="209"/>
      <c r="H157" s="170"/>
      <c r="I157" s="173"/>
      <c r="J157" s="174"/>
      <c r="K157" s="173"/>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row>
    <row r="158" spans="1:51" ht="12" customHeight="1" x14ac:dyDescent="0.3">
      <c r="A158" s="205">
        <v>0</v>
      </c>
      <c r="B158" s="171" t="s">
        <v>40</v>
      </c>
      <c r="C158" s="171" t="s">
        <v>94</v>
      </c>
      <c r="D158" s="171"/>
      <c r="E158" s="172"/>
      <c r="F158" s="172">
        <v>2.41</v>
      </c>
      <c r="G158" s="209"/>
      <c r="H158" s="170"/>
      <c r="I158" s="173"/>
      <c r="J158" s="174"/>
      <c r="K158" s="173"/>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row>
    <row r="159" spans="1:51" ht="12" customHeight="1" x14ac:dyDescent="0.3">
      <c r="A159" s="205">
        <v>0</v>
      </c>
      <c r="B159" s="171" t="s">
        <v>40</v>
      </c>
      <c r="C159" s="171" t="s">
        <v>112</v>
      </c>
      <c r="D159" s="171"/>
      <c r="E159" s="172"/>
      <c r="F159" s="172">
        <v>4.8099999999999996</v>
      </c>
      <c r="G159" s="209"/>
      <c r="H159" s="170"/>
      <c r="I159" s="173"/>
      <c r="J159" s="174"/>
      <c r="K159" s="173"/>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row>
    <row r="160" spans="1:51" ht="12" customHeight="1" x14ac:dyDescent="0.3">
      <c r="A160" s="205">
        <v>0</v>
      </c>
      <c r="B160" s="171" t="s">
        <v>40</v>
      </c>
      <c r="C160" s="171" t="s">
        <v>144</v>
      </c>
      <c r="D160" s="171"/>
      <c r="E160" s="172"/>
      <c r="F160" s="172">
        <v>1.85</v>
      </c>
      <c r="G160" s="209"/>
      <c r="H160" s="170"/>
      <c r="I160" s="173"/>
      <c r="J160" s="174"/>
      <c r="K160" s="173"/>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row>
    <row r="161" spans="1:51" s="212" customFormat="1" ht="12" customHeight="1" x14ac:dyDescent="0.3">
      <c r="A161" s="205">
        <f t="shared" ref="A161:A188" si="66">A160+1</f>
        <v>1</v>
      </c>
      <c r="B161" s="171" t="s">
        <v>107</v>
      </c>
      <c r="C161" s="171" t="s">
        <v>108</v>
      </c>
      <c r="D161" s="171" t="s">
        <v>66</v>
      </c>
      <c r="E161" s="172"/>
      <c r="F161" s="172">
        <v>1.1000000000000001</v>
      </c>
      <c r="G161" s="209">
        <f>VLOOKUP(B161,'Bảng lương tính trên HTfast'!$B$13:$H$194,6,0)</f>
        <v>20</v>
      </c>
      <c r="H161" s="170">
        <f>VLOOKUP(B161,'Bảng lương tính trên HTfast'!$B$13:$H$194,7,0)</f>
        <v>7323000</v>
      </c>
      <c r="I161" s="173">
        <f>IFERROR(VLOOKUP(B161,'Luong vitri'!$C$6:$O$179,10,0),0)</f>
        <v>0</v>
      </c>
      <c r="J161" s="174">
        <f>VLOOKUP(B161,'Bảng lương tính trên HTfast'!$B$13:$I$194,8,0)</f>
        <v>1.1299999999999999</v>
      </c>
      <c r="K161" s="173">
        <f>IFERROR(VLOOKUP(B161,'Luong vitri'!$C$6:$O$201,12,0),0)</f>
        <v>0.35</v>
      </c>
      <c r="L161" s="170">
        <f t="shared" ref="L161:L188" si="67">ROUND((H161+H161*I161)*K161,0)</f>
        <v>2563050</v>
      </c>
      <c r="M161" s="170">
        <f t="shared" ref="M161:M188" si="68">ROUND(L161*0.3,0)</f>
        <v>768915</v>
      </c>
      <c r="N161" s="170">
        <f t="shared" ref="N161:N188" si="69">ROUND((H161+H161*I161)*J161+M161,0)</f>
        <v>9043905</v>
      </c>
      <c r="O161" s="170">
        <f>IFERROR(VLOOKUP(B161,'Bảng lương tính trên HTfast'!$B$13:$O$194,12,0),0)</f>
        <v>0</v>
      </c>
      <c r="P161" s="170">
        <f>IFERROR(VLOOKUP(B161,'BS lương'!$B$2:$M$188,9,0),0)</f>
        <v>0</v>
      </c>
      <c r="Q161" s="170">
        <f>IFERROR(VLOOKUP(B161,'BS lương'!$B$2:$M$188,10,0),0)</f>
        <v>0</v>
      </c>
      <c r="R161" s="170">
        <f t="shared" ref="R161:R188" si="70">N161+O161+P161+Q161</f>
        <v>9043905</v>
      </c>
      <c r="S161" s="170">
        <f>IFERROR(VLOOKUP(B161,'Bảng lương tính trên HTfast'!$B$13:$U$194,16,0),0)</f>
        <v>768915</v>
      </c>
      <c r="T161" s="170"/>
      <c r="U161" s="170"/>
      <c r="V161" s="170"/>
      <c r="W161" s="170">
        <f>IFERROR(VLOOKUP(B161,'Bảng lương tính trên HTfast'!$B$13:$U$190,20,0),0)</f>
        <v>9000000</v>
      </c>
      <c r="X161" s="170"/>
      <c r="Y161" s="170"/>
      <c r="Z161" s="170"/>
      <c r="AA161" s="170">
        <f t="shared" ref="AA161:AA188" si="71">IF((R161-S161-W161-O161-Q161)&gt;0,(R161-S161-W161-O161-Q161),0)</f>
        <v>0</v>
      </c>
      <c r="AB161" s="170"/>
      <c r="AC161" s="170"/>
      <c r="AD161" s="170"/>
      <c r="AE161" s="170"/>
      <c r="AF161" s="170"/>
      <c r="AG161" s="170"/>
      <c r="AH161" s="170"/>
      <c r="AI161" s="170"/>
      <c r="AJ161" s="170"/>
      <c r="AK161" s="170"/>
      <c r="AL161" s="170"/>
      <c r="AM161" s="170"/>
      <c r="AN161" s="170"/>
      <c r="AO161" s="170"/>
      <c r="AP161" s="170">
        <f t="shared" ref="AP161:AP188" si="72">ROUND(IF(AA161&lt;5000000,AA161*0.05,IF(AA161&lt;10000000,250000+(AA161-5000000)*0.1,IF(AA161&lt;18000000,750000+(AA161-10000000)*0.15,IF(AA161&lt;32000000,1950000+(AA161-18000000)*0.2,IF(AA161&lt;52000000,4750000+(AA161-32000000)*0.25,IF(AA161&lt;80000000,9750000+(AA161-52000000)*0.3,IF(AA161&gt;80000000,18150000+(AA161-80000000)*0.35,0))))))),0)</f>
        <v>0</v>
      </c>
      <c r="AQ161" s="170"/>
      <c r="AR161" s="170">
        <f t="shared" ref="AR161:AR188" si="73">R161-S161-AP161</f>
        <v>8274990</v>
      </c>
      <c r="AS161" s="170"/>
      <c r="AT161" s="170"/>
      <c r="AU161" s="170">
        <f t="shared" ref="AU161:AU188" si="74">IF(G161&gt;0,IF(AR161*1%&gt;149000,149000,ROUND(AR161*1%,0)),0)</f>
        <v>82750</v>
      </c>
      <c r="AV161" s="170">
        <f>IFERROR(VLOOKUP(B161,'BS lương'!$B$2:$M$181,11,0),0)</f>
        <v>0</v>
      </c>
      <c r="AW161" s="170"/>
      <c r="AX161" s="170">
        <f t="shared" ref="AX161:AX188" si="75">AR161-AU161-AV161-AW161</f>
        <v>8192240</v>
      </c>
      <c r="AY161" s="175"/>
    </row>
    <row r="162" spans="1:51" ht="12" customHeight="1" x14ac:dyDescent="0.3">
      <c r="A162" s="205">
        <f t="shared" si="66"/>
        <v>2</v>
      </c>
      <c r="B162" s="171" t="s">
        <v>88</v>
      </c>
      <c r="C162" s="171" t="s">
        <v>89</v>
      </c>
      <c r="D162" s="171" t="s">
        <v>66</v>
      </c>
      <c r="E162" s="172"/>
      <c r="F162" s="172">
        <v>14.61</v>
      </c>
      <c r="G162" s="209">
        <f>VLOOKUP(B162,'Bảng lương tính trên HTfast'!$B$13:$H$194,6,0)</f>
        <v>0</v>
      </c>
      <c r="H162" s="170">
        <f>VLOOKUP(B162,'Bảng lương tính trên HTfast'!$B$13:$H$194,7,0)</f>
        <v>0</v>
      </c>
      <c r="I162" s="173">
        <f>IFERROR(VLOOKUP(B162,'Luong vitri'!$C$6:$O$179,10,0),0)</f>
        <v>0</v>
      </c>
      <c r="J162" s="174">
        <f>VLOOKUP(B162,'Bảng lương tính trên HTfast'!$B$13:$I$194,8,0)</f>
        <v>1.1299999999999999</v>
      </c>
      <c r="K162" s="173">
        <f>IFERROR(VLOOKUP(B162,'Luong vitri'!$C$6:$O$201,12,0),0)</f>
        <v>0.35</v>
      </c>
      <c r="L162" s="170">
        <f t="shared" si="67"/>
        <v>0</v>
      </c>
      <c r="M162" s="170">
        <f t="shared" si="68"/>
        <v>0</v>
      </c>
      <c r="N162" s="170">
        <f t="shared" si="69"/>
        <v>0</v>
      </c>
      <c r="O162" s="170">
        <f>IFERROR(VLOOKUP(B162,'Bảng lương tính trên HTfast'!$B$13:$O$194,12,0),0)</f>
        <v>0</v>
      </c>
      <c r="P162" s="170">
        <f>IFERROR(VLOOKUP(B162,'BS lương'!$B$2:$M$188,9,0),0)</f>
        <v>0</v>
      </c>
      <c r="Q162" s="170">
        <f>IFERROR(VLOOKUP(B162,'BS lương'!$B$2:$M$188,10,0),0)</f>
        <v>0</v>
      </c>
      <c r="R162" s="170">
        <f t="shared" si="70"/>
        <v>0</v>
      </c>
      <c r="S162" s="170">
        <f>IFERROR(VLOOKUP(B162,'Bảng lương tính trên HTfast'!$B$13:$U$194,16,0),0)</f>
        <v>0</v>
      </c>
      <c r="T162" s="170"/>
      <c r="U162" s="170"/>
      <c r="V162" s="170"/>
      <c r="W162" s="170">
        <f>IFERROR(VLOOKUP(B162,'Bảng lương tính trên HTfast'!$B$13:$U$190,20,0),0)</f>
        <v>9000000</v>
      </c>
      <c r="X162" s="170"/>
      <c r="Y162" s="170"/>
      <c r="Z162" s="170"/>
      <c r="AA162" s="170">
        <f t="shared" si="71"/>
        <v>0</v>
      </c>
      <c r="AB162" s="170"/>
      <c r="AC162" s="170"/>
      <c r="AD162" s="170"/>
      <c r="AE162" s="170"/>
      <c r="AF162" s="170"/>
      <c r="AG162" s="170"/>
      <c r="AH162" s="170"/>
      <c r="AI162" s="170"/>
      <c r="AJ162" s="170"/>
      <c r="AK162" s="170"/>
      <c r="AL162" s="170"/>
      <c r="AM162" s="170"/>
      <c r="AN162" s="170"/>
      <c r="AO162" s="170"/>
      <c r="AP162" s="170">
        <f t="shared" si="72"/>
        <v>0</v>
      </c>
      <c r="AQ162" s="170"/>
      <c r="AR162" s="170">
        <f t="shared" si="73"/>
        <v>0</v>
      </c>
      <c r="AS162" s="170"/>
      <c r="AT162" s="170"/>
      <c r="AU162" s="170">
        <f t="shared" si="74"/>
        <v>0</v>
      </c>
      <c r="AV162" s="170">
        <f>IFERROR(VLOOKUP(B162,'BS lương'!$B$2:$M$181,11,0),0)</f>
        <v>0</v>
      </c>
      <c r="AW162" s="170"/>
      <c r="AX162" s="170">
        <f t="shared" si="75"/>
        <v>0</v>
      </c>
    </row>
    <row r="163" spans="1:51" ht="12" customHeight="1" x14ac:dyDescent="0.3">
      <c r="A163" s="205">
        <f t="shared" si="66"/>
        <v>3</v>
      </c>
      <c r="B163" s="171" t="s">
        <v>809</v>
      </c>
      <c r="C163" s="171" t="s">
        <v>810</v>
      </c>
      <c r="D163" s="171" t="s">
        <v>66</v>
      </c>
      <c r="E163" s="172"/>
      <c r="F163" s="172">
        <v>1.85</v>
      </c>
      <c r="G163" s="209">
        <f>VLOOKUP(B163,'Bảng lương tính trên HTfast'!$B$13:$H$194,6,0)</f>
        <v>20</v>
      </c>
      <c r="H163" s="170">
        <f>VLOOKUP(B163,'Bảng lương tính trên HTfast'!$B$13:$H$194,7,0)</f>
        <v>7323000</v>
      </c>
      <c r="I163" s="173">
        <f>IFERROR(VLOOKUP(B163,'Luong vitri'!$C$6:$O$179,10,0),0)</f>
        <v>0</v>
      </c>
      <c r="J163" s="174">
        <f>VLOOKUP(B163,'Bảng lương tính trên HTfast'!$B$13:$I$194,8,0)</f>
        <v>1</v>
      </c>
      <c r="K163" s="173">
        <f>IFERROR(VLOOKUP(B163,'Luong vitri'!$C$6:$O$201,12,0),0)</f>
        <v>0.45</v>
      </c>
      <c r="L163" s="170">
        <f t="shared" si="67"/>
        <v>3295350</v>
      </c>
      <c r="M163" s="170">
        <f t="shared" si="68"/>
        <v>988605</v>
      </c>
      <c r="N163" s="170">
        <f t="shared" si="69"/>
        <v>8311605</v>
      </c>
      <c r="O163" s="170">
        <f>IFERROR(VLOOKUP(B163,'Bảng lương tính trên HTfast'!$B$13:$O$194,12,0),0)</f>
        <v>730000</v>
      </c>
      <c r="P163" s="170">
        <f>IFERROR(VLOOKUP(B163,'BS lương'!$B$2:$M$188,9,0),0)</f>
        <v>5000000</v>
      </c>
      <c r="Q163" s="170">
        <f>IFERROR(VLOOKUP(B163,'BS lương'!$B$2:$M$188,10,0),0)</f>
        <v>0</v>
      </c>
      <c r="R163" s="170">
        <f t="shared" si="70"/>
        <v>14041605</v>
      </c>
      <c r="S163" s="170">
        <f>IFERROR(VLOOKUP(B163,'Bảng lương tính trên HTfast'!$B$13:$U$194,16,0),0)</f>
        <v>768915</v>
      </c>
      <c r="T163" s="170"/>
      <c r="U163" s="170"/>
      <c r="V163" s="170"/>
      <c r="W163" s="170">
        <f>IFERROR(VLOOKUP(B163,'Bảng lương tính trên HTfast'!$B$13:$U$190,20,0),0)</f>
        <v>9000000</v>
      </c>
      <c r="X163" s="170"/>
      <c r="Y163" s="170"/>
      <c r="Z163" s="170"/>
      <c r="AA163" s="170">
        <f t="shared" si="71"/>
        <v>3542690</v>
      </c>
      <c r="AB163" s="170"/>
      <c r="AC163" s="170"/>
      <c r="AD163" s="170"/>
      <c r="AE163" s="170"/>
      <c r="AF163" s="170"/>
      <c r="AG163" s="170"/>
      <c r="AH163" s="170"/>
      <c r="AI163" s="170"/>
      <c r="AJ163" s="170"/>
      <c r="AK163" s="170"/>
      <c r="AL163" s="170"/>
      <c r="AM163" s="170"/>
      <c r="AN163" s="170"/>
      <c r="AO163" s="170"/>
      <c r="AP163" s="170">
        <f t="shared" si="72"/>
        <v>177135</v>
      </c>
      <c r="AQ163" s="170"/>
      <c r="AR163" s="170">
        <f t="shared" si="73"/>
        <v>13095555</v>
      </c>
      <c r="AS163" s="170"/>
      <c r="AT163" s="170"/>
      <c r="AU163" s="170">
        <f t="shared" si="74"/>
        <v>130956</v>
      </c>
      <c r="AV163" s="170">
        <f>IFERROR(VLOOKUP(B163,'BS lương'!$B$2:$M$181,11,0),0)</f>
        <v>0</v>
      </c>
      <c r="AW163" s="170"/>
      <c r="AX163" s="170">
        <f t="shared" si="75"/>
        <v>12964599</v>
      </c>
    </row>
    <row r="164" spans="1:51" ht="12" customHeight="1" x14ac:dyDescent="0.3">
      <c r="A164" s="205">
        <f t="shared" si="66"/>
        <v>4</v>
      </c>
      <c r="B164" s="171" t="s">
        <v>278</v>
      </c>
      <c r="C164" s="171" t="s">
        <v>279</v>
      </c>
      <c r="D164" s="171" t="s">
        <v>66</v>
      </c>
      <c r="E164" s="172"/>
      <c r="F164" s="172">
        <v>1.85</v>
      </c>
      <c r="G164" s="209">
        <f>VLOOKUP(B164,'Bảng lương tính trên HTfast'!$B$13:$H$194,6,0)</f>
        <v>20</v>
      </c>
      <c r="H164" s="170">
        <f>VLOOKUP(B164,'Bảng lương tính trên HTfast'!$B$13:$H$194,7,0)</f>
        <v>7323000</v>
      </c>
      <c r="I164" s="173">
        <f>IFERROR(VLOOKUP(B164,'Luong vitri'!$C$6:$O$179,10,0),0)</f>
        <v>0</v>
      </c>
      <c r="J164" s="174">
        <f>VLOOKUP(B164,'Bảng lương tính trên HTfast'!$B$13:$I$194,8,0)</f>
        <v>1</v>
      </c>
      <c r="K164" s="173">
        <f>IFERROR(VLOOKUP(B164,'Luong vitri'!$C$6:$O$201,12,0),0)</f>
        <v>0.45</v>
      </c>
      <c r="L164" s="170">
        <f t="shared" si="67"/>
        <v>3295350</v>
      </c>
      <c r="M164" s="170">
        <f t="shared" si="68"/>
        <v>988605</v>
      </c>
      <c r="N164" s="170">
        <f t="shared" si="69"/>
        <v>8311605</v>
      </c>
      <c r="O164" s="170">
        <f>IFERROR(VLOOKUP(B164,'Bảng lương tính trên HTfast'!$B$13:$O$194,12,0),0)</f>
        <v>0</v>
      </c>
      <c r="P164" s="170">
        <f>IFERROR(VLOOKUP(B164,'BS lương'!$B$2:$M$188,9,0),0)</f>
        <v>555556</v>
      </c>
      <c r="Q164" s="170">
        <f>IFERROR(VLOOKUP(B164,'BS lương'!$B$2:$M$188,10,0),0)</f>
        <v>0</v>
      </c>
      <c r="R164" s="170">
        <f t="shared" si="70"/>
        <v>8867161</v>
      </c>
      <c r="S164" s="170">
        <f>IFERROR(VLOOKUP(B164,'Bảng lương tính trên HTfast'!$B$13:$U$194,16,0),0)</f>
        <v>768915</v>
      </c>
      <c r="T164" s="170"/>
      <c r="U164" s="170"/>
      <c r="V164" s="170"/>
      <c r="W164" s="170">
        <f>IFERROR(VLOOKUP(B164,'Bảng lương tính trên HTfast'!$B$13:$U$190,20,0),0)</f>
        <v>12600000</v>
      </c>
      <c r="X164" s="170"/>
      <c r="Y164" s="170"/>
      <c r="Z164" s="170"/>
      <c r="AA164" s="170">
        <f t="shared" si="71"/>
        <v>0</v>
      </c>
      <c r="AB164" s="170"/>
      <c r="AC164" s="170"/>
      <c r="AD164" s="170"/>
      <c r="AE164" s="170"/>
      <c r="AF164" s="170"/>
      <c r="AG164" s="170"/>
      <c r="AH164" s="170"/>
      <c r="AI164" s="170"/>
      <c r="AJ164" s="170"/>
      <c r="AK164" s="170"/>
      <c r="AL164" s="170"/>
      <c r="AM164" s="170"/>
      <c r="AN164" s="170"/>
      <c r="AO164" s="170"/>
      <c r="AP164" s="170">
        <f t="shared" si="72"/>
        <v>0</v>
      </c>
      <c r="AQ164" s="170"/>
      <c r="AR164" s="170">
        <f t="shared" si="73"/>
        <v>8098246</v>
      </c>
      <c r="AS164" s="170"/>
      <c r="AT164" s="170"/>
      <c r="AU164" s="170">
        <f t="shared" si="74"/>
        <v>80982</v>
      </c>
      <c r="AV164" s="170">
        <f>IFERROR(VLOOKUP(B164,'BS lương'!$B$2:$M$181,11,0),0)</f>
        <v>0</v>
      </c>
      <c r="AW164" s="170"/>
      <c r="AX164" s="170">
        <f t="shared" si="75"/>
        <v>8017264</v>
      </c>
    </row>
    <row r="165" spans="1:51" ht="12" customHeight="1" x14ac:dyDescent="0.3">
      <c r="A165" s="205">
        <f t="shared" si="66"/>
        <v>5</v>
      </c>
      <c r="B165" s="171" t="s">
        <v>243</v>
      </c>
      <c r="C165" s="171" t="s">
        <v>244</v>
      </c>
      <c r="D165" s="171" t="s">
        <v>66</v>
      </c>
      <c r="E165" s="172"/>
      <c r="F165" s="172">
        <v>1.85</v>
      </c>
      <c r="G165" s="209">
        <f>VLOOKUP(B165,'Bảng lương tính trên HTfast'!$B$13:$H$194,6,0)</f>
        <v>20</v>
      </c>
      <c r="H165" s="170">
        <f>VLOOKUP(B165,'Bảng lương tính trên HTfast'!$B$13:$H$194,7,0)</f>
        <v>7323000</v>
      </c>
      <c r="I165" s="173">
        <f>IFERROR(VLOOKUP(B165,'Luong vitri'!$C$6:$O$179,10,0),0)</f>
        <v>0.1</v>
      </c>
      <c r="J165" s="174">
        <f>VLOOKUP(B165,'Bảng lương tính trên HTfast'!$B$13:$I$194,8,0)</f>
        <v>1</v>
      </c>
      <c r="K165" s="173">
        <f>IFERROR(VLOOKUP(B165,'Luong vitri'!$C$6:$O$201,12,0),0)</f>
        <v>0.45</v>
      </c>
      <c r="L165" s="170">
        <f t="shared" si="67"/>
        <v>3624885</v>
      </c>
      <c r="M165" s="170">
        <f t="shared" si="68"/>
        <v>1087466</v>
      </c>
      <c r="N165" s="170">
        <f t="shared" si="69"/>
        <v>9142766</v>
      </c>
      <c r="O165" s="170">
        <f>IFERROR(VLOOKUP(B165,'Bảng lương tính trên HTfast'!$B$13:$O$194,12,0),0)</f>
        <v>0</v>
      </c>
      <c r="P165" s="170">
        <f>IFERROR(VLOOKUP(B165,'BS lương'!$B$2:$M$188,9,0),0)</f>
        <v>588235</v>
      </c>
      <c r="Q165" s="170">
        <f>IFERROR(VLOOKUP(B165,'BS lương'!$B$2:$M$188,10,0),0)</f>
        <v>0</v>
      </c>
      <c r="R165" s="170">
        <f t="shared" si="70"/>
        <v>9731001</v>
      </c>
      <c r="S165" s="170">
        <f>IFERROR(VLOOKUP(B165,'Bảng lương tính trên HTfast'!$B$13:$U$194,16,0),0)</f>
        <v>768915</v>
      </c>
      <c r="T165" s="170"/>
      <c r="U165" s="170"/>
      <c r="V165" s="170"/>
      <c r="W165" s="170">
        <f>IFERROR(VLOOKUP(B165,'Bảng lương tính trên HTfast'!$B$13:$U$190,20,0),0)</f>
        <v>9000000</v>
      </c>
      <c r="X165" s="170"/>
      <c r="Y165" s="170"/>
      <c r="Z165" s="170"/>
      <c r="AA165" s="170">
        <f t="shared" si="71"/>
        <v>0</v>
      </c>
      <c r="AB165" s="170"/>
      <c r="AC165" s="170"/>
      <c r="AD165" s="170"/>
      <c r="AE165" s="170"/>
      <c r="AF165" s="170"/>
      <c r="AG165" s="170"/>
      <c r="AH165" s="170"/>
      <c r="AI165" s="170"/>
      <c r="AJ165" s="170"/>
      <c r="AK165" s="170"/>
      <c r="AL165" s="170"/>
      <c r="AM165" s="170"/>
      <c r="AN165" s="170"/>
      <c r="AO165" s="170"/>
      <c r="AP165" s="170">
        <f t="shared" si="72"/>
        <v>0</v>
      </c>
      <c r="AQ165" s="170"/>
      <c r="AR165" s="170">
        <f t="shared" si="73"/>
        <v>8962086</v>
      </c>
      <c r="AS165" s="170"/>
      <c r="AT165" s="170"/>
      <c r="AU165" s="170">
        <f t="shared" si="74"/>
        <v>89621</v>
      </c>
      <c r="AV165" s="170">
        <f>IFERROR(VLOOKUP(B165,'BS lương'!$B$2:$M$181,11,0),0)</f>
        <v>0</v>
      </c>
      <c r="AW165" s="170"/>
      <c r="AX165" s="170">
        <f t="shared" si="75"/>
        <v>8872465</v>
      </c>
    </row>
    <row r="166" spans="1:51" ht="12" customHeight="1" x14ac:dyDescent="0.3">
      <c r="A166" s="205">
        <f t="shared" si="66"/>
        <v>6</v>
      </c>
      <c r="B166" s="171" t="s">
        <v>390</v>
      </c>
      <c r="C166" s="171" t="s">
        <v>391</v>
      </c>
      <c r="D166" s="171" t="s">
        <v>66</v>
      </c>
      <c r="E166" s="172"/>
      <c r="F166" s="172">
        <v>2.29</v>
      </c>
      <c r="G166" s="209">
        <f>VLOOKUP(B166,'Bảng lương tính trên HTfast'!$B$13:$H$194,6,0)</f>
        <v>20</v>
      </c>
      <c r="H166" s="170">
        <f>VLOOKUP(B166,'Bảng lương tính trên HTfast'!$B$13:$H$194,7,0)</f>
        <v>7801000</v>
      </c>
      <c r="I166" s="173">
        <f>IFERROR(VLOOKUP(B166,'Luong vitri'!$C$6:$O$179,10,0),0)</f>
        <v>0</v>
      </c>
      <c r="J166" s="174">
        <f>VLOOKUP(B166,'Bảng lương tính trên HTfast'!$B$13:$I$194,8,0)</f>
        <v>1.1299999999999999</v>
      </c>
      <c r="K166" s="173">
        <f>IFERROR(VLOOKUP(B166,'Luong vitri'!$C$6:$O$201,12,0),0)</f>
        <v>0.45</v>
      </c>
      <c r="L166" s="170">
        <f t="shared" si="67"/>
        <v>3510450</v>
      </c>
      <c r="M166" s="170">
        <f t="shared" si="68"/>
        <v>1053135</v>
      </c>
      <c r="N166" s="170">
        <f t="shared" si="69"/>
        <v>9868265</v>
      </c>
      <c r="O166" s="170">
        <f>IFERROR(VLOOKUP(B166,'Bảng lương tính trên HTfast'!$B$13:$O$194,12,0),0)</f>
        <v>0</v>
      </c>
      <c r="P166" s="170">
        <f>IFERROR(VLOOKUP(B166,'BS lương'!$B$2:$M$188,9,0),0)</f>
        <v>5930801</v>
      </c>
      <c r="Q166" s="170">
        <f>IFERROR(VLOOKUP(B166,'BS lương'!$B$2:$M$188,10,0),0)</f>
        <v>664858</v>
      </c>
      <c r="R166" s="170">
        <f t="shared" si="70"/>
        <v>16463924</v>
      </c>
      <c r="S166" s="170">
        <f>IFERROR(VLOOKUP(B166,'Bảng lương tính trên HTfast'!$B$13:$U$194,16,0),0)</f>
        <v>819105</v>
      </c>
      <c r="T166" s="170"/>
      <c r="U166" s="170"/>
      <c r="V166" s="170"/>
      <c r="W166" s="170">
        <f>IFERROR(VLOOKUP(B166,'Bảng lương tính trên HTfast'!$B$13:$U$190,20,0),0)</f>
        <v>9000000</v>
      </c>
      <c r="X166" s="170"/>
      <c r="Y166" s="170"/>
      <c r="Z166" s="170"/>
      <c r="AA166" s="170">
        <f t="shared" si="71"/>
        <v>5979961</v>
      </c>
      <c r="AB166" s="170"/>
      <c r="AC166" s="170"/>
      <c r="AD166" s="170"/>
      <c r="AE166" s="170"/>
      <c r="AF166" s="170"/>
      <c r="AG166" s="170"/>
      <c r="AH166" s="170"/>
      <c r="AI166" s="170"/>
      <c r="AJ166" s="170"/>
      <c r="AK166" s="170"/>
      <c r="AL166" s="170"/>
      <c r="AM166" s="170"/>
      <c r="AN166" s="170"/>
      <c r="AO166" s="170"/>
      <c r="AP166" s="170">
        <f t="shared" si="72"/>
        <v>347996</v>
      </c>
      <c r="AQ166" s="170"/>
      <c r="AR166" s="170">
        <f t="shared" si="73"/>
        <v>15296823</v>
      </c>
      <c r="AS166" s="170"/>
      <c r="AT166" s="170"/>
      <c r="AU166" s="170">
        <f t="shared" si="74"/>
        <v>149000</v>
      </c>
      <c r="AV166" s="170">
        <f>IFERROR(VLOOKUP(B166,'BS lương'!$B$2:$M$181,11,0),0)</f>
        <v>0</v>
      </c>
      <c r="AW166" s="170"/>
      <c r="AX166" s="170">
        <f t="shared" si="75"/>
        <v>15147823</v>
      </c>
    </row>
    <row r="167" spans="1:51" ht="12" customHeight="1" x14ac:dyDescent="0.3">
      <c r="A167" s="205">
        <f t="shared" si="66"/>
        <v>7</v>
      </c>
      <c r="B167" s="171" t="s">
        <v>260</v>
      </c>
      <c r="C167" s="171" t="s">
        <v>261</v>
      </c>
      <c r="D167" s="171" t="s">
        <v>66</v>
      </c>
      <c r="E167" s="172"/>
      <c r="F167" s="172">
        <v>1.85</v>
      </c>
      <c r="G167" s="209">
        <f>VLOOKUP(B167,'Bảng lương tính trên HTfast'!$B$13:$H$194,6,0)</f>
        <v>20</v>
      </c>
      <c r="H167" s="170">
        <f>VLOOKUP(B167,'Bảng lương tính trên HTfast'!$B$13:$H$194,7,0)</f>
        <v>7363000</v>
      </c>
      <c r="I167" s="173">
        <f>IFERROR(VLOOKUP(B167,'Luong vitri'!$C$6:$O$179,10,0),0)</f>
        <v>0</v>
      </c>
      <c r="J167" s="174">
        <f>VLOOKUP(B167,'Bảng lương tính trên HTfast'!$B$13:$I$194,8,0)</f>
        <v>1</v>
      </c>
      <c r="K167" s="173">
        <f>IFERROR(VLOOKUP(B167,'Luong vitri'!$C$6:$O$201,12,0),0)</f>
        <v>0.35</v>
      </c>
      <c r="L167" s="170">
        <f t="shared" si="67"/>
        <v>2577050</v>
      </c>
      <c r="M167" s="170">
        <f t="shared" si="68"/>
        <v>773115</v>
      </c>
      <c r="N167" s="170">
        <f t="shared" si="69"/>
        <v>8136115</v>
      </c>
      <c r="O167" s="170">
        <f>IFERROR(VLOOKUP(B167,'Bảng lương tính trên HTfast'!$B$13:$O$194,12,0),0)</f>
        <v>0</v>
      </c>
      <c r="P167" s="170">
        <f>IFERROR(VLOOKUP(B167,'BS lương'!$B$2:$M$188,9,0),0)</f>
        <v>555556</v>
      </c>
      <c r="Q167" s="170">
        <f>IFERROR(VLOOKUP(B167,'BS lương'!$B$2:$M$188,10,0),0)</f>
        <v>0</v>
      </c>
      <c r="R167" s="170">
        <f t="shared" si="70"/>
        <v>8691671</v>
      </c>
      <c r="S167" s="170">
        <f>IFERROR(VLOOKUP(B167,'Bảng lương tính trên HTfast'!$B$13:$U$194,16,0),0)</f>
        <v>773115</v>
      </c>
      <c r="T167" s="170"/>
      <c r="U167" s="170"/>
      <c r="V167" s="170"/>
      <c r="W167" s="170">
        <f>IFERROR(VLOOKUP(B167,'Bảng lương tính trên HTfast'!$B$13:$U$190,20,0),0)</f>
        <v>16200000</v>
      </c>
      <c r="X167" s="170"/>
      <c r="Y167" s="170"/>
      <c r="Z167" s="170"/>
      <c r="AA167" s="170">
        <f t="shared" si="71"/>
        <v>0</v>
      </c>
      <c r="AB167" s="170"/>
      <c r="AC167" s="170"/>
      <c r="AD167" s="170"/>
      <c r="AE167" s="170"/>
      <c r="AF167" s="170"/>
      <c r="AG167" s="170"/>
      <c r="AH167" s="170"/>
      <c r="AI167" s="170"/>
      <c r="AJ167" s="170"/>
      <c r="AK167" s="170"/>
      <c r="AL167" s="170"/>
      <c r="AM167" s="170"/>
      <c r="AN167" s="170"/>
      <c r="AO167" s="170"/>
      <c r="AP167" s="170">
        <f t="shared" si="72"/>
        <v>0</v>
      </c>
      <c r="AQ167" s="170"/>
      <c r="AR167" s="170">
        <f t="shared" si="73"/>
        <v>7918556</v>
      </c>
      <c r="AS167" s="170"/>
      <c r="AT167" s="170"/>
      <c r="AU167" s="170">
        <f t="shared" si="74"/>
        <v>79186</v>
      </c>
      <c r="AV167" s="170">
        <f>IFERROR(VLOOKUP(B167,'BS lương'!$B$2:$M$181,11,0),0)</f>
        <v>0</v>
      </c>
      <c r="AW167" s="170"/>
      <c r="AX167" s="170">
        <f t="shared" si="75"/>
        <v>7839370</v>
      </c>
    </row>
    <row r="168" spans="1:51" ht="12" customHeight="1" x14ac:dyDescent="0.3">
      <c r="A168" s="205">
        <f t="shared" si="66"/>
        <v>8</v>
      </c>
      <c r="B168" s="171" t="s">
        <v>196</v>
      </c>
      <c r="C168" s="171" t="s">
        <v>197</v>
      </c>
      <c r="D168" s="171" t="s">
        <v>66</v>
      </c>
      <c r="E168" s="172"/>
      <c r="F168" s="172">
        <v>1.54</v>
      </c>
      <c r="G168" s="209">
        <f>VLOOKUP(B168,'Bảng lương tính trên HTfast'!$B$13:$H$194,6,0)</f>
        <v>20</v>
      </c>
      <c r="H168" s="170">
        <f>VLOOKUP(B168,'Bảng lương tính trên HTfast'!$B$13:$H$194,7,0)</f>
        <v>7363000</v>
      </c>
      <c r="I168" s="173">
        <f>IFERROR(VLOOKUP(B168,'Luong vitri'!$C$6:$O$179,10,0),0)</f>
        <v>0</v>
      </c>
      <c r="J168" s="174">
        <f>VLOOKUP(B168,'Bảng lương tính trên HTfast'!$B$13:$I$194,8,0)</f>
        <v>1.1299999999999999</v>
      </c>
      <c r="K168" s="173">
        <f>IFERROR(VLOOKUP(B168,'Luong vitri'!$C$6:$O$201,12,0),0)</f>
        <v>0.35</v>
      </c>
      <c r="L168" s="170">
        <f t="shared" si="67"/>
        <v>2577050</v>
      </c>
      <c r="M168" s="170">
        <f t="shared" si="68"/>
        <v>773115</v>
      </c>
      <c r="N168" s="170">
        <f t="shared" si="69"/>
        <v>9093305</v>
      </c>
      <c r="O168" s="170">
        <f>IFERROR(VLOOKUP(B168,'Bảng lương tính trên HTfast'!$B$13:$O$194,12,0),0)</f>
        <v>0</v>
      </c>
      <c r="P168" s="170">
        <f>IFERROR(VLOOKUP(B168,'BS lương'!$B$2:$M$188,9,0),0)</f>
        <v>714286</v>
      </c>
      <c r="Q168" s="170">
        <f>IFERROR(VLOOKUP(B168,'BS lương'!$B$2:$M$188,10,0),0)</f>
        <v>0</v>
      </c>
      <c r="R168" s="170">
        <f t="shared" si="70"/>
        <v>9807591</v>
      </c>
      <c r="S168" s="170">
        <f>IFERROR(VLOOKUP(B168,'Bảng lương tính trên HTfast'!$B$13:$U$194,16,0),0)</f>
        <v>773115</v>
      </c>
      <c r="T168" s="170"/>
      <c r="U168" s="170"/>
      <c r="V168" s="170"/>
      <c r="W168" s="170">
        <f>IFERROR(VLOOKUP(B168,'Bảng lương tính trên HTfast'!$B$13:$U$190,20,0),0)</f>
        <v>9000000</v>
      </c>
      <c r="X168" s="170"/>
      <c r="Y168" s="170"/>
      <c r="Z168" s="170"/>
      <c r="AA168" s="170">
        <f t="shared" si="71"/>
        <v>34476</v>
      </c>
      <c r="AB168" s="170"/>
      <c r="AC168" s="170"/>
      <c r="AD168" s="170"/>
      <c r="AE168" s="170"/>
      <c r="AF168" s="170"/>
      <c r="AG168" s="170"/>
      <c r="AH168" s="170"/>
      <c r="AI168" s="170"/>
      <c r="AJ168" s="170"/>
      <c r="AK168" s="170"/>
      <c r="AL168" s="170"/>
      <c r="AM168" s="170"/>
      <c r="AN168" s="170"/>
      <c r="AO168" s="170"/>
      <c r="AP168" s="170">
        <f t="shared" si="72"/>
        <v>1724</v>
      </c>
      <c r="AQ168" s="170"/>
      <c r="AR168" s="170">
        <f t="shared" si="73"/>
        <v>9032752</v>
      </c>
      <c r="AS168" s="170"/>
      <c r="AT168" s="170"/>
      <c r="AU168" s="170">
        <f t="shared" si="74"/>
        <v>90328</v>
      </c>
      <c r="AV168" s="170">
        <f>IFERROR(VLOOKUP(B168,'BS lương'!$B$2:$M$181,11,0),0)</f>
        <v>0</v>
      </c>
      <c r="AW168" s="170"/>
      <c r="AX168" s="170">
        <f t="shared" si="75"/>
        <v>8942424</v>
      </c>
    </row>
    <row r="169" spans="1:51" ht="12" customHeight="1" x14ac:dyDescent="0.3">
      <c r="A169" s="205">
        <f t="shared" si="66"/>
        <v>9</v>
      </c>
      <c r="B169" s="171" t="s">
        <v>384</v>
      </c>
      <c r="C169" s="171" t="s">
        <v>385</v>
      </c>
      <c r="D169" s="171" t="s">
        <v>66</v>
      </c>
      <c r="E169" s="172"/>
      <c r="F169" s="172">
        <v>0</v>
      </c>
      <c r="G169" s="209">
        <f>VLOOKUP(B169,'Bảng lương tính trên HTfast'!$B$13:$H$194,6,0)</f>
        <v>20</v>
      </c>
      <c r="H169" s="170">
        <f>VLOOKUP(B169,'Bảng lương tính trên HTfast'!$B$13:$H$194,7,0)</f>
        <v>7323000</v>
      </c>
      <c r="I169" s="173">
        <f>IFERROR(VLOOKUP(B169,'Luong vitri'!$C$6:$O$179,10,0),0)</f>
        <v>0</v>
      </c>
      <c r="J169" s="174">
        <f>VLOOKUP(B169,'Bảng lương tính trên HTfast'!$B$13:$I$194,8,0)</f>
        <v>1.1299999999999999</v>
      </c>
      <c r="K169" s="173">
        <f>IFERROR(VLOOKUP(B169,'Luong vitri'!$C$6:$O$201,12,0),0)</f>
        <v>0.45</v>
      </c>
      <c r="L169" s="170">
        <f t="shared" si="67"/>
        <v>3295350</v>
      </c>
      <c r="M169" s="170">
        <f t="shared" si="68"/>
        <v>988605</v>
      </c>
      <c r="N169" s="170">
        <f t="shared" si="69"/>
        <v>9263595</v>
      </c>
      <c r="O169" s="170">
        <f>IFERROR(VLOOKUP(B169,'Bảng lương tính trên HTfast'!$B$13:$O$194,12,0),0)</f>
        <v>0</v>
      </c>
      <c r="P169" s="170">
        <f>IFERROR(VLOOKUP(B169,'BS lương'!$B$2:$M$188,9,0),0)</f>
        <v>0</v>
      </c>
      <c r="Q169" s="170">
        <f>IFERROR(VLOOKUP(B169,'BS lương'!$B$2:$M$188,10,0),0)</f>
        <v>0</v>
      </c>
      <c r="R169" s="170">
        <f t="shared" si="70"/>
        <v>9263595</v>
      </c>
      <c r="S169" s="170">
        <f>IFERROR(VLOOKUP(B169,'Bảng lương tính trên HTfast'!$B$13:$U$194,16,0),0)</f>
        <v>768915</v>
      </c>
      <c r="T169" s="170"/>
      <c r="U169" s="170"/>
      <c r="V169" s="170"/>
      <c r="W169" s="170">
        <f>IFERROR(VLOOKUP(B169,'Bảng lương tính trên HTfast'!$B$13:$U$190,20,0),0)</f>
        <v>9000000</v>
      </c>
      <c r="X169" s="170"/>
      <c r="Y169" s="170"/>
      <c r="Z169" s="170"/>
      <c r="AA169" s="170">
        <f t="shared" si="71"/>
        <v>0</v>
      </c>
      <c r="AB169" s="170"/>
      <c r="AC169" s="170"/>
      <c r="AD169" s="170"/>
      <c r="AE169" s="170"/>
      <c r="AF169" s="170"/>
      <c r="AG169" s="170"/>
      <c r="AH169" s="170"/>
      <c r="AI169" s="170"/>
      <c r="AJ169" s="170"/>
      <c r="AK169" s="170"/>
      <c r="AL169" s="170"/>
      <c r="AM169" s="170"/>
      <c r="AN169" s="170"/>
      <c r="AO169" s="170"/>
      <c r="AP169" s="170">
        <f t="shared" si="72"/>
        <v>0</v>
      </c>
      <c r="AQ169" s="170"/>
      <c r="AR169" s="170">
        <f t="shared" si="73"/>
        <v>8494680</v>
      </c>
      <c r="AS169" s="170"/>
      <c r="AT169" s="170"/>
      <c r="AU169" s="170">
        <f t="shared" si="74"/>
        <v>84947</v>
      </c>
      <c r="AV169" s="170">
        <f>IFERROR(VLOOKUP(B169,'BS lương'!$B$2:$M$181,11,0),0)</f>
        <v>0</v>
      </c>
      <c r="AW169" s="170"/>
      <c r="AX169" s="170">
        <f t="shared" si="75"/>
        <v>8409733</v>
      </c>
    </row>
    <row r="170" spans="1:51" ht="12" customHeight="1" x14ac:dyDescent="0.3">
      <c r="A170" s="205">
        <f t="shared" si="66"/>
        <v>10</v>
      </c>
      <c r="B170" s="171" t="s">
        <v>428</v>
      </c>
      <c r="C170" s="171" t="s">
        <v>429</v>
      </c>
      <c r="D170" s="171" t="s">
        <v>430</v>
      </c>
      <c r="E170" s="172"/>
      <c r="F170" s="172">
        <v>1.85</v>
      </c>
      <c r="G170" s="209">
        <f>VLOOKUP(B170,'Bảng lương tính trên HTfast'!$B$13:$H$194,6,0)</f>
        <v>20</v>
      </c>
      <c r="H170" s="170">
        <f>VLOOKUP(B170,'Bảng lương tính trên HTfast'!$B$13:$H$194,7,0)</f>
        <v>12020000</v>
      </c>
      <c r="I170" s="173">
        <f>IFERROR(VLOOKUP(B170,'Luong vitri'!$C$6:$O$179,10,0),0)</f>
        <v>0</v>
      </c>
      <c r="J170" s="174">
        <f>VLOOKUP(B170,'Bảng lương tính trên HTfast'!$B$13:$I$194,8,0)</f>
        <v>1.1299999999999999</v>
      </c>
      <c r="K170" s="173">
        <f>IFERROR(VLOOKUP(B170,'Luong vitri'!$C$6:$O$201,12,0),0)</f>
        <v>0.5</v>
      </c>
      <c r="L170" s="170">
        <f t="shared" si="67"/>
        <v>6010000</v>
      </c>
      <c r="M170" s="170">
        <f t="shared" si="68"/>
        <v>1803000</v>
      </c>
      <c r="N170" s="170">
        <f t="shared" si="69"/>
        <v>15385600</v>
      </c>
      <c r="O170" s="170">
        <f>IFERROR(VLOOKUP(B170,'Bảng lương tính trên HTfast'!$B$13:$O$194,12,0),0)</f>
        <v>0</v>
      </c>
      <c r="P170" s="170">
        <f>IFERROR(VLOOKUP(B170,'BS lương'!$B$2:$M$188,9,0),0)</f>
        <v>0</v>
      </c>
      <c r="Q170" s="170">
        <f>IFERROR(VLOOKUP(B170,'BS lương'!$B$2:$M$188,10,0),0)</f>
        <v>0</v>
      </c>
      <c r="R170" s="170">
        <f t="shared" si="70"/>
        <v>15385600</v>
      </c>
      <c r="S170" s="170">
        <f>IFERROR(VLOOKUP(B170,'Bảng lương tính trên HTfast'!$B$13:$U$194,16,0),0)</f>
        <v>1262100</v>
      </c>
      <c r="T170" s="170"/>
      <c r="U170" s="170"/>
      <c r="V170" s="170"/>
      <c r="W170" s="170">
        <f>IFERROR(VLOOKUP(B170,'Bảng lương tính trên HTfast'!$B$13:$U$190,20,0),0)</f>
        <v>9000000</v>
      </c>
      <c r="X170" s="170"/>
      <c r="Y170" s="170"/>
      <c r="Z170" s="170"/>
      <c r="AA170" s="170">
        <f t="shared" si="71"/>
        <v>5123500</v>
      </c>
      <c r="AB170" s="170"/>
      <c r="AC170" s="170"/>
      <c r="AD170" s="170"/>
      <c r="AE170" s="170"/>
      <c r="AF170" s="170"/>
      <c r="AG170" s="170"/>
      <c r="AH170" s="170"/>
      <c r="AI170" s="170"/>
      <c r="AJ170" s="170"/>
      <c r="AK170" s="170"/>
      <c r="AL170" s="170"/>
      <c r="AM170" s="170"/>
      <c r="AN170" s="170"/>
      <c r="AO170" s="170"/>
      <c r="AP170" s="170">
        <f t="shared" si="72"/>
        <v>262350</v>
      </c>
      <c r="AQ170" s="170"/>
      <c r="AR170" s="170">
        <f t="shared" si="73"/>
        <v>13861150</v>
      </c>
      <c r="AS170" s="170"/>
      <c r="AT170" s="170"/>
      <c r="AU170" s="170">
        <f t="shared" si="74"/>
        <v>138612</v>
      </c>
      <c r="AV170" s="170">
        <f>IFERROR(VLOOKUP(B170,'BS lương'!$B$2:$M$181,11,0),0)</f>
        <v>0</v>
      </c>
      <c r="AW170" s="170"/>
      <c r="AX170" s="170">
        <f t="shared" si="75"/>
        <v>13722538</v>
      </c>
    </row>
    <row r="171" spans="1:51" ht="12" customHeight="1" x14ac:dyDescent="0.3">
      <c r="A171" s="205">
        <f t="shared" si="66"/>
        <v>11</v>
      </c>
      <c r="B171" s="171" t="s">
        <v>80</v>
      </c>
      <c r="C171" s="171" t="s">
        <v>81</v>
      </c>
      <c r="D171" s="171" t="s">
        <v>58</v>
      </c>
      <c r="E171" s="172"/>
      <c r="F171" s="172">
        <v>3.13</v>
      </c>
      <c r="G171" s="209">
        <f>VLOOKUP(B171,'Bảng lương tính trên HTfast'!$B$13:$H$194,6,0)</f>
        <v>20</v>
      </c>
      <c r="H171" s="170">
        <f>VLOOKUP(B171,'Bảng lương tính trên HTfast'!$B$13:$H$194,7,0)</f>
        <v>12020000</v>
      </c>
      <c r="I171" s="173">
        <f>IFERROR(VLOOKUP(B171,'Luong vitri'!$C$6:$O$179,10,0),0)</f>
        <v>0.1</v>
      </c>
      <c r="J171" s="174">
        <f>VLOOKUP(B171,'Bảng lương tính trên HTfast'!$B$13:$I$194,8,0)</f>
        <v>1.1299999999999999</v>
      </c>
      <c r="K171" s="173">
        <f>IFERROR(VLOOKUP(B171,'Luong vitri'!$C$6:$O$201,12,0),0)</f>
        <v>0.4</v>
      </c>
      <c r="L171" s="170">
        <f t="shared" si="67"/>
        <v>5288800</v>
      </c>
      <c r="M171" s="170">
        <f t="shared" si="68"/>
        <v>1586640</v>
      </c>
      <c r="N171" s="170">
        <f t="shared" si="69"/>
        <v>16527500</v>
      </c>
      <c r="O171" s="170">
        <f>IFERROR(VLOOKUP(B171,'Bảng lương tính trên HTfast'!$B$13:$O$194,12,0),0)</f>
        <v>0</v>
      </c>
      <c r="P171" s="170">
        <f>IFERROR(VLOOKUP(B171,'BS lương'!$B$2:$M$188,9,0),0)</f>
        <v>2024432</v>
      </c>
      <c r="Q171" s="170">
        <f>IFERROR(VLOOKUP(B171,'BS lương'!$B$2:$M$188,10,0),0)</f>
        <v>819545</v>
      </c>
      <c r="R171" s="170">
        <f t="shared" si="70"/>
        <v>19371477</v>
      </c>
      <c r="S171" s="170">
        <f>IFERROR(VLOOKUP(B171,'Bảng lương tính trên HTfast'!$B$13:$U$194,16,0),0)</f>
        <v>1262100</v>
      </c>
      <c r="T171" s="170"/>
      <c r="U171" s="170"/>
      <c r="V171" s="170"/>
      <c r="W171" s="170">
        <f>IFERROR(VLOOKUP(B171,'Bảng lương tính trên HTfast'!$B$13:$U$190,20,0),0)</f>
        <v>12600000</v>
      </c>
      <c r="X171" s="170"/>
      <c r="Y171" s="170"/>
      <c r="Z171" s="170"/>
      <c r="AA171" s="170">
        <f t="shared" si="71"/>
        <v>4689832</v>
      </c>
      <c r="AB171" s="170"/>
      <c r="AC171" s="170"/>
      <c r="AD171" s="170"/>
      <c r="AE171" s="170"/>
      <c r="AF171" s="170"/>
      <c r="AG171" s="170"/>
      <c r="AH171" s="170"/>
      <c r="AI171" s="170"/>
      <c r="AJ171" s="170"/>
      <c r="AK171" s="170"/>
      <c r="AL171" s="170"/>
      <c r="AM171" s="170"/>
      <c r="AN171" s="170"/>
      <c r="AO171" s="170"/>
      <c r="AP171" s="170">
        <f t="shared" si="72"/>
        <v>234492</v>
      </c>
      <c r="AQ171" s="170"/>
      <c r="AR171" s="170">
        <f t="shared" si="73"/>
        <v>17874885</v>
      </c>
      <c r="AS171" s="170"/>
      <c r="AT171" s="170"/>
      <c r="AU171" s="170">
        <f t="shared" si="74"/>
        <v>149000</v>
      </c>
      <c r="AV171" s="170">
        <f>IFERROR(VLOOKUP(B171,'BS lương'!$B$2:$M$181,11,0),0)</f>
        <v>0</v>
      </c>
      <c r="AW171" s="170"/>
      <c r="AX171" s="170">
        <f t="shared" si="75"/>
        <v>17725885</v>
      </c>
    </row>
    <row r="172" spans="1:51" ht="12" customHeight="1" x14ac:dyDescent="0.3">
      <c r="A172" s="205">
        <f t="shared" si="66"/>
        <v>12</v>
      </c>
      <c r="B172" s="171" t="s">
        <v>287</v>
      </c>
      <c r="C172" s="171" t="s">
        <v>288</v>
      </c>
      <c r="D172" s="171" t="s">
        <v>214</v>
      </c>
      <c r="E172" s="172"/>
      <c r="F172" s="172">
        <v>1.85</v>
      </c>
      <c r="G172" s="209">
        <f>VLOOKUP(B172,'Bảng lương tính trên HTfast'!$B$13:$H$194,6,0)</f>
        <v>20</v>
      </c>
      <c r="H172" s="170">
        <f>VLOOKUP(B172,'Bảng lương tính trên HTfast'!$B$13:$H$194,7,0)</f>
        <v>16238000</v>
      </c>
      <c r="I172" s="173">
        <f>IFERROR(VLOOKUP(B172,'Luong vitri'!$C$6:$O$179,10,0),0)</f>
        <v>0</v>
      </c>
      <c r="J172" s="174">
        <f>VLOOKUP(B172,'Bảng lương tính trên HTfast'!$B$13:$I$194,8,0)</f>
        <v>1</v>
      </c>
      <c r="K172" s="173">
        <f>IFERROR(VLOOKUP(B172,'Luong vitri'!$C$6:$O$201,12,0),0)</f>
        <v>0.55000000000000004</v>
      </c>
      <c r="L172" s="170">
        <f t="shared" si="67"/>
        <v>8930900</v>
      </c>
      <c r="M172" s="170">
        <f t="shared" si="68"/>
        <v>2679270</v>
      </c>
      <c r="N172" s="170">
        <f t="shared" si="69"/>
        <v>18917270</v>
      </c>
      <c r="O172" s="170">
        <f>IFERROR(VLOOKUP(B172,'Bảng lương tính trên HTfast'!$B$13:$O$194,12,0),0)</f>
        <v>0</v>
      </c>
      <c r="P172" s="170">
        <f>IFERROR(VLOOKUP(B172,'BS lương'!$B$2:$M$188,9,0),0)</f>
        <v>370370</v>
      </c>
      <c r="Q172" s="170">
        <f>IFERROR(VLOOKUP(B172,'BS lương'!$B$2:$M$188,10,0),0)</f>
        <v>0</v>
      </c>
      <c r="R172" s="170">
        <f t="shared" si="70"/>
        <v>19287640</v>
      </c>
      <c r="S172" s="170">
        <f>IFERROR(VLOOKUP(B172,'Bảng lương tính trên HTfast'!$B$13:$U$194,16,0),0)</f>
        <v>1704990</v>
      </c>
      <c r="T172" s="170"/>
      <c r="U172" s="170"/>
      <c r="V172" s="170"/>
      <c r="W172" s="170">
        <f>IFERROR(VLOOKUP(B172,'Bảng lương tính trên HTfast'!$B$13:$U$190,20,0),0)</f>
        <v>9000000</v>
      </c>
      <c r="X172" s="170"/>
      <c r="Y172" s="170"/>
      <c r="Z172" s="170"/>
      <c r="AA172" s="170">
        <f t="shared" si="71"/>
        <v>8582650</v>
      </c>
      <c r="AB172" s="170"/>
      <c r="AC172" s="170"/>
      <c r="AD172" s="170"/>
      <c r="AE172" s="170"/>
      <c r="AF172" s="170"/>
      <c r="AG172" s="170"/>
      <c r="AH172" s="170"/>
      <c r="AI172" s="170"/>
      <c r="AJ172" s="170"/>
      <c r="AK172" s="170"/>
      <c r="AL172" s="170"/>
      <c r="AM172" s="170"/>
      <c r="AN172" s="170"/>
      <c r="AO172" s="170"/>
      <c r="AP172" s="170">
        <f t="shared" si="72"/>
        <v>608265</v>
      </c>
      <c r="AQ172" s="170"/>
      <c r="AR172" s="170">
        <f t="shared" si="73"/>
        <v>16974385</v>
      </c>
      <c r="AS172" s="170"/>
      <c r="AT172" s="170"/>
      <c r="AU172" s="170">
        <f t="shared" si="74"/>
        <v>149000</v>
      </c>
      <c r="AV172" s="170">
        <f>IFERROR(VLOOKUP(B172,'BS lương'!$B$2:$M$181,11,0),0)</f>
        <v>0</v>
      </c>
      <c r="AW172" s="170"/>
      <c r="AX172" s="170">
        <f t="shared" si="75"/>
        <v>16825385</v>
      </c>
    </row>
    <row r="173" spans="1:51" ht="12" customHeight="1" x14ac:dyDescent="0.3">
      <c r="A173" s="205">
        <f t="shared" si="66"/>
        <v>13</v>
      </c>
      <c r="B173" s="171" t="s">
        <v>317</v>
      </c>
      <c r="C173" s="171" t="s">
        <v>318</v>
      </c>
      <c r="D173" s="171" t="s">
        <v>66</v>
      </c>
      <c r="E173" s="172"/>
      <c r="F173" s="172">
        <v>1.54</v>
      </c>
      <c r="G173" s="209">
        <f>VLOOKUP(B173,'Bảng lương tính trên HTfast'!$B$13:$H$194,6,0)</f>
        <v>20</v>
      </c>
      <c r="H173" s="170">
        <f>VLOOKUP(B173,'Bảng lương tính trên HTfast'!$B$13:$H$194,7,0)</f>
        <v>7323000</v>
      </c>
      <c r="I173" s="173">
        <f>IFERROR(VLOOKUP(B173,'Luong vitri'!$C$6:$O$179,10,0),0)</f>
        <v>0</v>
      </c>
      <c r="J173" s="174">
        <f>VLOOKUP(B173,'Bảng lương tính trên HTfast'!$B$13:$I$194,8,0)</f>
        <v>1</v>
      </c>
      <c r="K173" s="173">
        <f>IFERROR(VLOOKUP(B173,'Luong vitri'!$C$6:$O$201,12,0),0)</f>
        <v>0.45</v>
      </c>
      <c r="L173" s="170">
        <f t="shared" si="67"/>
        <v>3295350</v>
      </c>
      <c r="M173" s="170">
        <f t="shared" si="68"/>
        <v>988605</v>
      </c>
      <c r="N173" s="170">
        <f t="shared" si="69"/>
        <v>8311605</v>
      </c>
      <c r="O173" s="170">
        <f>IFERROR(VLOOKUP(B173,'Bảng lương tính trên HTfast'!$B$13:$O$194,12,0),0)</f>
        <v>730000</v>
      </c>
      <c r="P173" s="170">
        <f>IFERROR(VLOOKUP(B173,'BS lương'!$B$2:$M$188,9,0),0)</f>
        <v>370370</v>
      </c>
      <c r="Q173" s="170">
        <f>IFERROR(VLOOKUP(B173,'BS lương'!$B$2:$M$188,10,0),0)</f>
        <v>0</v>
      </c>
      <c r="R173" s="170">
        <f t="shared" si="70"/>
        <v>9411975</v>
      </c>
      <c r="S173" s="170">
        <f>IFERROR(VLOOKUP(B173,'Bảng lương tính trên HTfast'!$B$13:$U$194,16,0),0)</f>
        <v>768915</v>
      </c>
      <c r="T173" s="170"/>
      <c r="U173" s="170"/>
      <c r="V173" s="170"/>
      <c r="W173" s="170">
        <f>IFERROR(VLOOKUP(B173,'Bảng lương tính trên HTfast'!$B$13:$U$190,20,0),0)</f>
        <v>9000000</v>
      </c>
      <c r="X173" s="170"/>
      <c r="Y173" s="170"/>
      <c r="Z173" s="170"/>
      <c r="AA173" s="170">
        <f t="shared" si="71"/>
        <v>0</v>
      </c>
      <c r="AB173" s="170"/>
      <c r="AC173" s="170"/>
      <c r="AD173" s="170"/>
      <c r="AE173" s="170"/>
      <c r="AF173" s="170"/>
      <c r="AG173" s="170"/>
      <c r="AH173" s="170"/>
      <c r="AI173" s="170"/>
      <c r="AJ173" s="170"/>
      <c r="AK173" s="170"/>
      <c r="AL173" s="170"/>
      <c r="AM173" s="170"/>
      <c r="AN173" s="170"/>
      <c r="AO173" s="170"/>
      <c r="AP173" s="170">
        <f t="shared" si="72"/>
        <v>0</v>
      </c>
      <c r="AQ173" s="170"/>
      <c r="AR173" s="170">
        <f t="shared" si="73"/>
        <v>8643060</v>
      </c>
      <c r="AS173" s="170"/>
      <c r="AT173" s="170"/>
      <c r="AU173" s="170">
        <f t="shared" si="74"/>
        <v>86431</v>
      </c>
      <c r="AV173" s="170">
        <f>IFERROR(VLOOKUP(B173,'BS lương'!$B$2:$M$181,11,0),0)</f>
        <v>0</v>
      </c>
      <c r="AW173" s="170"/>
      <c r="AX173" s="170">
        <f t="shared" si="75"/>
        <v>8556629</v>
      </c>
    </row>
    <row r="174" spans="1:51" ht="12" customHeight="1" x14ac:dyDescent="0.3">
      <c r="A174" s="205">
        <f t="shared" si="66"/>
        <v>14</v>
      </c>
      <c r="B174" s="171" t="s">
        <v>236</v>
      </c>
      <c r="C174" s="171" t="s">
        <v>237</v>
      </c>
      <c r="D174" s="171" t="s">
        <v>66</v>
      </c>
      <c r="E174" s="172"/>
      <c r="F174" s="172">
        <v>1.85</v>
      </c>
      <c r="G174" s="209">
        <f>VLOOKUP(B174,'Bảng lương tính trên HTfast'!$B$13:$H$194,6,0)</f>
        <v>20</v>
      </c>
      <c r="H174" s="170">
        <f>VLOOKUP(B174,'Bảng lương tính trên HTfast'!$B$13:$H$194,7,0)</f>
        <v>7323000</v>
      </c>
      <c r="I174" s="173">
        <f>IFERROR(VLOOKUP(B174,'Luong vitri'!$C$6:$O$179,10,0),0)</f>
        <v>0</v>
      </c>
      <c r="J174" s="174">
        <f>VLOOKUP(B174,'Bảng lương tính trên HTfast'!$B$13:$I$194,8,0)</f>
        <v>1</v>
      </c>
      <c r="K174" s="173">
        <f>IFERROR(VLOOKUP(B174,'Luong vitri'!$C$6:$O$201,12,0),0)</f>
        <v>0.45</v>
      </c>
      <c r="L174" s="170">
        <f t="shared" si="67"/>
        <v>3295350</v>
      </c>
      <c r="M174" s="170">
        <f t="shared" si="68"/>
        <v>988605</v>
      </c>
      <c r="N174" s="170">
        <f t="shared" si="69"/>
        <v>8311605</v>
      </c>
      <c r="O174" s="170">
        <f>IFERROR(VLOOKUP(B174,'Bảng lương tính trên HTfast'!$B$13:$O$194,12,0),0)</f>
        <v>730000</v>
      </c>
      <c r="P174" s="170">
        <f>IFERROR(VLOOKUP(B174,'BS lương'!$B$2:$M$188,9,0),0)</f>
        <v>5588235</v>
      </c>
      <c r="Q174" s="170">
        <f>IFERROR(VLOOKUP(B174,'BS lương'!$B$2:$M$188,10,0),0)</f>
        <v>0</v>
      </c>
      <c r="R174" s="170">
        <f t="shared" si="70"/>
        <v>14629840</v>
      </c>
      <c r="S174" s="170">
        <f>IFERROR(VLOOKUP(B174,'Bảng lương tính trên HTfast'!$B$13:$U$194,16,0),0)</f>
        <v>768915</v>
      </c>
      <c r="T174" s="170"/>
      <c r="U174" s="170"/>
      <c r="V174" s="170"/>
      <c r="W174" s="170">
        <f>IFERROR(VLOOKUP(B174,'Bảng lương tính trên HTfast'!$B$13:$U$190,20,0),0)</f>
        <v>9000000</v>
      </c>
      <c r="X174" s="170"/>
      <c r="Y174" s="170"/>
      <c r="Z174" s="170"/>
      <c r="AA174" s="170">
        <f t="shared" si="71"/>
        <v>4130925</v>
      </c>
      <c r="AB174" s="170"/>
      <c r="AC174" s="170"/>
      <c r="AD174" s="170"/>
      <c r="AE174" s="170"/>
      <c r="AF174" s="170"/>
      <c r="AG174" s="170"/>
      <c r="AH174" s="170"/>
      <c r="AI174" s="170"/>
      <c r="AJ174" s="170"/>
      <c r="AK174" s="170"/>
      <c r="AL174" s="170"/>
      <c r="AM174" s="170"/>
      <c r="AN174" s="170"/>
      <c r="AO174" s="170"/>
      <c r="AP174" s="170">
        <f t="shared" si="72"/>
        <v>206546</v>
      </c>
      <c r="AQ174" s="170"/>
      <c r="AR174" s="170">
        <f t="shared" si="73"/>
        <v>13654379</v>
      </c>
      <c r="AS174" s="170"/>
      <c r="AT174" s="170"/>
      <c r="AU174" s="170">
        <f t="shared" si="74"/>
        <v>136544</v>
      </c>
      <c r="AV174" s="170">
        <f>IFERROR(VLOOKUP(B174,'BS lương'!$B$2:$M$181,11,0),0)</f>
        <v>0</v>
      </c>
      <c r="AW174" s="170"/>
      <c r="AX174" s="170">
        <f t="shared" si="75"/>
        <v>13517835</v>
      </c>
    </row>
    <row r="175" spans="1:51" ht="12" customHeight="1" x14ac:dyDescent="0.3">
      <c r="A175" s="205">
        <f t="shared" si="66"/>
        <v>15</v>
      </c>
      <c r="B175" s="171" t="s">
        <v>73</v>
      </c>
      <c r="C175" s="171" t="s">
        <v>74</v>
      </c>
      <c r="D175" s="171" t="s">
        <v>66</v>
      </c>
      <c r="E175" s="172"/>
      <c r="F175" s="172">
        <v>1.85</v>
      </c>
      <c r="G175" s="209">
        <f>VLOOKUP(B175,'Bảng lương tính trên HTfast'!$B$13:$H$194,6,0)</f>
        <v>20</v>
      </c>
      <c r="H175" s="170">
        <f>VLOOKUP(B175,'Bảng lương tính trên HTfast'!$B$13:$H$194,7,0)</f>
        <v>7323000</v>
      </c>
      <c r="I175" s="173">
        <f>IFERROR(VLOOKUP(B175,'Luong vitri'!$C$6:$O$179,10,0),0)</f>
        <v>0</v>
      </c>
      <c r="J175" s="174">
        <f>VLOOKUP(B175,'Bảng lương tính trên HTfast'!$B$13:$I$194,8,0)</f>
        <v>1.1299999999999999</v>
      </c>
      <c r="K175" s="173">
        <f>IFERROR(VLOOKUP(B175,'Luong vitri'!$C$6:$O$187,12,0),0)</f>
        <v>0.45</v>
      </c>
      <c r="L175" s="170">
        <f t="shared" si="67"/>
        <v>3295350</v>
      </c>
      <c r="M175" s="170">
        <f t="shared" si="68"/>
        <v>988605</v>
      </c>
      <c r="N175" s="170">
        <f t="shared" si="69"/>
        <v>9263595</v>
      </c>
      <c r="O175" s="170">
        <f>IFERROR(VLOOKUP(B175,'Bảng lương tính trên HTfast'!$B$13:$O$194,12,0),0)</f>
        <v>0</v>
      </c>
      <c r="P175" s="170">
        <f>IFERROR(VLOOKUP(B175,'BS lương'!$B$2:$M$188,9,0),0)</f>
        <v>0</v>
      </c>
      <c r="Q175" s="170">
        <f>IFERROR(VLOOKUP(B175,'BS lương'!$B$2:$M$188,10,0),0)</f>
        <v>0</v>
      </c>
      <c r="R175" s="170">
        <f t="shared" si="70"/>
        <v>9263595</v>
      </c>
      <c r="S175" s="170">
        <f>IFERROR(VLOOKUP(B175,'Bảng lương tính trên HTfast'!$B$13:$U$194,16,0),0)</f>
        <v>768915</v>
      </c>
      <c r="T175" s="170"/>
      <c r="U175" s="170"/>
      <c r="V175" s="170"/>
      <c r="W175" s="170">
        <f>IFERROR(VLOOKUP(B175,'Bảng lương tính trên HTfast'!$B$13:$U$190,20,0),0)</f>
        <v>9000000</v>
      </c>
      <c r="X175" s="170"/>
      <c r="Y175" s="170"/>
      <c r="Z175" s="170"/>
      <c r="AA175" s="170">
        <f t="shared" si="71"/>
        <v>0</v>
      </c>
      <c r="AB175" s="170"/>
      <c r="AC175" s="170"/>
      <c r="AD175" s="170"/>
      <c r="AE175" s="170"/>
      <c r="AF175" s="170"/>
      <c r="AG175" s="170"/>
      <c r="AH175" s="170"/>
      <c r="AI175" s="170"/>
      <c r="AJ175" s="170"/>
      <c r="AK175" s="170"/>
      <c r="AL175" s="170"/>
      <c r="AM175" s="170"/>
      <c r="AN175" s="170"/>
      <c r="AO175" s="170"/>
      <c r="AP175" s="170">
        <f t="shared" si="72"/>
        <v>0</v>
      </c>
      <c r="AQ175" s="170"/>
      <c r="AR175" s="170">
        <f t="shared" si="73"/>
        <v>8494680</v>
      </c>
      <c r="AS175" s="170"/>
      <c r="AT175" s="170"/>
      <c r="AU175" s="170">
        <f t="shared" si="74"/>
        <v>84947</v>
      </c>
      <c r="AV175" s="170">
        <f>IFERROR(VLOOKUP(B175,'BS lương'!$B$2:$M$181,11,0),0)</f>
        <v>0</v>
      </c>
      <c r="AW175" s="170"/>
      <c r="AX175" s="170">
        <f t="shared" si="75"/>
        <v>8409733</v>
      </c>
    </row>
    <row r="176" spans="1:51" ht="12" customHeight="1" x14ac:dyDescent="0.3">
      <c r="A176" s="205">
        <f t="shared" si="66"/>
        <v>16</v>
      </c>
      <c r="B176" s="171" t="s">
        <v>224</v>
      </c>
      <c r="C176" s="171" t="s">
        <v>225</v>
      </c>
      <c r="D176" s="171" t="s">
        <v>66</v>
      </c>
      <c r="E176" s="172"/>
      <c r="F176" s="172">
        <v>1.85</v>
      </c>
      <c r="G176" s="209">
        <f>VLOOKUP(B176,'Bảng lương tính trên HTfast'!$B$13:$H$194,6,0)</f>
        <v>20</v>
      </c>
      <c r="H176" s="170">
        <f>VLOOKUP(B176,'Bảng lương tính trên HTfast'!$B$13:$H$194,7,0)</f>
        <v>7363000</v>
      </c>
      <c r="I176" s="173">
        <f>IFERROR(VLOOKUP(B176,'Luong vitri'!$C$6:$O$179,10,0),0)</f>
        <v>0</v>
      </c>
      <c r="J176" s="174">
        <f>VLOOKUP(B176,'Bảng lương tính trên HTfast'!$B$13:$I$194,8,0)</f>
        <v>1</v>
      </c>
      <c r="K176" s="173">
        <f>IFERROR(VLOOKUP(B176,'Luong vitri'!$C$6:$O$201,12,0),0)</f>
        <v>0.35</v>
      </c>
      <c r="L176" s="170">
        <f t="shared" si="67"/>
        <v>2577050</v>
      </c>
      <c r="M176" s="170">
        <f t="shared" si="68"/>
        <v>773115</v>
      </c>
      <c r="N176" s="170">
        <f t="shared" si="69"/>
        <v>8136115</v>
      </c>
      <c r="O176" s="170">
        <f>IFERROR(VLOOKUP(B176,'Bảng lương tính trên HTfast'!$B$13:$O$194,12,0),0)</f>
        <v>0</v>
      </c>
      <c r="P176" s="170">
        <f>IFERROR(VLOOKUP(B176,'BS lương'!$B$2:$M$188,9,0),0)</f>
        <v>588235</v>
      </c>
      <c r="Q176" s="170">
        <f>IFERROR(VLOOKUP(B176,'BS lương'!$B$2:$M$188,10,0),0)</f>
        <v>0</v>
      </c>
      <c r="R176" s="170">
        <f t="shared" si="70"/>
        <v>8724350</v>
      </c>
      <c r="S176" s="170">
        <f>IFERROR(VLOOKUP(B176,'Bảng lương tính trên HTfast'!$B$13:$U$194,16,0),0)</f>
        <v>773115</v>
      </c>
      <c r="T176" s="170"/>
      <c r="U176" s="170"/>
      <c r="V176" s="170"/>
      <c r="W176" s="170">
        <f>IFERROR(VLOOKUP(B176,'Bảng lương tính trên HTfast'!$B$13:$U$190,20,0),0)</f>
        <v>9000000</v>
      </c>
      <c r="X176" s="170"/>
      <c r="Y176" s="170"/>
      <c r="Z176" s="170"/>
      <c r="AA176" s="170">
        <f t="shared" si="71"/>
        <v>0</v>
      </c>
      <c r="AB176" s="170"/>
      <c r="AC176" s="170"/>
      <c r="AD176" s="170"/>
      <c r="AE176" s="170"/>
      <c r="AF176" s="170"/>
      <c r="AG176" s="170"/>
      <c r="AH176" s="170"/>
      <c r="AI176" s="170"/>
      <c r="AJ176" s="170"/>
      <c r="AK176" s="170"/>
      <c r="AL176" s="170"/>
      <c r="AM176" s="170"/>
      <c r="AN176" s="170"/>
      <c r="AO176" s="170"/>
      <c r="AP176" s="170">
        <f t="shared" si="72"/>
        <v>0</v>
      </c>
      <c r="AQ176" s="170"/>
      <c r="AR176" s="170">
        <f t="shared" si="73"/>
        <v>7951235</v>
      </c>
      <c r="AS176" s="170"/>
      <c r="AT176" s="170"/>
      <c r="AU176" s="170">
        <f t="shared" si="74"/>
        <v>79512</v>
      </c>
      <c r="AV176" s="170">
        <f>IFERROR(VLOOKUP(B176,'BS lương'!$B$2:$M$181,11,0),0)</f>
        <v>0</v>
      </c>
      <c r="AW176" s="170"/>
      <c r="AX176" s="170">
        <f t="shared" si="75"/>
        <v>7871723</v>
      </c>
    </row>
    <row r="177" spans="1:51" ht="12" customHeight="1" x14ac:dyDescent="0.3">
      <c r="A177" s="205">
        <f t="shared" si="66"/>
        <v>17</v>
      </c>
      <c r="B177" s="171" t="s">
        <v>349</v>
      </c>
      <c r="C177" s="171" t="s">
        <v>350</v>
      </c>
      <c r="D177" s="171" t="s">
        <v>66</v>
      </c>
      <c r="E177" s="211"/>
      <c r="F177" s="211">
        <v>1.85</v>
      </c>
      <c r="G177" s="209">
        <f>VLOOKUP(B177,'Bảng lương tính trên HTfast'!$B$13:$H$194,6,0)</f>
        <v>20</v>
      </c>
      <c r="H177" s="170">
        <f>VLOOKUP(B177,'Bảng lương tính trên HTfast'!$B$13:$H$194,7,0)</f>
        <v>7801000</v>
      </c>
      <c r="I177" s="173">
        <f>IFERROR(VLOOKUP(B177,'Luong vitri'!$C$6:$O$179,10,0),0)</f>
        <v>0</v>
      </c>
      <c r="J177" s="174">
        <f>VLOOKUP(B177,'Bảng lương tính trên HTfast'!$B$13:$I$194,8,0)</f>
        <v>1</v>
      </c>
      <c r="K177" s="173">
        <f>IFERROR(VLOOKUP(B177,'Luong vitri'!$C$6:$O$201,12,0),0)</f>
        <v>0.45</v>
      </c>
      <c r="L177" s="170">
        <f t="shared" si="67"/>
        <v>3510450</v>
      </c>
      <c r="M177" s="170">
        <f t="shared" si="68"/>
        <v>1053135</v>
      </c>
      <c r="N177" s="170">
        <f t="shared" si="69"/>
        <v>8854135</v>
      </c>
      <c r="O177" s="170">
        <f>IFERROR(VLOOKUP(B177,'Bảng lương tính trên HTfast'!$B$13:$O$194,12,0),0)</f>
        <v>730000</v>
      </c>
      <c r="P177" s="170">
        <f>IFERROR(VLOOKUP(B177,'BS lương'!$B$2:$M$188,9,0),0)</f>
        <v>0</v>
      </c>
      <c r="Q177" s="170">
        <f>IFERROR(VLOOKUP(B177,'BS lương'!$B$2:$M$188,10,0),0)</f>
        <v>0</v>
      </c>
      <c r="R177" s="170">
        <f t="shared" si="70"/>
        <v>9584135</v>
      </c>
      <c r="S177" s="170">
        <f>IFERROR(VLOOKUP(B177,'Bảng lương tính trên HTfast'!$B$13:$U$194,16,0),0)</f>
        <v>819105</v>
      </c>
      <c r="T177" s="170"/>
      <c r="U177" s="170"/>
      <c r="V177" s="170"/>
      <c r="W177" s="170">
        <f>IFERROR(VLOOKUP(B177,'Bảng lương tính trên HTfast'!$B$13:$U$190,20,0),0)</f>
        <v>16200000</v>
      </c>
      <c r="X177" s="170"/>
      <c r="Y177" s="170"/>
      <c r="Z177" s="170"/>
      <c r="AA177" s="170">
        <f t="shared" si="71"/>
        <v>0</v>
      </c>
      <c r="AB177" s="170"/>
      <c r="AC177" s="170"/>
      <c r="AD177" s="170"/>
      <c r="AE177" s="170"/>
      <c r="AF177" s="170"/>
      <c r="AG177" s="170"/>
      <c r="AH177" s="170"/>
      <c r="AI177" s="170"/>
      <c r="AJ177" s="170"/>
      <c r="AK177" s="170"/>
      <c r="AL177" s="170"/>
      <c r="AM177" s="170"/>
      <c r="AN177" s="170"/>
      <c r="AO177" s="170"/>
      <c r="AP177" s="170">
        <f t="shared" si="72"/>
        <v>0</v>
      </c>
      <c r="AQ177" s="170"/>
      <c r="AR177" s="170">
        <f t="shared" si="73"/>
        <v>8765030</v>
      </c>
      <c r="AS177" s="170"/>
      <c r="AT177" s="170"/>
      <c r="AU177" s="170">
        <f t="shared" si="74"/>
        <v>87650</v>
      </c>
      <c r="AV177" s="170">
        <f>IFERROR(VLOOKUP(B177,'BS lương'!$B$2:$M$181,11,0),0)</f>
        <v>0</v>
      </c>
      <c r="AW177" s="170"/>
      <c r="AX177" s="170">
        <f t="shared" si="75"/>
        <v>8677380</v>
      </c>
      <c r="AY177" s="212"/>
    </row>
    <row r="178" spans="1:51" ht="12" customHeight="1" x14ac:dyDescent="0.3">
      <c r="A178" s="205">
        <f t="shared" si="66"/>
        <v>18</v>
      </c>
      <c r="B178" s="171" t="s">
        <v>805</v>
      </c>
      <c r="C178" s="171" t="s">
        <v>806</v>
      </c>
      <c r="D178" s="171" t="s">
        <v>66</v>
      </c>
      <c r="E178" s="172"/>
      <c r="F178" s="172">
        <v>2.29</v>
      </c>
      <c r="G178" s="209">
        <f>VLOOKUP(B178,'Bảng lương tính trên HTfast'!$B$13:$H$194,6,0)</f>
        <v>20</v>
      </c>
      <c r="H178" s="170">
        <f>VLOOKUP(B178,'Bảng lương tính trên HTfast'!$B$13:$H$194,7,0)</f>
        <v>6925000</v>
      </c>
      <c r="I178" s="173">
        <f>IFERROR(VLOOKUP(B178,'Luong vitri'!$C$6:$O$179,10,0),0)</f>
        <v>0</v>
      </c>
      <c r="J178" s="174">
        <f>VLOOKUP(B178,'Bảng lương tính trên HTfast'!$B$13:$I$194,8,0)</f>
        <v>1</v>
      </c>
      <c r="K178" s="173">
        <f>IFERROR(VLOOKUP(B178,'Luong vitri'!$C$6:$O$201,12,0),0)</f>
        <v>0.35</v>
      </c>
      <c r="L178" s="170">
        <f t="shared" si="67"/>
        <v>2423750</v>
      </c>
      <c r="M178" s="170">
        <f t="shared" si="68"/>
        <v>727125</v>
      </c>
      <c r="N178" s="170">
        <f t="shared" si="69"/>
        <v>7652125</v>
      </c>
      <c r="O178" s="170">
        <f>IFERROR(VLOOKUP(B178,'Bảng lương tính trên HTfast'!$B$13:$O$194,12,0),0)</f>
        <v>0</v>
      </c>
      <c r="P178" s="170">
        <f>IFERROR(VLOOKUP(B178,'BS lương'!$B$2:$M$188,9,0),0)</f>
        <v>588240</v>
      </c>
      <c r="Q178" s="170">
        <f>IFERROR(VLOOKUP(B178,'BS lương'!$B$2:$M$188,10,0),0)</f>
        <v>0</v>
      </c>
      <c r="R178" s="170">
        <f t="shared" si="70"/>
        <v>8240365</v>
      </c>
      <c r="S178" s="170">
        <f>IFERROR(VLOOKUP(B178,'Bảng lương tính trên HTfast'!$B$13:$U$194,16,0),0)</f>
        <v>727125</v>
      </c>
      <c r="T178" s="170"/>
      <c r="U178" s="170"/>
      <c r="V178" s="170"/>
      <c r="W178" s="170">
        <f>IFERROR(VLOOKUP(B178,'Bảng lương tính trên HTfast'!$B$13:$U$190,20,0),0)</f>
        <v>9000000</v>
      </c>
      <c r="X178" s="170"/>
      <c r="Y178" s="170"/>
      <c r="Z178" s="170"/>
      <c r="AA178" s="170">
        <f t="shared" si="71"/>
        <v>0</v>
      </c>
      <c r="AB178" s="170"/>
      <c r="AC178" s="170"/>
      <c r="AD178" s="170"/>
      <c r="AE178" s="170"/>
      <c r="AF178" s="170"/>
      <c r="AG178" s="170"/>
      <c r="AH178" s="170"/>
      <c r="AI178" s="170"/>
      <c r="AJ178" s="170"/>
      <c r="AK178" s="170"/>
      <c r="AL178" s="170"/>
      <c r="AM178" s="170"/>
      <c r="AN178" s="170"/>
      <c r="AO178" s="170"/>
      <c r="AP178" s="170">
        <f t="shared" si="72"/>
        <v>0</v>
      </c>
      <c r="AQ178" s="170"/>
      <c r="AR178" s="170">
        <f t="shared" si="73"/>
        <v>7513240</v>
      </c>
      <c r="AS178" s="170"/>
      <c r="AT178" s="170"/>
      <c r="AU178" s="170">
        <f t="shared" si="74"/>
        <v>75132</v>
      </c>
      <c r="AV178" s="170">
        <f>IFERROR(VLOOKUP(B178,'BS lương'!$B$2:$M$181,11,0),0)</f>
        <v>0</v>
      </c>
      <c r="AW178" s="170"/>
      <c r="AX178" s="170">
        <f t="shared" si="75"/>
        <v>7438108</v>
      </c>
    </row>
    <row r="179" spans="1:51" ht="12" customHeight="1" x14ac:dyDescent="0.3">
      <c r="A179" s="205">
        <f t="shared" si="66"/>
        <v>19</v>
      </c>
      <c r="B179" s="171" t="s">
        <v>159</v>
      </c>
      <c r="C179" s="171" t="s">
        <v>160</v>
      </c>
      <c r="D179" s="171" t="s">
        <v>66</v>
      </c>
      <c r="E179" s="172"/>
      <c r="F179" s="172">
        <v>2.41</v>
      </c>
      <c r="G179" s="209">
        <f>VLOOKUP(B179,'Bảng lương tính trên HTfast'!$B$13:$H$194,6,0)</f>
        <v>20</v>
      </c>
      <c r="H179" s="170">
        <f>VLOOKUP(B179,'Bảng lương tính trên HTfast'!$B$13:$H$194,7,0)</f>
        <v>7363000</v>
      </c>
      <c r="I179" s="173">
        <f>IFERROR(VLOOKUP(B179,'Luong vitri'!$C$6:$O$179,10,0),0)</f>
        <v>0</v>
      </c>
      <c r="J179" s="174">
        <f>VLOOKUP(B179,'Bảng lương tính trên HTfast'!$B$13:$I$194,8,0)</f>
        <v>1.1299999999999999</v>
      </c>
      <c r="K179" s="173">
        <f>IFERROR(VLOOKUP(B179,'Luong vitri'!$C$6:$O$201,12,0),0)</f>
        <v>0.35</v>
      </c>
      <c r="L179" s="170">
        <f t="shared" si="67"/>
        <v>2577050</v>
      </c>
      <c r="M179" s="170">
        <f t="shared" si="68"/>
        <v>773115</v>
      </c>
      <c r="N179" s="170">
        <f t="shared" si="69"/>
        <v>9093305</v>
      </c>
      <c r="O179" s="170">
        <f>IFERROR(VLOOKUP(B179,'Bảng lương tính trên HTfast'!$B$13:$O$194,12,0),0)</f>
        <v>0</v>
      </c>
      <c r="P179" s="170">
        <f>IFERROR(VLOOKUP(B179,'BS lương'!$B$2:$M$188,9,0),0)</f>
        <v>3627528</v>
      </c>
      <c r="Q179" s="170">
        <f>IFERROR(VLOOKUP(B179,'BS lương'!$B$2:$M$188,10,0),0)</f>
        <v>627528</v>
      </c>
      <c r="R179" s="170">
        <f t="shared" si="70"/>
        <v>13348361</v>
      </c>
      <c r="S179" s="170">
        <f>IFERROR(VLOOKUP(B179,'Bảng lương tính trên HTfast'!$B$13:$U$194,16,0),0)</f>
        <v>773115</v>
      </c>
      <c r="T179" s="170"/>
      <c r="U179" s="170"/>
      <c r="V179" s="170"/>
      <c r="W179" s="170">
        <f>IFERROR(VLOOKUP(B179,'Bảng lương tính trên HTfast'!$B$13:$U$190,20,0),0)</f>
        <v>9000000</v>
      </c>
      <c r="X179" s="170"/>
      <c r="Y179" s="170"/>
      <c r="Z179" s="170"/>
      <c r="AA179" s="170">
        <f t="shared" si="71"/>
        <v>2947718</v>
      </c>
      <c r="AB179" s="170"/>
      <c r="AC179" s="170"/>
      <c r="AD179" s="170"/>
      <c r="AE179" s="170"/>
      <c r="AF179" s="170"/>
      <c r="AG179" s="170"/>
      <c r="AH179" s="170"/>
      <c r="AI179" s="170"/>
      <c r="AJ179" s="170"/>
      <c r="AK179" s="170"/>
      <c r="AL179" s="170"/>
      <c r="AM179" s="170"/>
      <c r="AN179" s="170"/>
      <c r="AO179" s="170"/>
      <c r="AP179" s="170">
        <f t="shared" si="72"/>
        <v>147386</v>
      </c>
      <c r="AQ179" s="170"/>
      <c r="AR179" s="170">
        <f t="shared" si="73"/>
        <v>12427860</v>
      </c>
      <c r="AS179" s="170"/>
      <c r="AT179" s="170"/>
      <c r="AU179" s="170">
        <f t="shared" si="74"/>
        <v>124279</v>
      </c>
      <c r="AV179" s="170">
        <f>IFERROR(VLOOKUP(B179,'BS lương'!$B$2:$M$181,11,0),0)</f>
        <v>0</v>
      </c>
      <c r="AW179" s="170"/>
      <c r="AX179" s="170">
        <f t="shared" si="75"/>
        <v>12303581</v>
      </c>
    </row>
    <row r="180" spans="1:51" ht="12" customHeight="1" x14ac:dyDescent="0.3">
      <c r="A180" s="205">
        <f t="shared" si="66"/>
        <v>20</v>
      </c>
      <c r="B180" s="171" t="s">
        <v>134</v>
      </c>
      <c r="C180" s="171" t="s">
        <v>135</v>
      </c>
      <c r="D180" s="171" t="s">
        <v>61</v>
      </c>
      <c r="E180" s="172"/>
      <c r="F180" s="172">
        <v>1.85</v>
      </c>
      <c r="G180" s="209">
        <f>VLOOKUP(B180,'Bảng lương tính trên HTfast'!$B$13:$H$194,6,0)</f>
        <v>20</v>
      </c>
      <c r="H180" s="170">
        <f>VLOOKUP(B180,'Bảng lương tính trên HTfast'!$B$13:$H$194,7,0)</f>
        <v>12020000</v>
      </c>
      <c r="I180" s="173">
        <f>IFERROR(VLOOKUP(B180,'Luong vitri'!$C$6:$O$179,10,0),0)</f>
        <v>0</v>
      </c>
      <c r="J180" s="174">
        <f>VLOOKUP(B180,'Bảng lương tính trên HTfast'!$B$13:$I$194,8,0)</f>
        <v>1.1299999999999999</v>
      </c>
      <c r="K180" s="173">
        <f>IFERROR(VLOOKUP(B180,'Luong vitri'!$C$6:$O$201,12,0),0)</f>
        <v>0.4</v>
      </c>
      <c r="L180" s="170">
        <f t="shared" si="67"/>
        <v>4808000</v>
      </c>
      <c r="M180" s="170">
        <f t="shared" si="68"/>
        <v>1442400</v>
      </c>
      <c r="N180" s="170">
        <f t="shared" si="69"/>
        <v>15025000</v>
      </c>
      <c r="O180" s="170">
        <f>IFERROR(VLOOKUP(B180,'Bảng lương tính trên HTfast'!$B$13:$O$194,12,0),0)</f>
        <v>0</v>
      </c>
      <c r="P180" s="170">
        <f>IFERROR(VLOOKUP(B180,'BS lương'!$B$2:$M$188,9,0),0)</f>
        <v>3434205</v>
      </c>
      <c r="Q180" s="170">
        <f>IFERROR(VLOOKUP(B180,'BS lương'!$B$2:$M$188,10,0),0)</f>
        <v>1024432</v>
      </c>
      <c r="R180" s="170">
        <f t="shared" si="70"/>
        <v>19483637</v>
      </c>
      <c r="S180" s="170">
        <f>IFERROR(VLOOKUP(B180,'Bảng lương tính trên HTfast'!$B$13:$U$194,16,0),0)</f>
        <v>1262100</v>
      </c>
      <c r="T180" s="170"/>
      <c r="U180" s="170"/>
      <c r="V180" s="170"/>
      <c r="W180" s="170">
        <f>IFERROR(VLOOKUP(B180,'Bảng lương tính trên HTfast'!$B$13:$U$190,20,0),0)</f>
        <v>12600000</v>
      </c>
      <c r="X180" s="170"/>
      <c r="Y180" s="170"/>
      <c r="Z180" s="170"/>
      <c r="AA180" s="170">
        <f t="shared" si="71"/>
        <v>4597105</v>
      </c>
      <c r="AB180" s="170"/>
      <c r="AC180" s="170"/>
      <c r="AD180" s="170"/>
      <c r="AE180" s="170"/>
      <c r="AF180" s="170"/>
      <c r="AG180" s="170"/>
      <c r="AH180" s="170"/>
      <c r="AI180" s="170"/>
      <c r="AJ180" s="170"/>
      <c r="AK180" s="170"/>
      <c r="AL180" s="170"/>
      <c r="AM180" s="170"/>
      <c r="AN180" s="170"/>
      <c r="AO180" s="170"/>
      <c r="AP180" s="170">
        <f t="shared" si="72"/>
        <v>229855</v>
      </c>
      <c r="AQ180" s="170"/>
      <c r="AR180" s="170">
        <f t="shared" si="73"/>
        <v>17991682</v>
      </c>
      <c r="AS180" s="170"/>
      <c r="AT180" s="170"/>
      <c r="AU180" s="170">
        <f t="shared" si="74"/>
        <v>149000</v>
      </c>
      <c r="AV180" s="170">
        <f>IFERROR(VLOOKUP(B180,'BS lương'!$B$2:$M$181,11,0),0)</f>
        <v>0</v>
      </c>
      <c r="AW180" s="170"/>
      <c r="AX180" s="170">
        <f t="shared" si="75"/>
        <v>17842682</v>
      </c>
    </row>
    <row r="181" spans="1:51" ht="12" customHeight="1" x14ac:dyDescent="0.3">
      <c r="A181" s="205">
        <f t="shared" si="66"/>
        <v>21</v>
      </c>
      <c r="B181" s="171" t="s">
        <v>164</v>
      </c>
      <c r="C181" s="171" t="s">
        <v>165</v>
      </c>
      <c r="D181" s="171"/>
      <c r="E181" s="172"/>
      <c r="F181" s="172">
        <v>1.85</v>
      </c>
      <c r="G181" s="209">
        <f>VLOOKUP(B181,'Bảng lương tính trên HTfast'!$B$13:$H$194,6,0)</f>
        <v>20</v>
      </c>
      <c r="H181" s="170">
        <f>VLOOKUP(B181,'Bảng lương tính trên HTfast'!$B$13:$H$194,7,0)</f>
        <v>16238000</v>
      </c>
      <c r="I181" s="173">
        <f>IFERROR(VLOOKUP(B181,'Luong vitri'!$C$6:$O$179,10,0),0)</f>
        <v>0</v>
      </c>
      <c r="J181" s="174">
        <f>VLOOKUP(B181,'Bảng lương tính trên HTfast'!$B$13:$I$194,8,0)</f>
        <v>1.1299999999999999</v>
      </c>
      <c r="K181" s="173">
        <f>IFERROR(VLOOKUP(B181,'Luong vitri'!$C$6:$O$201,12,0),0)</f>
        <v>0.45</v>
      </c>
      <c r="L181" s="170">
        <f t="shared" si="67"/>
        <v>7307100</v>
      </c>
      <c r="M181" s="170">
        <f t="shared" si="68"/>
        <v>2192130</v>
      </c>
      <c r="N181" s="170">
        <f t="shared" si="69"/>
        <v>20541070</v>
      </c>
      <c r="O181" s="170">
        <f>IFERROR(VLOOKUP(B181,'Bảng lương tính trên HTfast'!$B$13:$O$194,12,0),0)</f>
        <v>0</v>
      </c>
      <c r="P181" s="170">
        <f>IFERROR(VLOOKUP(B181,'BS lương'!$B$2:$M$188,9,0),0)</f>
        <v>2029750</v>
      </c>
      <c r="Q181" s="170">
        <f>IFERROR(VLOOKUP(B181,'BS lương'!$B$2:$M$188,10,0),0)</f>
        <v>1845228</v>
      </c>
      <c r="R181" s="170">
        <f t="shared" si="70"/>
        <v>24416048</v>
      </c>
      <c r="S181" s="170">
        <f>IFERROR(VLOOKUP(B181,'Bảng lương tính trên HTfast'!$B$13:$U$194,16,0),0)</f>
        <v>1704990</v>
      </c>
      <c r="T181" s="170"/>
      <c r="U181" s="170"/>
      <c r="V181" s="170"/>
      <c r="W181" s="170">
        <f>IFERROR(VLOOKUP(B181,'Bảng lương tính trên HTfast'!$B$13:$U$190,20,0),0)</f>
        <v>9000000</v>
      </c>
      <c r="X181" s="170"/>
      <c r="Y181" s="170"/>
      <c r="Z181" s="170"/>
      <c r="AA181" s="170">
        <f t="shared" si="71"/>
        <v>11865830</v>
      </c>
      <c r="AB181" s="170"/>
      <c r="AC181" s="170"/>
      <c r="AD181" s="170"/>
      <c r="AE181" s="170"/>
      <c r="AF181" s="170"/>
      <c r="AG181" s="170"/>
      <c r="AH181" s="170"/>
      <c r="AI181" s="170"/>
      <c r="AJ181" s="170"/>
      <c r="AK181" s="170"/>
      <c r="AL181" s="170"/>
      <c r="AM181" s="170"/>
      <c r="AN181" s="170"/>
      <c r="AO181" s="170"/>
      <c r="AP181" s="170">
        <f t="shared" si="72"/>
        <v>1029875</v>
      </c>
      <c r="AQ181" s="170"/>
      <c r="AR181" s="170">
        <f t="shared" si="73"/>
        <v>21681183</v>
      </c>
      <c r="AS181" s="170"/>
      <c r="AT181" s="170"/>
      <c r="AU181" s="170">
        <f t="shared" si="74"/>
        <v>149000</v>
      </c>
      <c r="AV181" s="170">
        <f>IFERROR(VLOOKUP(B181,'BS lương'!$B$2:$M$181,11,0),0)</f>
        <v>0</v>
      </c>
      <c r="AW181" s="170"/>
      <c r="AX181" s="170">
        <f t="shared" si="75"/>
        <v>21532183</v>
      </c>
    </row>
    <row r="182" spans="1:51" ht="12" customHeight="1" x14ac:dyDescent="0.3">
      <c r="A182" s="205">
        <f t="shared" si="66"/>
        <v>22</v>
      </c>
      <c r="B182" s="171" t="s">
        <v>220</v>
      </c>
      <c r="C182" s="171" t="s">
        <v>221</v>
      </c>
      <c r="D182" s="171" t="s">
        <v>217</v>
      </c>
      <c r="E182" s="172"/>
      <c r="F182" s="172">
        <v>1.85</v>
      </c>
      <c r="G182" s="209">
        <f>VLOOKUP(B182,'Bảng lương tính trên HTfast'!$B$13:$H$194,6,0)</f>
        <v>20</v>
      </c>
      <c r="H182" s="170">
        <f>VLOOKUP(B182,'Bảng lương tính trên HTfast'!$B$13:$H$194,7,0)</f>
        <v>9831000</v>
      </c>
      <c r="I182" s="173">
        <f>IFERROR(VLOOKUP(B182,'Luong vitri'!$C$6:$O$179,10,0),0)</f>
        <v>0</v>
      </c>
      <c r="J182" s="174">
        <f>VLOOKUP(B182,'Bảng lương tính trên HTfast'!$B$13:$I$194,8,0)</f>
        <v>1</v>
      </c>
      <c r="K182" s="173">
        <f>IFERROR(VLOOKUP(B182,'Luong vitri'!$C$6:$O$201,12,0),0)</f>
        <v>0.4</v>
      </c>
      <c r="L182" s="170">
        <f t="shared" si="67"/>
        <v>3932400</v>
      </c>
      <c r="M182" s="170">
        <f t="shared" si="68"/>
        <v>1179720</v>
      </c>
      <c r="N182" s="170">
        <f t="shared" si="69"/>
        <v>11010720</v>
      </c>
      <c r="O182" s="170">
        <f>IFERROR(VLOOKUP(B182,'Bảng lương tính trên HTfast'!$B$13:$O$194,12,0),0)</f>
        <v>0</v>
      </c>
      <c r="P182" s="170">
        <f>IFERROR(VLOOKUP(B182,'BS lương'!$B$2:$M$188,9,0),0)</f>
        <v>588235</v>
      </c>
      <c r="Q182" s="170">
        <f>IFERROR(VLOOKUP(B182,'BS lương'!$B$2:$M$188,10,0),0)</f>
        <v>0</v>
      </c>
      <c r="R182" s="170">
        <f t="shared" si="70"/>
        <v>11598955</v>
      </c>
      <c r="S182" s="170">
        <f>IFERROR(VLOOKUP(B182,'Bảng lương tính trên HTfast'!$B$13:$U$194,16,0),0)</f>
        <v>1032255</v>
      </c>
      <c r="T182" s="170"/>
      <c r="U182" s="170"/>
      <c r="V182" s="170"/>
      <c r="W182" s="170">
        <f>IFERROR(VLOOKUP(B182,'Bảng lương tính trên HTfast'!$B$13:$U$190,20,0),0)</f>
        <v>9000000</v>
      </c>
      <c r="X182" s="170"/>
      <c r="Y182" s="170"/>
      <c r="Z182" s="170"/>
      <c r="AA182" s="170">
        <f t="shared" si="71"/>
        <v>1566700</v>
      </c>
      <c r="AB182" s="170"/>
      <c r="AC182" s="170"/>
      <c r="AD182" s="170"/>
      <c r="AE182" s="170"/>
      <c r="AF182" s="170"/>
      <c r="AG182" s="170"/>
      <c r="AH182" s="170"/>
      <c r="AI182" s="170"/>
      <c r="AJ182" s="170"/>
      <c r="AK182" s="170"/>
      <c r="AL182" s="170"/>
      <c r="AM182" s="170"/>
      <c r="AN182" s="170"/>
      <c r="AO182" s="170"/>
      <c r="AP182" s="170">
        <f t="shared" si="72"/>
        <v>78335</v>
      </c>
      <c r="AQ182" s="170"/>
      <c r="AR182" s="170">
        <f t="shared" si="73"/>
        <v>10488365</v>
      </c>
      <c r="AS182" s="170"/>
      <c r="AT182" s="170"/>
      <c r="AU182" s="170">
        <f t="shared" si="74"/>
        <v>104884</v>
      </c>
      <c r="AV182" s="170">
        <f>IFERROR(VLOOKUP(B182,'BS lương'!$B$2:$M$181,11,0),0)</f>
        <v>0</v>
      </c>
      <c r="AW182" s="170"/>
      <c r="AX182" s="170">
        <f t="shared" si="75"/>
        <v>10383481</v>
      </c>
    </row>
    <row r="183" spans="1:51" ht="12" customHeight="1" x14ac:dyDescent="0.3">
      <c r="A183" s="205">
        <f t="shared" si="66"/>
        <v>23</v>
      </c>
      <c r="B183" s="171" t="s">
        <v>322</v>
      </c>
      <c r="C183" s="171" t="s">
        <v>323</v>
      </c>
      <c r="D183" s="171" t="s">
        <v>66</v>
      </c>
      <c r="E183" s="172"/>
      <c r="F183" s="172">
        <v>1.85</v>
      </c>
      <c r="G183" s="209">
        <f>VLOOKUP(B183,'Bảng lương tính trên HTfast'!$B$13:$H$194,6,0)</f>
        <v>20</v>
      </c>
      <c r="H183" s="170">
        <f>VLOOKUP(B183,'Bảng lương tính trên HTfast'!$B$13:$H$194,7,0)</f>
        <v>7323000</v>
      </c>
      <c r="I183" s="173">
        <f>IFERROR(VLOOKUP(B183,'Luong vitri'!$C$6:$O$179,10,0),0)</f>
        <v>0</v>
      </c>
      <c r="J183" s="174">
        <f>VLOOKUP(B183,'Bảng lương tính trên HTfast'!$B$13:$I$194,8,0)</f>
        <v>1</v>
      </c>
      <c r="K183" s="173">
        <f>IFERROR(VLOOKUP(B183,'Luong vitri'!$C$6:$O$201,12,0),0)</f>
        <v>0.45</v>
      </c>
      <c r="L183" s="170">
        <f t="shared" si="67"/>
        <v>3295350</v>
      </c>
      <c r="M183" s="170">
        <f t="shared" si="68"/>
        <v>988605</v>
      </c>
      <c r="N183" s="170">
        <f t="shared" si="69"/>
        <v>8311605</v>
      </c>
      <c r="O183" s="170">
        <f>IFERROR(VLOOKUP(B183,'Bảng lương tính trên HTfast'!$B$13:$O$194,12,0),0)</f>
        <v>0</v>
      </c>
      <c r="P183" s="170">
        <f>IFERROR(VLOOKUP(B183,'BS lương'!$B$2:$M$188,9,0),0)</f>
        <v>370370</v>
      </c>
      <c r="Q183" s="170">
        <f>IFERROR(VLOOKUP(B183,'BS lương'!$B$2:$M$188,10,0),0)</f>
        <v>0</v>
      </c>
      <c r="R183" s="170">
        <f t="shared" si="70"/>
        <v>8681975</v>
      </c>
      <c r="S183" s="170">
        <f>IFERROR(VLOOKUP(B183,'Bảng lương tính trên HTfast'!$B$13:$U$194,16,0),0)</f>
        <v>768915</v>
      </c>
      <c r="T183" s="170"/>
      <c r="U183" s="170"/>
      <c r="V183" s="170"/>
      <c r="W183" s="170">
        <f>IFERROR(VLOOKUP(B183,'Bảng lương tính trên HTfast'!$B$13:$U$190,20,0),0)</f>
        <v>12600000</v>
      </c>
      <c r="X183" s="170"/>
      <c r="Y183" s="170"/>
      <c r="Z183" s="170"/>
      <c r="AA183" s="170">
        <f t="shared" si="71"/>
        <v>0</v>
      </c>
      <c r="AB183" s="170"/>
      <c r="AC183" s="170"/>
      <c r="AD183" s="170"/>
      <c r="AE183" s="170"/>
      <c r="AF183" s="170"/>
      <c r="AG183" s="170"/>
      <c r="AH183" s="170"/>
      <c r="AI183" s="170"/>
      <c r="AJ183" s="170"/>
      <c r="AK183" s="170"/>
      <c r="AL183" s="170"/>
      <c r="AM183" s="170"/>
      <c r="AN183" s="170"/>
      <c r="AO183" s="170"/>
      <c r="AP183" s="170">
        <f t="shared" si="72"/>
        <v>0</v>
      </c>
      <c r="AQ183" s="170"/>
      <c r="AR183" s="170">
        <f t="shared" si="73"/>
        <v>7913060</v>
      </c>
      <c r="AS183" s="170"/>
      <c r="AT183" s="170"/>
      <c r="AU183" s="170">
        <f t="shared" si="74"/>
        <v>79131</v>
      </c>
      <c r="AV183" s="170">
        <f>IFERROR(VLOOKUP(B183,'BS lương'!$B$2:$M$181,11,0),0)</f>
        <v>0</v>
      </c>
      <c r="AW183" s="170"/>
      <c r="AX183" s="170">
        <f t="shared" si="75"/>
        <v>7833929</v>
      </c>
    </row>
    <row r="184" spans="1:51" ht="12" customHeight="1" x14ac:dyDescent="0.3">
      <c r="A184" s="205">
        <f t="shared" si="66"/>
        <v>24</v>
      </c>
      <c r="B184" s="171" t="s">
        <v>222</v>
      </c>
      <c r="C184" s="171" t="s">
        <v>223</v>
      </c>
      <c r="D184" s="171" t="s">
        <v>66</v>
      </c>
      <c r="E184" s="172"/>
      <c r="F184" s="172">
        <v>0</v>
      </c>
      <c r="G184" s="209">
        <f>VLOOKUP(B184,'Bảng lương tính trên HTfast'!$B$13:$H$194,6,0)</f>
        <v>20</v>
      </c>
      <c r="H184" s="170">
        <f>VLOOKUP(B184,'Bảng lương tính trên HTfast'!$B$13:$H$194,7,0)</f>
        <v>7323000</v>
      </c>
      <c r="I184" s="173">
        <f>IFERROR(VLOOKUP(B184,'Luong vitri'!$C$6:$O$179,10,0),0)</f>
        <v>0.1</v>
      </c>
      <c r="J184" s="174">
        <f>VLOOKUP(B184,'Bảng lương tính trên HTfast'!$B$13:$I$194,8,0)</f>
        <v>1</v>
      </c>
      <c r="K184" s="173">
        <f>IFERROR(VLOOKUP(B184,'Luong vitri'!$C$6:$O$201,12,0),0)</f>
        <v>0.45</v>
      </c>
      <c r="L184" s="170">
        <f t="shared" si="67"/>
        <v>3624885</v>
      </c>
      <c r="M184" s="170">
        <f t="shared" si="68"/>
        <v>1087466</v>
      </c>
      <c r="N184" s="170">
        <f t="shared" si="69"/>
        <v>9142766</v>
      </c>
      <c r="O184" s="170">
        <f>IFERROR(VLOOKUP(B184,'Bảng lương tính trên HTfast'!$B$13:$O$194,12,0),0)</f>
        <v>730000</v>
      </c>
      <c r="P184" s="170">
        <f>IFERROR(VLOOKUP(B184,'BS lương'!$B$2:$M$188,9,0),0)</f>
        <v>588235</v>
      </c>
      <c r="Q184" s="170">
        <f>IFERROR(VLOOKUP(B184,'BS lương'!$B$2:$M$188,10,0),0)</f>
        <v>0</v>
      </c>
      <c r="R184" s="170">
        <f t="shared" si="70"/>
        <v>10461001</v>
      </c>
      <c r="S184" s="170">
        <f>IFERROR(VLOOKUP(B184,'Bảng lương tính trên HTfast'!$B$13:$U$194,16,0),0)</f>
        <v>768915</v>
      </c>
      <c r="T184" s="170"/>
      <c r="U184" s="170"/>
      <c r="V184" s="170"/>
      <c r="W184" s="170">
        <f>IFERROR(VLOOKUP(B184,'Bảng lương tính trên HTfast'!$B$13:$U$190,20,0),0)</f>
        <v>9000000</v>
      </c>
      <c r="X184" s="170"/>
      <c r="Y184" s="170"/>
      <c r="Z184" s="170"/>
      <c r="AA184" s="170">
        <f t="shared" si="71"/>
        <v>0</v>
      </c>
      <c r="AB184" s="170"/>
      <c r="AC184" s="170"/>
      <c r="AD184" s="170"/>
      <c r="AE184" s="170"/>
      <c r="AF184" s="170"/>
      <c r="AG184" s="170"/>
      <c r="AH184" s="170"/>
      <c r="AI184" s="170"/>
      <c r="AJ184" s="170"/>
      <c r="AK184" s="170"/>
      <c r="AL184" s="170"/>
      <c r="AM184" s="170"/>
      <c r="AN184" s="170"/>
      <c r="AO184" s="170"/>
      <c r="AP184" s="170">
        <f t="shared" si="72"/>
        <v>0</v>
      </c>
      <c r="AQ184" s="170"/>
      <c r="AR184" s="170">
        <f t="shared" si="73"/>
        <v>9692086</v>
      </c>
      <c r="AS184" s="170"/>
      <c r="AT184" s="170"/>
      <c r="AU184" s="170">
        <f t="shared" si="74"/>
        <v>96921</v>
      </c>
      <c r="AV184" s="170">
        <f>IFERROR(VLOOKUP(B184,'BS lương'!$B$2:$M$181,11,0),0)</f>
        <v>0</v>
      </c>
      <c r="AW184" s="170"/>
      <c r="AX184" s="170">
        <f t="shared" si="75"/>
        <v>9595165</v>
      </c>
    </row>
    <row r="185" spans="1:51" ht="12" customHeight="1" x14ac:dyDescent="0.3">
      <c r="A185" s="205">
        <f t="shared" si="66"/>
        <v>25</v>
      </c>
      <c r="B185" s="171" t="s">
        <v>295</v>
      </c>
      <c r="C185" s="171" t="s">
        <v>296</v>
      </c>
      <c r="D185" s="171" t="s">
        <v>66</v>
      </c>
      <c r="E185" s="172"/>
      <c r="F185" s="172">
        <v>1.85</v>
      </c>
      <c r="G185" s="209">
        <f>VLOOKUP(B185,'Bảng lương tính trên HTfast'!$B$13:$H$194,6,0)</f>
        <v>20</v>
      </c>
      <c r="H185" s="170">
        <f>VLOOKUP(B185,'Bảng lương tính trên HTfast'!$B$13:$H$194,7,0)</f>
        <v>7363000</v>
      </c>
      <c r="I185" s="173">
        <f>IFERROR(VLOOKUP(B185,'Luong vitri'!$C$6:$O$179,10,0),0)</f>
        <v>0</v>
      </c>
      <c r="J185" s="174">
        <f>VLOOKUP(B185,'Bảng lương tính trên HTfast'!$B$13:$I$194,8,0)</f>
        <v>1</v>
      </c>
      <c r="K185" s="173">
        <f>IFERROR(VLOOKUP(B185,'Luong vitri'!$C$6:$O$201,12,0),0)</f>
        <v>0.35</v>
      </c>
      <c r="L185" s="170">
        <f t="shared" si="67"/>
        <v>2577050</v>
      </c>
      <c r="M185" s="170">
        <f t="shared" si="68"/>
        <v>773115</v>
      </c>
      <c r="N185" s="170">
        <f t="shared" si="69"/>
        <v>8136115</v>
      </c>
      <c r="O185" s="170">
        <f>IFERROR(VLOOKUP(B185,'Bảng lương tính trên HTfast'!$B$13:$O$194,12,0),0)</f>
        <v>0</v>
      </c>
      <c r="P185" s="170">
        <f>IFERROR(VLOOKUP(B185,'BS lương'!$B$2:$M$188,9,0),0)</f>
        <v>370370</v>
      </c>
      <c r="Q185" s="170">
        <f>IFERROR(VLOOKUP(B185,'BS lương'!$B$2:$M$188,10,0),0)</f>
        <v>0</v>
      </c>
      <c r="R185" s="170">
        <f t="shared" si="70"/>
        <v>8506485</v>
      </c>
      <c r="S185" s="170">
        <f>IFERROR(VLOOKUP(B185,'Bảng lương tính trên HTfast'!$B$13:$U$194,16,0),0)</f>
        <v>773115</v>
      </c>
      <c r="T185" s="170"/>
      <c r="U185" s="170"/>
      <c r="V185" s="170"/>
      <c r="W185" s="170">
        <f>IFERROR(VLOOKUP(B185,'Bảng lương tính trên HTfast'!$B$13:$U$190,20,0),0)</f>
        <v>9000000</v>
      </c>
      <c r="X185" s="170"/>
      <c r="Y185" s="170"/>
      <c r="Z185" s="170"/>
      <c r="AA185" s="170">
        <f t="shared" si="71"/>
        <v>0</v>
      </c>
      <c r="AB185" s="170"/>
      <c r="AC185" s="170"/>
      <c r="AD185" s="170"/>
      <c r="AE185" s="170"/>
      <c r="AF185" s="170"/>
      <c r="AG185" s="170"/>
      <c r="AH185" s="170"/>
      <c r="AI185" s="170"/>
      <c r="AJ185" s="170"/>
      <c r="AK185" s="170"/>
      <c r="AL185" s="170"/>
      <c r="AM185" s="170"/>
      <c r="AN185" s="170"/>
      <c r="AO185" s="170"/>
      <c r="AP185" s="170">
        <f t="shared" si="72"/>
        <v>0</v>
      </c>
      <c r="AQ185" s="170"/>
      <c r="AR185" s="170">
        <f t="shared" si="73"/>
        <v>7733370</v>
      </c>
      <c r="AS185" s="170"/>
      <c r="AT185" s="170"/>
      <c r="AU185" s="170">
        <f t="shared" si="74"/>
        <v>77334</v>
      </c>
      <c r="AV185" s="170">
        <f>IFERROR(VLOOKUP(B185,'BS lương'!$B$2:$M$181,11,0),0)</f>
        <v>0</v>
      </c>
      <c r="AW185" s="170"/>
      <c r="AX185" s="170">
        <f t="shared" si="75"/>
        <v>7656036</v>
      </c>
    </row>
    <row r="186" spans="1:51" ht="12" customHeight="1" x14ac:dyDescent="0.3">
      <c r="A186" s="205">
        <f t="shared" si="66"/>
        <v>26</v>
      </c>
      <c r="B186" s="171" t="s">
        <v>268</v>
      </c>
      <c r="C186" s="171" t="s">
        <v>269</v>
      </c>
      <c r="D186" s="171" t="s">
        <v>66</v>
      </c>
      <c r="E186" s="172"/>
      <c r="F186" s="172">
        <v>1.85</v>
      </c>
      <c r="G186" s="209">
        <f>VLOOKUP(B186,'Bảng lương tính trên HTfast'!$B$13:$H$194,6,0)</f>
        <v>20</v>
      </c>
      <c r="H186" s="170">
        <f>VLOOKUP(B186,'Bảng lương tính trên HTfast'!$B$13:$H$194,7,0)</f>
        <v>7323000</v>
      </c>
      <c r="I186" s="173">
        <f>IFERROR(VLOOKUP(B186,'Luong vitri'!$C$6:$O$179,10,0),0)</f>
        <v>0</v>
      </c>
      <c r="J186" s="174">
        <f>VLOOKUP(B186,'Bảng lương tính trên HTfast'!$B$13:$I$194,8,0)</f>
        <v>1</v>
      </c>
      <c r="K186" s="173">
        <f>IFERROR(VLOOKUP(B186,'Luong vitri'!$C$6:$O$201,12,0),0)</f>
        <v>0.45</v>
      </c>
      <c r="L186" s="170">
        <f t="shared" si="67"/>
        <v>3295350</v>
      </c>
      <c r="M186" s="170">
        <f t="shared" si="68"/>
        <v>988605</v>
      </c>
      <c r="N186" s="170">
        <f t="shared" si="69"/>
        <v>8311605</v>
      </c>
      <c r="O186" s="170">
        <f>IFERROR(VLOOKUP(B186,'Bảng lương tính trên HTfast'!$B$13:$O$194,12,0),0)</f>
        <v>0</v>
      </c>
      <c r="P186" s="170">
        <f>IFERROR(VLOOKUP(B186,'BS lương'!$B$2:$M$188,9,0),0)</f>
        <v>555556</v>
      </c>
      <c r="Q186" s="170">
        <f>IFERROR(VLOOKUP(B186,'BS lương'!$B$2:$M$188,10,0),0)</f>
        <v>0</v>
      </c>
      <c r="R186" s="170">
        <f t="shared" si="70"/>
        <v>8867161</v>
      </c>
      <c r="S186" s="170">
        <f>IFERROR(VLOOKUP(B186,'Bảng lương tính trên HTfast'!$B$13:$U$194,16,0),0)</f>
        <v>768915</v>
      </c>
      <c r="T186" s="170"/>
      <c r="U186" s="170"/>
      <c r="V186" s="170"/>
      <c r="W186" s="170">
        <f>IFERROR(VLOOKUP(B186,'Bảng lương tính trên HTfast'!$B$13:$U$190,20,0),0)</f>
        <v>9000000</v>
      </c>
      <c r="X186" s="170"/>
      <c r="Y186" s="170"/>
      <c r="Z186" s="170"/>
      <c r="AA186" s="170">
        <f t="shared" si="71"/>
        <v>0</v>
      </c>
      <c r="AB186" s="170"/>
      <c r="AC186" s="170"/>
      <c r="AD186" s="170"/>
      <c r="AE186" s="170"/>
      <c r="AF186" s="170"/>
      <c r="AG186" s="170"/>
      <c r="AH186" s="170"/>
      <c r="AI186" s="170"/>
      <c r="AJ186" s="170"/>
      <c r="AK186" s="170"/>
      <c r="AL186" s="170"/>
      <c r="AM186" s="170"/>
      <c r="AN186" s="170"/>
      <c r="AO186" s="170"/>
      <c r="AP186" s="170">
        <f t="shared" si="72"/>
        <v>0</v>
      </c>
      <c r="AQ186" s="170"/>
      <c r="AR186" s="170">
        <f t="shared" si="73"/>
        <v>8098246</v>
      </c>
      <c r="AS186" s="170"/>
      <c r="AT186" s="170"/>
      <c r="AU186" s="170">
        <f t="shared" si="74"/>
        <v>80982</v>
      </c>
      <c r="AV186" s="170">
        <f>IFERROR(VLOOKUP(B186,'BS lương'!$B$2:$M$181,11,0),0)</f>
        <v>0</v>
      </c>
      <c r="AW186" s="170"/>
      <c r="AX186" s="170">
        <f t="shared" si="75"/>
        <v>8017264</v>
      </c>
    </row>
    <row r="187" spans="1:51" ht="12" customHeight="1" x14ac:dyDescent="0.3">
      <c r="A187" s="205">
        <f t="shared" si="66"/>
        <v>27</v>
      </c>
      <c r="B187" s="171" t="s">
        <v>153</v>
      </c>
      <c r="C187" s="171" t="s">
        <v>154</v>
      </c>
      <c r="D187" s="171" t="s">
        <v>66</v>
      </c>
      <c r="E187" s="172"/>
      <c r="F187" s="172">
        <v>1.85</v>
      </c>
      <c r="G187" s="209">
        <f>VLOOKUP(B187,'Bảng lương tính trên HTfast'!$B$13:$H$194,6,0)</f>
        <v>20</v>
      </c>
      <c r="H187" s="170">
        <f>VLOOKUP(B187,'Bảng lương tính trên HTfast'!$B$13:$H$194,7,0)</f>
        <v>8318000</v>
      </c>
      <c r="I187" s="173">
        <f>IFERROR(VLOOKUP(B187,'Luong vitri'!$C$6:$O$179,10,0),0)</f>
        <v>0</v>
      </c>
      <c r="J187" s="174">
        <f>VLOOKUP(B187,'Bảng lương tính trên HTfast'!$B$13:$I$194,8,0)</f>
        <v>1.1299999999999999</v>
      </c>
      <c r="K187" s="173">
        <f>IFERROR(VLOOKUP(B187,'Luong vitri'!$C$6:$O$201,12,0),0)</f>
        <v>0.35</v>
      </c>
      <c r="L187" s="170">
        <f t="shared" si="67"/>
        <v>2911300</v>
      </c>
      <c r="M187" s="170">
        <f t="shared" si="68"/>
        <v>873390</v>
      </c>
      <c r="N187" s="170">
        <f t="shared" si="69"/>
        <v>10272730</v>
      </c>
      <c r="O187" s="170">
        <f>IFERROR(VLOOKUP(B187,'Bảng lương tính trên HTfast'!$B$13:$O$194,12,0),0)</f>
        <v>0</v>
      </c>
      <c r="P187" s="170">
        <f>IFERROR(VLOOKUP(B187,'BS lương'!$B$2:$M$188,9,0),0)</f>
        <v>3701409</v>
      </c>
      <c r="Q187" s="170">
        <f>IFERROR(VLOOKUP(B187,'BS lương'!$B$2:$M$188,10,0),0)</f>
        <v>1134272</v>
      </c>
      <c r="R187" s="170">
        <f t="shared" si="70"/>
        <v>15108411</v>
      </c>
      <c r="S187" s="170">
        <f>IFERROR(VLOOKUP(B187,'Bảng lương tính trên HTfast'!$B$13:$U$194,16,0),0)</f>
        <v>873390</v>
      </c>
      <c r="T187" s="170"/>
      <c r="U187" s="170"/>
      <c r="V187" s="170"/>
      <c r="W187" s="170">
        <f>IFERROR(VLOOKUP(B187,'Bảng lương tính trên HTfast'!$B$13:$U$190,20,0),0)</f>
        <v>9000000</v>
      </c>
      <c r="X187" s="170"/>
      <c r="Y187" s="170"/>
      <c r="Z187" s="170"/>
      <c r="AA187" s="170">
        <f t="shared" si="71"/>
        <v>4100749</v>
      </c>
      <c r="AB187" s="170"/>
      <c r="AC187" s="170"/>
      <c r="AD187" s="170"/>
      <c r="AE187" s="170"/>
      <c r="AF187" s="170"/>
      <c r="AG187" s="170"/>
      <c r="AH187" s="170"/>
      <c r="AI187" s="170"/>
      <c r="AJ187" s="170"/>
      <c r="AK187" s="170"/>
      <c r="AL187" s="170"/>
      <c r="AM187" s="170"/>
      <c r="AN187" s="170"/>
      <c r="AO187" s="170"/>
      <c r="AP187" s="170">
        <f t="shared" si="72"/>
        <v>205037</v>
      </c>
      <c r="AQ187" s="170"/>
      <c r="AR187" s="170">
        <f t="shared" si="73"/>
        <v>14029984</v>
      </c>
      <c r="AS187" s="170"/>
      <c r="AT187" s="170"/>
      <c r="AU187" s="170">
        <f t="shared" si="74"/>
        <v>140300</v>
      </c>
      <c r="AV187" s="170">
        <f>IFERROR(VLOOKUP(B187,'BS lương'!$B$2:$M$181,11,0),0)</f>
        <v>0</v>
      </c>
      <c r="AW187" s="170"/>
      <c r="AX187" s="170">
        <f t="shared" si="75"/>
        <v>13889684</v>
      </c>
    </row>
    <row r="188" spans="1:51" ht="12" customHeight="1" x14ac:dyDescent="0.3">
      <c r="A188" s="205">
        <f t="shared" si="66"/>
        <v>28</v>
      </c>
      <c r="B188" s="171" t="s">
        <v>397</v>
      </c>
      <c r="C188" s="171" t="s">
        <v>398</v>
      </c>
      <c r="D188" s="171" t="s">
        <v>66</v>
      </c>
      <c r="E188" s="172"/>
      <c r="F188" s="172">
        <v>2.29</v>
      </c>
      <c r="G188" s="209">
        <f>VLOOKUP(B188,'Bảng lương tính trên HTfast'!$B$13:$H$194,6,0)</f>
        <v>0</v>
      </c>
      <c r="H188" s="170">
        <f>VLOOKUP(B188,'Bảng lương tính trên HTfast'!$B$13:$H$194,7,0)</f>
        <v>0</v>
      </c>
      <c r="I188" s="173">
        <f>IFERROR(VLOOKUP(B188,'Luong vitri'!$C$6:$O$179,10,0),0)</f>
        <v>0</v>
      </c>
      <c r="J188" s="174">
        <f>VLOOKUP(B188,'Bảng lương tính trên HTfast'!$B$13:$I$194,8,0)</f>
        <v>1.1299999999999999</v>
      </c>
      <c r="K188" s="173">
        <f>IFERROR(VLOOKUP(B188,'Luong vitri'!$C$6:$O$201,12,0),0)</f>
        <v>0.35</v>
      </c>
      <c r="L188" s="170">
        <f t="shared" si="67"/>
        <v>0</v>
      </c>
      <c r="M188" s="170">
        <f t="shared" si="68"/>
        <v>0</v>
      </c>
      <c r="N188" s="170">
        <f t="shared" si="69"/>
        <v>0</v>
      </c>
      <c r="O188" s="170">
        <f>IFERROR(VLOOKUP(B188,'Bảng lương tính trên HTfast'!$B$13:$O$194,12,0),0)</f>
        <v>0</v>
      </c>
      <c r="P188" s="170">
        <f>IFERROR(VLOOKUP(B188,'BS lương'!$B$2:$M$188,9,0),0)</f>
        <v>0</v>
      </c>
      <c r="Q188" s="170">
        <f>IFERROR(VLOOKUP(B188,'BS lương'!$B$2:$M$188,10,0),0)</f>
        <v>0</v>
      </c>
      <c r="R188" s="170">
        <f t="shared" si="70"/>
        <v>0</v>
      </c>
      <c r="S188" s="170">
        <f>IFERROR(VLOOKUP(B188,'Bảng lương tính trên HTfast'!$B$13:$U$194,16,0),0)</f>
        <v>0</v>
      </c>
      <c r="T188" s="170"/>
      <c r="U188" s="170"/>
      <c r="V188" s="170"/>
      <c r="W188" s="170">
        <f>IFERROR(VLOOKUP(B188,'Bảng lương tính trên HTfast'!$B$13:$U$190,20,0),0)</f>
        <v>16200000</v>
      </c>
      <c r="X188" s="170"/>
      <c r="Y188" s="170"/>
      <c r="Z188" s="170"/>
      <c r="AA188" s="170">
        <f t="shared" si="71"/>
        <v>0</v>
      </c>
      <c r="AB188" s="170"/>
      <c r="AC188" s="170"/>
      <c r="AD188" s="170"/>
      <c r="AE188" s="170"/>
      <c r="AF188" s="170"/>
      <c r="AG188" s="170"/>
      <c r="AH188" s="170"/>
      <c r="AI188" s="170"/>
      <c r="AJ188" s="170"/>
      <c r="AK188" s="170"/>
      <c r="AL188" s="170"/>
      <c r="AM188" s="170"/>
      <c r="AN188" s="170"/>
      <c r="AO188" s="170"/>
      <c r="AP188" s="170">
        <f t="shared" si="72"/>
        <v>0</v>
      </c>
      <c r="AQ188" s="170"/>
      <c r="AR188" s="170">
        <f t="shared" si="73"/>
        <v>0</v>
      </c>
      <c r="AS188" s="170"/>
      <c r="AT188" s="170"/>
      <c r="AU188" s="170">
        <f t="shared" si="74"/>
        <v>0</v>
      </c>
      <c r="AV188" s="170">
        <f>IFERROR(VLOOKUP(B188,'BS lương'!$B$2:$M$181,11,0),0)</f>
        <v>0</v>
      </c>
      <c r="AW188" s="170"/>
      <c r="AX188" s="170">
        <f t="shared" si="75"/>
        <v>0</v>
      </c>
    </row>
    <row r="189" spans="1:51" ht="12" customHeight="1" x14ac:dyDescent="0.3">
      <c r="A189" s="205">
        <v>0</v>
      </c>
      <c r="B189" s="171" t="s">
        <v>40</v>
      </c>
      <c r="C189" s="171" t="s">
        <v>176</v>
      </c>
      <c r="D189" s="171"/>
      <c r="E189" s="172"/>
      <c r="F189" s="172">
        <v>2.41</v>
      </c>
      <c r="G189" s="209"/>
      <c r="H189" s="170"/>
      <c r="I189" s="173"/>
      <c r="J189" s="174"/>
      <c r="K189" s="173"/>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row>
    <row r="190" spans="1:51" ht="12" customHeight="1" x14ac:dyDescent="0.3">
      <c r="A190" s="205">
        <f>A189+1</f>
        <v>1</v>
      </c>
      <c r="B190" s="171" t="s">
        <v>363</v>
      </c>
      <c r="C190" s="171" t="s">
        <v>364</v>
      </c>
      <c r="D190" s="171" t="s">
        <v>238</v>
      </c>
      <c r="E190" s="172"/>
      <c r="F190" s="172">
        <v>1.85</v>
      </c>
      <c r="G190" s="209">
        <f>VLOOKUP(B190,'Bảng lương tính trên HTfast'!$B$13:$H$194,6,0)</f>
        <v>20</v>
      </c>
      <c r="H190" s="170">
        <f>VLOOKUP(B190,'Bảng lương tính trên HTfast'!$B$13:$H$194,7,0)</f>
        <v>7323000</v>
      </c>
      <c r="I190" s="173">
        <f>IFERROR(VLOOKUP(B190,'Luong vitri'!$C$6:$O$179,10,0),0)</f>
        <v>0</v>
      </c>
      <c r="J190" s="174">
        <f>VLOOKUP(B190,'Bảng lương tính trên HTfast'!$B$13:$I$194,8,0)</f>
        <v>1</v>
      </c>
      <c r="K190" s="173">
        <f>IFERROR(VLOOKUP(B190,'Luong vitri'!$C$6:$O$201,12,0),0)</f>
        <v>0.45</v>
      </c>
      <c r="L190" s="170">
        <f>ROUND((H190+H190*I190)*K190,0)</f>
        <v>3295350</v>
      </c>
      <c r="M190" s="170">
        <f>ROUND(L190*0.3,0)</f>
        <v>988605</v>
      </c>
      <c r="N190" s="170">
        <f>ROUND((H190+H190*I190)*J190+M190,0)</f>
        <v>8311605</v>
      </c>
      <c r="O190" s="170">
        <f>IFERROR(VLOOKUP(B190,'Bảng lương tính trên HTfast'!$B$13:$O$194,12,0),0)</f>
        <v>730000</v>
      </c>
      <c r="P190" s="170">
        <f>IFERROR(VLOOKUP(B190,'BS lương'!$B$2:$M$188,9,0),0)</f>
        <v>0</v>
      </c>
      <c r="Q190" s="170">
        <f>IFERROR(VLOOKUP(B190,'BS lương'!$B$2:$M$188,10,0),0)</f>
        <v>0</v>
      </c>
      <c r="R190" s="170">
        <f>N190+O190+P190+Q190</f>
        <v>9041605</v>
      </c>
      <c r="S190" s="170">
        <f>IFERROR(VLOOKUP(B190,'Bảng lương tính trên HTfast'!$B$13:$U$194,16,0),0)</f>
        <v>768915</v>
      </c>
      <c r="T190" s="170"/>
      <c r="U190" s="170"/>
      <c r="V190" s="170"/>
      <c r="W190" s="170">
        <f>IFERROR(VLOOKUP(B190,'Bảng lương tính trên HTfast'!$B$13:$U$190,20,0),0)</f>
        <v>9000000</v>
      </c>
      <c r="X190" s="170"/>
      <c r="Y190" s="170"/>
      <c r="Z190" s="170"/>
      <c r="AA190" s="170">
        <f>IF((R190-S190-W190-O190-Q190)&gt;0,(R190-S190-W190-O190-Q190),0)</f>
        <v>0</v>
      </c>
      <c r="AB190" s="170"/>
      <c r="AC190" s="170"/>
      <c r="AD190" s="170"/>
      <c r="AE190" s="170"/>
      <c r="AF190" s="170"/>
      <c r="AG190" s="170"/>
      <c r="AH190" s="170"/>
      <c r="AI190" s="170"/>
      <c r="AJ190" s="170"/>
      <c r="AK190" s="170"/>
      <c r="AL190" s="170"/>
      <c r="AM190" s="170"/>
      <c r="AN190" s="170"/>
      <c r="AO190" s="170"/>
      <c r="AP190" s="170">
        <f>ROUND(IF(AA190&lt;5000000,AA190*0.05,IF(AA190&lt;10000000,250000+(AA190-5000000)*0.1,IF(AA190&lt;18000000,750000+(AA190-10000000)*0.15,IF(AA190&lt;32000000,1950000+(AA190-18000000)*0.2,IF(AA190&lt;52000000,4750000+(AA190-32000000)*0.25,IF(AA190&lt;80000000,9750000+(AA190-52000000)*0.3,IF(AA190&gt;80000000,18150000+(AA190-80000000)*0.35,0))))))),0)</f>
        <v>0</v>
      </c>
      <c r="AQ190" s="170"/>
      <c r="AR190" s="170">
        <f>R190-S190-AP190</f>
        <v>8272690</v>
      </c>
      <c r="AS190" s="170"/>
      <c r="AT190" s="170"/>
      <c r="AU190" s="170">
        <f>IF(G190&gt;0,IF(AR190*1%&gt;149000,149000,ROUND(AR190*1%,0)),0)</f>
        <v>82727</v>
      </c>
      <c r="AV190" s="170">
        <f>IFERROR(VLOOKUP(B190,'BS lương'!$B$2:$M$181,11,0),0)</f>
        <v>0</v>
      </c>
      <c r="AW190" s="170"/>
      <c r="AX190" s="170">
        <f>AR190-AU190-AV190-AW190</f>
        <v>8189963</v>
      </c>
    </row>
    <row r="191" spans="1:51" ht="12" customHeight="1" x14ac:dyDescent="0.3">
      <c r="A191" s="205">
        <f>A190+1</f>
        <v>2</v>
      </c>
      <c r="B191" s="171" t="s">
        <v>113</v>
      </c>
      <c r="C191" s="171" t="s">
        <v>114</v>
      </c>
      <c r="D191" s="171" t="s">
        <v>115</v>
      </c>
      <c r="E191" s="172"/>
      <c r="F191" s="172">
        <v>2.41</v>
      </c>
      <c r="G191" s="209">
        <f>VLOOKUP(B191,'Bảng lương tính trên HTfast'!$B$13:$H$194,6,0)</f>
        <v>20</v>
      </c>
      <c r="H191" s="170">
        <f>VLOOKUP(B191,'Bảng lương tính trên HTfast'!$B$13:$H$194,7,0)</f>
        <v>17631000</v>
      </c>
      <c r="I191" s="173">
        <f>IFERROR(VLOOKUP(B191,'Luong vitri'!$C$6:$O$179,10,0),0)</f>
        <v>0</v>
      </c>
      <c r="J191" s="174">
        <f>VLOOKUP(B191,'Bảng lương tính trên HTfast'!$B$13:$I$194,8,0)</f>
        <v>1.1299999999999999</v>
      </c>
      <c r="K191" s="173">
        <f>IFERROR(VLOOKUP(B191,'Luong vitri'!$C$6:$O$201,12,0),0)</f>
        <v>0.45</v>
      </c>
      <c r="L191" s="170">
        <f>ROUND((H191+H191*I191)*K191,0)</f>
        <v>7933950</v>
      </c>
      <c r="M191" s="170">
        <f>ROUND(L191*0.3,0)</f>
        <v>2380185</v>
      </c>
      <c r="N191" s="170">
        <f>ROUND((H191+H191*I191)*J191+M191,0)</f>
        <v>22303215</v>
      </c>
      <c r="O191" s="170">
        <f>IFERROR(VLOOKUP(B191,'Bảng lương tính trên HTfast'!$B$13:$O$194,12,0),0)</f>
        <v>0</v>
      </c>
      <c r="P191" s="170">
        <f>IFERROR(VLOOKUP(B191,'BS lương'!$B$2:$M$188,9,0),0)</f>
        <v>9031389</v>
      </c>
      <c r="Q191" s="170">
        <f>IFERROR(VLOOKUP(B191,'BS lương'!$B$2:$M$188,10,0),0)</f>
        <v>1548938</v>
      </c>
      <c r="R191" s="170">
        <f>N191+O191+P191+Q191</f>
        <v>32883542</v>
      </c>
      <c r="S191" s="170">
        <f>IFERROR(VLOOKUP(B191,'Bảng lương tính trên HTfast'!$B$13:$U$194,16,0),0)</f>
        <v>1851255</v>
      </c>
      <c r="T191" s="170"/>
      <c r="U191" s="170"/>
      <c r="V191" s="170"/>
      <c r="W191" s="170">
        <f>IFERROR(VLOOKUP(B191,'Bảng lương tính trên HTfast'!$B$13:$U$190,20,0),0)</f>
        <v>16200000</v>
      </c>
      <c r="X191" s="170"/>
      <c r="Y191" s="170"/>
      <c r="Z191" s="170"/>
      <c r="AA191" s="170">
        <f>IF((R191-S191-W191-O191-Q191)&gt;0,(R191-S191-W191-O191-Q191),0)</f>
        <v>13283349</v>
      </c>
      <c r="AB191" s="170"/>
      <c r="AC191" s="170"/>
      <c r="AD191" s="170"/>
      <c r="AE191" s="170"/>
      <c r="AF191" s="170"/>
      <c r="AG191" s="170"/>
      <c r="AH191" s="170"/>
      <c r="AI191" s="170"/>
      <c r="AJ191" s="170"/>
      <c r="AK191" s="170"/>
      <c r="AL191" s="170"/>
      <c r="AM191" s="170"/>
      <c r="AN191" s="170"/>
      <c r="AO191" s="170"/>
      <c r="AP191" s="170">
        <f>ROUND(IF(AA191&lt;5000000,AA191*0.05,IF(AA191&lt;10000000,250000+(AA191-5000000)*0.1,IF(AA191&lt;18000000,750000+(AA191-10000000)*0.15,IF(AA191&lt;32000000,1950000+(AA191-18000000)*0.2,IF(AA191&lt;52000000,4750000+(AA191-32000000)*0.25,IF(AA191&lt;80000000,9750000+(AA191-52000000)*0.3,IF(AA191&gt;80000000,18150000+(AA191-80000000)*0.35,0))))))),0)</f>
        <v>1242502</v>
      </c>
      <c r="AQ191" s="170"/>
      <c r="AR191" s="170">
        <f>R191-S191-AP191</f>
        <v>29789785</v>
      </c>
      <c r="AS191" s="170"/>
      <c r="AT191" s="170"/>
      <c r="AU191" s="170">
        <f>IF(G191&gt;0,IF(AR191*1%&gt;149000,149000,ROUND(AR191*1%,0)),0)</f>
        <v>149000</v>
      </c>
      <c r="AV191" s="170">
        <f>IFERROR(VLOOKUP(B191,'BS lương'!$B$2:$M$181,11,0),0)</f>
        <v>0</v>
      </c>
      <c r="AW191" s="170"/>
      <c r="AX191" s="170">
        <f>AR191-AU191-AV191-AW191</f>
        <v>29640785</v>
      </c>
    </row>
    <row r="192" spans="1:51" ht="12" customHeight="1" x14ac:dyDescent="0.3">
      <c r="A192" s="205">
        <f>A191+1</f>
        <v>3</v>
      </c>
      <c r="B192" s="171" t="s">
        <v>254</v>
      </c>
      <c r="C192" s="171" t="s">
        <v>255</v>
      </c>
      <c r="D192" s="171" t="s">
        <v>217</v>
      </c>
      <c r="E192" s="172"/>
      <c r="F192" s="172">
        <v>6.25</v>
      </c>
      <c r="G192" s="209">
        <f>VLOOKUP(B192,'Bảng lương tính trên HTfast'!$B$13:$H$194,6,0)</f>
        <v>20</v>
      </c>
      <c r="H192" s="170">
        <f>VLOOKUP(B192,'Bảng lương tính trên HTfast'!$B$13:$H$194,7,0)</f>
        <v>9831000</v>
      </c>
      <c r="I192" s="173">
        <f>IFERROR(VLOOKUP(B192,'Luong vitri'!$C$6:$O$179,10,0),0)</f>
        <v>0</v>
      </c>
      <c r="J192" s="174">
        <f>VLOOKUP(B192,'Bảng lương tính trên HTfast'!$B$13:$I$194,8,0)</f>
        <v>1</v>
      </c>
      <c r="K192" s="173">
        <f>IFERROR(VLOOKUP(B192,'Luong vitri'!$C$6:$O$201,12,0),0)</f>
        <v>0.4</v>
      </c>
      <c r="L192" s="170">
        <f>ROUND((H192+H192*I192)*K192,0)</f>
        <v>3932400</v>
      </c>
      <c r="M192" s="170">
        <f>ROUND(L192*0.3,0)</f>
        <v>1179720</v>
      </c>
      <c r="N192" s="170">
        <f>ROUND((H192+H192*I192)*J192+M192,0)</f>
        <v>11010720</v>
      </c>
      <c r="O192" s="170">
        <f>IFERROR(VLOOKUP(B192,'Bảng lương tính trên HTfast'!$B$13:$O$194,12,0),0)</f>
        <v>0</v>
      </c>
      <c r="P192" s="170">
        <f>IFERROR(VLOOKUP(B192,'BS lương'!$B$2:$M$188,9,0),0)</f>
        <v>555556</v>
      </c>
      <c r="Q192" s="170">
        <f>IFERROR(VLOOKUP(B192,'BS lương'!$B$2:$M$188,10,0),0)</f>
        <v>0</v>
      </c>
      <c r="R192" s="170">
        <f>N192+O192+P192+Q192</f>
        <v>11566276</v>
      </c>
      <c r="S192" s="170">
        <f>IFERROR(VLOOKUP(B192,'Bảng lương tính trên HTfast'!$B$13:$U$194,16,0),0)</f>
        <v>1032255</v>
      </c>
      <c r="T192" s="170"/>
      <c r="U192" s="170"/>
      <c r="V192" s="170"/>
      <c r="W192" s="170">
        <f>IFERROR(VLOOKUP(B192,'Bảng lương tính trên HTfast'!$B$13:$U$190,20,0),0)</f>
        <v>16200000</v>
      </c>
      <c r="X192" s="170"/>
      <c r="Y192" s="170"/>
      <c r="Z192" s="170"/>
      <c r="AA192" s="170">
        <f>IF((R192-S192-W192-O192-Q192)&gt;0,(R192-S192-W192-O192-Q192),0)</f>
        <v>0</v>
      </c>
      <c r="AB192" s="170"/>
      <c r="AC192" s="170"/>
      <c r="AD192" s="170"/>
      <c r="AE192" s="170"/>
      <c r="AF192" s="170"/>
      <c r="AG192" s="170"/>
      <c r="AH192" s="170"/>
      <c r="AI192" s="170"/>
      <c r="AJ192" s="170"/>
      <c r="AK192" s="170"/>
      <c r="AL192" s="170"/>
      <c r="AM192" s="170"/>
      <c r="AN192" s="170"/>
      <c r="AO192" s="170"/>
      <c r="AP192" s="170">
        <f>ROUND(IF(AA192&lt;5000000,AA192*0.05,IF(AA192&lt;10000000,250000+(AA192-5000000)*0.1,IF(AA192&lt;18000000,750000+(AA192-10000000)*0.15,IF(AA192&lt;32000000,1950000+(AA192-18000000)*0.2,IF(AA192&lt;52000000,4750000+(AA192-32000000)*0.25,IF(AA192&lt;80000000,9750000+(AA192-52000000)*0.3,IF(AA192&gt;80000000,18150000+(AA192-80000000)*0.35,0))))))),0)</f>
        <v>0</v>
      </c>
      <c r="AQ192" s="170"/>
      <c r="AR192" s="170">
        <f>R192-S192-AP192</f>
        <v>10534021</v>
      </c>
      <c r="AS192" s="170"/>
      <c r="AT192" s="170"/>
      <c r="AU192" s="170">
        <f>IF(G192&gt;0,IF(AR192*1%&gt;149000,149000,ROUND(AR192*1%,0)),0)</f>
        <v>105340</v>
      </c>
      <c r="AV192" s="170">
        <f>IFERROR(VLOOKUP(B192,'BS lương'!$B$2:$M$181,11,0),0)</f>
        <v>0</v>
      </c>
      <c r="AW192" s="170"/>
      <c r="AX192" s="170">
        <f>AR192-AU192-AV192-AW192</f>
        <v>10428681</v>
      </c>
    </row>
    <row r="193" spans="1:51" ht="12" customHeight="1" x14ac:dyDescent="0.3">
      <c r="A193" s="205">
        <f>A192+1</f>
        <v>4</v>
      </c>
      <c r="B193" s="171" t="s">
        <v>67</v>
      </c>
      <c r="C193" s="171" t="s">
        <v>68</v>
      </c>
      <c r="D193" s="171" t="s">
        <v>66</v>
      </c>
      <c r="E193" s="172"/>
      <c r="F193" s="172">
        <v>1.85</v>
      </c>
      <c r="G193" s="209">
        <f>VLOOKUP(B193,'Bảng lương tính trên HTfast'!$B$13:$H$194,6,0)</f>
        <v>20</v>
      </c>
      <c r="H193" s="170">
        <f>VLOOKUP(B193,'Bảng lương tính trên HTfast'!$B$13:$H$194,7,0)</f>
        <v>7801000</v>
      </c>
      <c r="I193" s="173">
        <f>IFERROR(VLOOKUP(B193,'Luong vitri'!$C$6:$O$179,10,0),0)</f>
        <v>0</v>
      </c>
      <c r="J193" s="174">
        <f>VLOOKUP(B193,'Bảng lương tính trên HTfast'!$B$13:$I$194,8,0)</f>
        <v>1.1299999999999999</v>
      </c>
      <c r="K193" s="173">
        <f>IFERROR(VLOOKUP(B193,'Luong vitri'!$C$6:$O$187,12,0),0)</f>
        <v>0.45</v>
      </c>
      <c r="L193" s="170">
        <f>ROUND((H193+H193*I193)*K193,0)</f>
        <v>3510450</v>
      </c>
      <c r="M193" s="170">
        <f>ROUND(L193*0.3,0)</f>
        <v>1053135</v>
      </c>
      <c r="N193" s="170">
        <f>ROUND((H193+H193*I193)*J193+M193,0)</f>
        <v>9868265</v>
      </c>
      <c r="O193" s="170">
        <f>IFERROR(VLOOKUP(B193,'Bảng lương tính trên HTfast'!$B$13:$O$194,12,0),0)</f>
        <v>0</v>
      </c>
      <c r="P193" s="170">
        <f>IFERROR(VLOOKUP(B193,'BS lương'!$B$2:$M$188,9,0),0)</f>
        <v>0</v>
      </c>
      <c r="Q193" s="170">
        <f>IFERROR(VLOOKUP(B193,'BS lương'!$B$2:$M$188,10,0),0)</f>
        <v>0</v>
      </c>
      <c r="R193" s="170">
        <f>N193+O193+P193+Q193</f>
        <v>9868265</v>
      </c>
      <c r="S193" s="170">
        <f>IFERROR(VLOOKUP(B193,'Bảng lương tính trên HTfast'!$B$13:$U$194,16,0),0)</f>
        <v>819105</v>
      </c>
      <c r="T193" s="170"/>
      <c r="U193" s="170"/>
      <c r="V193" s="170"/>
      <c r="W193" s="170">
        <f>IFERROR(VLOOKUP(B193,'Bảng lương tính trên HTfast'!$B$13:$U$190,20,0),0)</f>
        <v>16200000</v>
      </c>
      <c r="X193" s="170"/>
      <c r="Y193" s="170"/>
      <c r="Z193" s="170"/>
      <c r="AA193" s="170">
        <f>IF((R193-S193-W193-O193-Q193)&gt;0,(R193-S193-W193-O193-Q193),0)</f>
        <v>0</v>
      </c>
      <c r="AB193" s="170"/>
      <c r="AC193" s="170"/>
      <c r="AD193" s="170"/>
      <c r="AE193" s="170"/>
      <c r="AF193" s="170"/>
      <c r="AG193" s="170"/>
      <c r="AH193" s="170"/>
      <c r="AI193" s="170"/>
      <c r="AJ193" s="170"/>
      <c r="AK193" s="170"/>
      <c r="AL193" s="170"/>
      <c r="AM193" s="170"/>
      <c r="AN193" s="170"/>
      <c r="AO193" s="170"/>
      <c r="AP193" s="170">
        <f>ROUND(IF(AA193&lt;5000000,AA193*0.05,IF(AA193&lt;10000000,250000+(AA193-5000000)*0.1,IF(AA193&lt;18000000,750000+(AA193-10000000)*0.15,IF(AA193&lt;32000000,1950000+(AA193-18000000)*0.2,IF(AA193&lt;52000000,4750000+(AA193-32000000)*0.25,IF(AA193&lt;80000000,9750000+(AA193-52000000)*0.3,IF(AA193&gt;80000000,18150000+(AA193-80000000)*0.35,0))))))),0)</f>
        <v>0</v>
      </c>
      <c r="AQ193" s="170"/>
      <c r="AR193" s="170">
        <f>R193-S193-AP193</f>
        <v>9049160</v>
      </c>
      <c r="AS193" s="170"/>
      <c r="AT193" s="170"/>
      <c r="AU193" s="170">
        <f>IF(G193&gt;0,IF(AR193*1%&gt;149000,149000,ROUND(AR193*1%,0)),0)</f>
        <v>90492</v>
      </c>
      <c r="AV193" s="170">
        <f>IFERROR(VLOOKUP(B193,'BS lương'!$B$2:$M$181,11,0),0)</f>
        <v>0</v>
      </c>
      <c r="AW193" s="170"/>
      <c r="AX193" s="170">
        <f>AR193-AU193-AV193-AW193</f>
        <v>8958668</v>
      </c>
    </row>
    <row r="194" spans="1:51" s="217" customFormat="1" ht="12" customHeight="1" x14ac:dyDescent="0.3">
      <c r="A194" s="213"/>
      <c r="B194" s="214"/>
      <c r="C194" s="214" t="s">
        <v>415</v>
      </c>
      <c r="D194" s="214"/>
      <c r="E194" s="215"/>
      <c r="F194" s="215"/>
      <c r="G194" s="216">
        <f>G11+G6</f>
        <v>3289</v>
      </c>
      <c r="H194" s="216">
        <f t="shared" ref="H194:AX194" si="76">H11+H6</f>
        <v>1469049250</v>
      </c>
      <c r="I194" s="216">
        <f t="shared" si="76"/>
        <v>0.89999999999999991</v>
      </c>
      <c r="J194" s="216">
        <f t="shared" si="76"/>
        <v>180.95999999999975</v>
      </c>
      <c r="K194" s="216">
        <f t="shared" si="76"/>
        <v>68.400000000000105</v>
      </c>
      <c r="L194" s="216">
        <f t="shared" si="76"/>
        <v>597750838</v>
      </c>
      <c r="M194" s="216">
        <f t="shared" si="76"/>
        <v>295725257</v>
      </c>
      <c r="N194" s="216">
        <f t="shared" si="76"/>
        <v>1837101375</v>
      </c>
      <c r="O194" s="216">
        <f t="shared" si="76"/>
        <v>25550000</v>
      </c>
      <c r="P194" s="216">
        <f t="shared" si="76"/>
        <v>249691569</v>
      </c>
      <c r="Q194" s="216">
        <f t="shared" si="76"/>
        <v>29200338</v>
      </c>
      <c r="R194" s="216">
        <f t="shared" si="76"/>
        <v>2141543282</v>
      </c>
      <c r="S194" s="216">
        <f t="shared" si="76"/>
        <v>154435913</v>
      </c>
      <c r="T194" s="216">
        <f t="shared" si="76"/>
        <v>0</v>
      </c>
      <c r="U194" s="216">
        <f t="shared" si="76"/>
        <v>0</v>
      </c>
      <c r="V194" s="216">
        <f t="shared" si="76"/>
        <v>0</v>
      </c>
      <c r="W194" s="216">
        <f t="shared" si="76"/>
        <v>2053800000</v>
      </c>
      <c r="X194" s="216">
        <f t="shared" si="76"/>
        <v>0</v>
      </c>
      <c r="Y194" s="216">
        <f t="shared" si="76"/>
        <v>0</v>
      </c>
      <c r="Z194" s="216">
        <f t="shared" si="76"/>
        <v>0</v>
      </c>
      <c r="AA194" s="216">
        <f t="shared" si="76"/>
        <v>298078601</v>
      </c>
      <c r="AB194" s="216">
        <f t="shared" si="76"/>
        <v>0</v>
      </c>
      <c r="AC194" s="216">
        <f t="shared" si="76"/>
        <v>0</v>
      </c>
      <c r="AD194" s="216">
        <f t="shared" si="76"/>
        <v>0</v>
      </c>
      <c r="AE194" s="216">
        <f t="shared" si="76"/>
        <v>0</v>
      </c>
      <c r="AF194" s="216">
        <f t="shared" si="76"/>
        <v>0</v>
      </c>
      <c r="AG194" s="216">
        <f t="shared" si="76"/>
        <v>0</v>
      </c>
      <c r="AH194" s="216">
        <f t="shared" si="76"/>
        <v>0</v>
      </c>
      <c r="AI194" s="216">
        <f t="shared" si="76"/>
        <v>0</v>
      </c>
      <c r="AJ194" s="216">
        <f t="shared" si="76"/>
        <v>0</v>
      </c>
      <c r="AK194" s="216">
        <f t="shared" si="76"/>
        <v>0</v>
      </c>
      <c r="AL194" s="216">
        <f t="shared" si="76"/>
        <v>0</v>
      </c>
      <c r="AM194" s="216">
        <f t="shared" si="76"/>
        <v>0</v>
      </c>
      <c r="AN194" s="216">
        <f t="shared" si="76"/>
        <v>0</v>
      </c>
      <c r="AO194" s="216">
        <f t="shared" si="76"/>
        <v>0</v>
      </c>
      <c r="AP194" s="216">
        <f t="shared" si="76"/>
        <v>22398052</v>
      </c>
      <c r="AQ194" s="216">
        <f t="shared" si="76"/>
        <v>0</v>
      </c>
      <c r="AR194" s="216">
        <f t="shared" si="76"/>
        <v>1964709317</v>
      </c>
      <c r="AS194" s="216">
        <f t="shared" si="76"/>
        <v>0</v>
      </c>
      <c r="AT194" s="216">
        <f t="shared" si="76"/>
        <v>0</v>
      </c>
      <c r="AU194" s="216">
        <f t="shared" si="76"/>
        <v>17908557</v>
      </c>
      <c r="AV194" s="216">
        <f>AV11+AV6</f>
        <v>0</v>
      </c>
      <c r="AW194" s="216">
        <f t="shared" si="76"/>
        <v>0</v>
      </c>
      <c r="AX194" s="216">
        <f t="shared" si="76"/>
        <v>1946800760</v>
      </c>
    </row>
    <row r="195" spans="1:51" ht="12" customHeight="1" x14ac:dyDescent="0.3">
      <c r="A195" s="218">
        <v>0</v>
      </c>
      <c r="B195" s="219" t="s">
        <v>40</v>
      </c>
      <c r="C195" s="219"/>
      <c r="D195" s="219"/>
      <c r="G195" s="220"/>
      <c r="L195" s="206"/>
      <c r="P195" s="206"/>
      <c r="R195" s="206">
        <f>N194+O194+P194+Q194</f>
        <v>2141543282</v>
      </c>
      <c r="S195" s="206">
        <f>S194+935571</f>
        <v>155371484</v>
      </c>
      <c r="AR195" s="206">
        <f>R194-S194-AP194</f>
        <v>1964709317</v>
      </c>
      <c r="AU195" s="222">
        <f>AU193+AU188</f>
        <v>90492</v>
      </c>
      <c r="AW195" s="206">
        <f>AW194+405009</f>
        <v>405009</v>
      </c>
      <c r="AX195" s="206">
        <f>AR194-AU194-AV194-AW194</f>
        <v>1946800760</v>
      </c>
      <c r="AY195" s="206">
        <f>AR193-AU193-AV193-AW193</f>
        <v>8958668</v>
      </c>
    </row>
    <row r="196" spans="1:51" s="223" customFormat="1" ht="18.75" customHeight="1" x14ac:dyDescent="0.3">
      <c r="G196" s="224"/>
      <c r="J196" s="225"/>
      <c r="AR196" s="291" t="s">
        <v>802</v>
      </c>
      <c r="AS196" s="291"/>
      <c r="AT196" s="291"/>
      <c r="AU196" s="291"/>
      <c r="AV196" s="291"/>
      <c r="AW196" s="291"/>
      <c r="AX196" s="291"/>
    </row>
    <row r="197" spans="1:51" s="226" customFormat="1" ht="15.6" x14ac:dyDescent="0.3">
      <c r="C197" s="264" t="s">
        <v>31</v>
      </c>
      <c r="D197" s="264"/>
      <c r="E197" s="264"/>
      <c r="F197" s="264"/>
      <c r="G197" s="264"/>
      <c r="H197" s="264"/>
      <c r="I197" s="229"/>
      <c r="J197" s="228"/>
      <c r="K197" s="229"/>
      <c r="L197" s="264" t="s">
        <v>32</v>
      </c>
      <c r="M197" s="264"/>
      <c r="N197" s="264"/>
      <c r="O197" s="264"/>
      <c r="P197" s="264"/>
      <c r="Q197" s="264"/>
      <c r="R197" s="264" t="s">
        <v>33</v>
      </c>
      <c r="S197" s="264"/>
      <c r="T197" s="264"/>
      <c r="U197" s="264"/>
      <c r="V197" s="264"/>
      <c r="W197" s="264"/>
      <c r="X197" s="264"/>
      <c r="Y197" s="264"/>
      <c r="Z197" s="264"/>
      <c r="AA197" s="264"/>
      <c r="AB197" s="264"/>
      <c r="AC197" s="264"/>
      <c r="AD197" s="264"/>
      <c r="AE197" s="264"/>
      <c r="AF197" s="264"/>
      <c r="AG197" s="264"/>
      <c r="AH197" s="264"/>
      <c r="AI197" s="264"/>
      <c r="AJ197" s="264"/>
      <c r="AK197" s="264"/>
      <c r="AL197" s="264"/>
      <c r="AM197" s="264"/>
      <c r="AN197" s="264"/>
      <c r="AO197" s="264"/>
      <c r="AP197" s="264"/>
      <c r="AQ197" s="264" t="s">
        <v>34</v>
      </c>
      <c r="AR197" s="264"/>
      <c r="AS197" s="264"/>
      <c r="AT197" s="264"/>
      <c r="AU197" s="264"/>
      <c r="AV197" s="264"/>
      <c r="AW197" s="264"/>
      <c r="AX197" s="264"/>
    </row>
    <row r="199" spans="1:51" ht="12" customHeight="1" x14ac:dyDescent="0.3">
      <c r="AU199" s="206"/>
    </row>
  </sheetData>
  <sortState xmlns:xlrd2="http://schemas.microsoft.com/office/spreadsheetml/2017/richdata2" ref="A13:AY193">
    <sortCondition ref="C13:C193"/>
  </sortState>
  <mergeCells count="9">
    <mergeCell ref="C197:H197"/>
    <mergeCell ref="L197:Q197"/>
    <mergeCell ref="R197:AP197"/>
    <mergeCell ref="AQ197:AX197"/>
    <mergeCell ref="A1:L1"/>
    <mergeCell ref="A2:L2"/>
    <mergeCell ref="M2:AA2"/>
    <mergeCell ref="B3:AX3"/>
    <mergeCell ref="AR196:AX19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Bang luong NLD</vt:lpstr>
      <vt:lpstr>Bảng lương tính trên HTfast</vt:lpstr>
      <vt:lpstr>BS lương</vt:lpstr>
      <vt:lpstr>Them gio</vt:lpstr>
      <vt:lpstr>Luong vitri</vt:lpstr>
      <vt:lpstr>Lương KPI</vt:lpstr>
      <vt:lpstr>Sheet2</vt:lpstr>
      <vt:lpstr>Sheet4</vt:lpstr>
      <vt:lpstr>'Bang luong NLD'!Print_Area</vt:lpstr>
      <vt:lpstr>'Bang luong NLD'!Print_Titles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Linh Nguyen Van</cp:lastModifiedBy>
  <cp:lastPrinted>2021-07-08T09:05:28Z</cp:lastPrinted>
  <dcterms:created xsi:type="dcterms:W3CDTF">2016-05-20T16:39:40Z</dcterms:created>
  <dcterms:modified xsi:type="dcterms:W3CDTF">2021-07-08T09:05:53Z</dcterms:modified>
</cp:coreProperties>
</file>