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18510" windowHeight="6900" tabRatio="886" firstSheet="74" activeTab="74"/>
  </bookViews>
  <sheets>
    <sheet name="B1" sheetId="6" r:id="rId1"/>
    <sheet name="B2" sheetId="1" r:id="rId2"/>
    <sheet name="B3" sheetId="2" r:id="rId3"/>
    <sheet name="B4" sheetId="3" r:id="rId4"/>
    <sheet name="B5" sheetId="4" r:id="rId5"/>
    <sheet name="B6" sheetId="5" r:id="rId6"/>
    <sheet name="B7" sheetId="7" r:id="rId7"/>
    <sheet name="B8-N" sheetId="9" r:id="rId8"/>
    <sheet name="B9" sheetId="8" r:id="rId9"/>
    <sheet name="B10" sheetId="10" r:id="rId10"/>
    <sheet name="B11" sheetId="11" r:id="rId11"/>
    <sheet name="B12" sheetId="12" r:id="rId12"/>
    <sheet name="B13" sheetId="13" r:id="rId13"/>
    <sheet name="B14" sheetId="14" r:id="rId14"/>
    <sheet name="B15" sheetId="15" r:id="rId15"/>
    <sheet name="B16" sheetId="16" r:id="rId16"/>
    <sheet name="B17" sheetId="17" r:id="rId17"/>
    <sheet name="B18" sheetId="18" r:id="rId18"/>
    <sheet name="B19" sheetId="19" r:id="rId19"/>
    <sheet name="B20-N" sheetId="20" r:id="rId20"/>
    <sheet name="B21" sheetId="21" r:id="rId21"/>
    <sheet name="B22" sheetId="22" r:id="rId22"/>
    <sheet name="B23" sheetId="23" r:id="rId23"/>
    <sheet name="B24" sheetId="24" r:id="rId24"/>
    <sheet name="B25" sheetId="25" r:id="rId25"/>
    <sheet name="B26" sheetId="26" r:id="rId26"/>
    <sheet name="B27" sheetId="27" r:id="rId27"/>
    <sheet name="B28" sheetId="28" r:id="rId28"/>
    <sheet name="B29" sheetId="29" r:id="rId29"/>
    <sheet name="B30" sheetId="30" r:id="rId30"/>
    <sheet name="B31" sheetId="31" r:id="rId31"/>
    <sheet name="B32" sheetId="32" r:id="rId32"/>
    <sheet name="B33" sheetId="33" r:id="rId33"/>
    <sheet name="B34" sheetId="34" r:id="rId34"/>
    <sheet name="B35" sheetId="35" r:id="rId35"/>
    <sheet name="B36" sheetId="37" r:id="rId36"/>
    <sheet name="B37" sheetId="38" r:id="rId37"/>
    <sheet name="B38" sheetId="39" r:id="rId38"/>
    <sheet name="B39" sheetId="40" r:id="rId39"/>
    <sheet name="B40" sheetId="41" r:id="rId40"/>
    <sheet name="B41" sheetId="42" r:id="rId41"/>
    <sheet name="B42" sheetId="43" r:id="rId42"/>
    <sheet name="B43" sheetId="44" r:id="rId43"/>
    <sheet name="B44" sheetId="50" r:id="rId44"/>
    <sheet name="B45" sheetId="51" r:id="rId45"/>
    <sheet name="B46" sheetId="52" r:id="rId46"/>
    <sheet name="B47" sheetId="53" r:id="rId47"/>
    <sheet name="B48" sheetId="56" r:id="rId48"/>
    <sheet name="B49" sheetId="62" r:id="rId49"/>
    <sheet name="B50" sheetId="61" r:id="rId50"/>
    <sheet name="B51" sheetId="60" r:id="rId51"/>
    <sheet name="B52" sheetId="59" r:id="rId52"/>
    <sheet name="B53" sheetId="58" r:id="rId53"/>
    <sheet name="B54" sheetId="66" r:id="rId54"/>
    <sheet name="B55" sheetId="65" r:id="rId55"/>
    <sheet name="B56" sheetId="64" r:id="rId56"/>
    <sheet name="B57" sheetId="63" r:id="rId57"/>
    <sheet name="B58" sheetId="69" r:id="rId58"/>
    <sheet name="B59" sheetId="68" r:id="rId59"/>
    <sheet name="B60" sheetId="67" r:id="rId60"/>
    <sheet name="B61" sheetId="72" r:id="rId61"/>
    <sheet name="B62" sheetId="71" r:id="rId62"/>
    <sheet name="B63" sheetId="70" r:id="rId63"/>
    <sheet name="B64" sheetId="57" r:id="rId64"/>
    <sheet name="B65" sheetId="78" r:id="rId65"/>
    <sheet name="B66" sheetId="77" r:id="rId66"/>
    <sheet name="B67" sheetId="76" r:id="rId67"/>
    <sheet name="B68" sheetId="75" r:id="rId68"/>
    <sheet name="B69" sheetId="74" r:id="rId69"/>
    <sheet name="B70" sheetId="73" r:id="rId70"/>
    <sheet name="71" sheetId="93" r:id="rId71"/>
    <sheet name="72" sheetId="94" r:id="rId72"/>
    <sheet name="Match" sheetId="97" r:id="rId73"/>
    <sheet name="Validation" sheetId="92" r:id="rId74"/>
    <sheet name="Tiền giảm" sheetId="91" r:id="rId75"/>
    <sheet name="Sheet10" sheetId="90" r:id="rId76"/>
    <sheet name="time hết hạn" sheetId="89" r:id="rId77"/>
    <sheet name="Sheet8" sheetId="88" r:id="rId78"/>
    <sheet name="Tiền điện" sheetId="87" r:id="rId79"/>
    <sheet name="Tham chieu phức tạp" sheetId="86" r:id="rId80"/>
    <sheet name="tham chiếu ngược" sheetId="85" r:id="rId81"/>
    <sheet name="sumif" sheetId="84" r:id="rId82"/>
    <sheet name="thongke" sheetId="96" r:id="rId83"/>
    <sheet name="Dsum and thong ke" sheetId="95" r:id="rId84"/>
    <sheet name="khoang thơi gian" sheetId="83" r:id="rId85"/>
    <sheet name="Sheet3" sheetId="98" r:id="rId86"/>
    <sheet name="Sheet1" sheetId="81" r:id="rId87"/>
    <sheet name="XXXXXXXX" sheetId="79" state="veryHidden" r:id="rId88"/>
    <sheet name="XXXXXXXXXXXX" sheetId="80" state="veryHidden" r:id="rId89"/>
  </sheets>
  <definedNames>
    <definedName name="_Fill" hidden="1">#REF!</definedName>
    <definedName name="_xlnm._FilterDatabase" localSheetId="12" hidden="1">'B13'!$G$5:$G$11</definedName>
    <definedName name="_xlnm._FilterDatabase" localSheetId="20" hidden="1">'B21'!$A$3:$H$13</definedName>
    <definedName name="_xlnm._FilterDatabase" localSheetId="21" hidden="1">'B22'!$A$2:$I$4</definedName>
    <definedName name="_xlnm._FilterDatabase" localSheetId="22" hidden="1">'B23'!$A$3:$J$13</definedName>
    <definedName name="_xlnm._FilterDatabase" localSheetId="24" hidden="1">'B25'!$A$4:$K$19</definedName>
    <definedName name="_xlnm._FilterDatabase" localSheetId="33" hidden="1">'B34'!$E$13:$F$14</definedName>
    <definedName name="_xlnm._FilterDatabase" localSheetId="45" hidden="1">'B46'!$A$2:$L$22</definedName>
    <definedName name="_xlnm._FilterDatabase" localSheetId="50" hidden="1">'B51'!$A$2:$J$8</definedName>
    <definedName name="_xlnm._FilterDatabase" localSheetId="6" hidden="1">'B7'!$M$3:$M$22</definedName>
    <definedName name="_xlnm._FilterDatabase" localSheetId="69" hidden="1">'B70'!$A$2:$J$7</definedName>
    <definedName name="_xlnm._FilterDatabase" localSheetId="74" hidden="1">'Tiền giảm'!$A$6:$H$12</definedName>
    <definedName name="B1G4">'B1'!XFC1+'B1'!XFD1</definedName>
    <definedName name="_xlnm.Criteria" localSheetId="20">'B21'!$H$16:$H$17</definedName>
    <definedName name="_xlnm.Criteria" localSheetId="22">'B23'!$I$15:$I$16</definedName>
    <definedName name="_xlnm.Criteria" localSheetId="24">'B25'!$J$21:$J$22</definedName>
    <definedName name="_xlnm.Criteria" localSheetId="33">'B34'!$E$13:$F$14</definedName>
    <definedName name="_xlnm.Criteria" localSheetId="45">'B46'!$G$24:$I$25</definedName>
    <definedName name="_xlnm.Criteria" localSheetId="50">'B51'!$H$10:$I$12</definedName>
    <definedName name="_xlnm.Criteria" localSheetId="69">'B70'!$F$15:$F$16</definedName>
    <definedName name="_xlnm.Criteria" localSheetId="74">'Tiền giảm'!$H$15</definedName>
    <definedName name="DS">'B33'!$B$2:$I$11</definedName>
    <definedName name="_xlnm.Extract" localSheetId="20">'B21'!#REF!</definedName>
    <definedName name="_xlnm.Extract" localSheetId="22">'B23'!$I$18:$R$18</definedName>
    <definedName name="_xlnm.Extract" localSheetId="24">'B25'!$J$23:$T$23</definedName>
    <definedName name="_xlnm.Extract" localSheetId="50">'B51'!$H$18:$Q$18</definedName>
    <definedName name="_xlnm.Extract" localSheetId="69">'B70'!$I$16:$R$16</definedName>
    <definedName name="_xlnm.Print_Area" localSheetId="57">'B58'!$A$1:$H$26</definedName>
    <definedName name="_xlnm.Print_Area" localSheetId="7">'B8-N'!$A$1:$N$37</definedName>
    <definedName name="_xlnm.Print_Area" localSheetId="8">'B9'!$A$1:$K$33</definedName>
    <definedName name="TenHuyen">Validation!$F$2:$F$14</definedName>
    <definedName name="TenTinh">Validation!$B$2:$B$5</definedName>
    <definedName name="TenXa">Validation!$J$2:$J$42</definedName>
  </definedNames>
  <calcPr calcId="144525"/>
</workbook>
</file>

<file path=xl/calcChain.xml><?xml version="1.0" encoding="utf-8"?>
<calcChain xmlns="http://schemas.openxmlformats.org/spreadsheetml/2006/main">
  <c r="I15" i="91" l="1"/>
  <c r="H15" i="91"/>
  <c r="L5" i="91"/>
  <c r="D14" i="91"/>
  <c r="G8" i="91"/>
  <c r="G9" i="91"/>
  <c r="G10" i="91"/>
  <c r="G11" i="91"/>
  <c r="G12" i="91"/>
  <c r="G7" i="91"/>
  <c r="F8" i="91"/>
  <c r="F9" i="91"/>
  <c r="H9" i="91" s="1"/>
  <c r="F10" i="91"/>
  <c r="H10" i="91" s="1"/>
  <c r="F11" i="91"/>
  <c r="H11" i="91" s="1"/>
  <c r="F12" i="91"/>
  <c r="H12" i="91" s="1"/>
  <c r="F7" i="91"/>
  <c r="H7" i="91" s="1"/>
  <c r="E33" i="97"/>
  <c r="D14" i="73"/>
  <c r="D13" i="73"/>
  <c r="D12" i="73"/>
  <c r="D11" i="73"/>
  <c r="D10" i="73"/>
  <c r="J4" i="73"/>
  <c r="J5" i="73"/>
  <c r="J6" i="73"/>
  <c r="J7" i="73"/>
  <c r="J3" i="73"/>
  <c r="I4" i="73"/>
  <c r="I5" i="73"/>
  <c r="I6" i="73"/>
  <c r="I7" i="73"/>
  <c r="I3" i="73"/>
  <c r="H4" i="73"/>
  <c r="H5" i="73"/>
  <c r="H6" i="73"/>
  <c r="H7" i="73"/>
  <c r="H3" i="73"/>
  <c r="G4" i="73"/>
  <c r="G5" i="73"/>
  <c r="G6" i="73"/>
  <c r="G7" i="73"/>
  <c r="G3" i="73"/>
  <c r="F4" i="73"/>
  <c r="F5" i="73"/>
  <c r="F6" i="73"/>
  <c r="F7" i="73"/>
  <c r="F3" i="73"/>
  <c r="C4" i="74"/>
  <c r="E4" i="74" s="1"/>
  <c r="F4" i="74" s="1"/>
  <c r="C5" i="74"/>
  <c r="E5" i="74" s="1"/>
  <c r="F5" i="74" s="1"/>
  <c r="C6" i="74"/>
  <c r="E6" i="74" s="1"/>
  <c r="F6" i="74" s="1"/>
  <c r="C7" i="74"/>
  <c r="E7" i="74" s="1"/>
  <c r="F7" i="74" s="1"/>
  <c r="C8" i="74"/>
  <c r="E8" i="74" s="1"/>
  <c r="F8" i="74" s="1"/>
  <c r="C9" i="74"/>
  <c r="E9" i="74" s="1"/>
  <c r="F9" i="74" s="1"/>
  <c r="C10" i="74"/>
  <c r="E10" i="74" s="1"/>
  <c r="F10" i="74" s="1"/>
  <c r="C11" i="74"/>
  <c r="E11" i="74" s="1"/>
  <c r="F11" i="74" s="1"/>
  <c r="C12" i="74"/>
  <c r="E12" i="74" s="1"/>
  <c r="F12" i="74" s="1"/>
  <c r="C3" i="74"/>
  <c r="E3" i="74" s="1"/>
  <c r="F3" i="74" s="1"/>
  <c r="H8" i="91" l="1"/>
  <c r="D15" i="91" s="1"/>
  <c r="E26" i="74"/>
  <c r="F26" i="74" s="1"/>
  <c r="E27" i="74"/>
  <c r="E28" i="74"/>
  <c r="C20" i="74"/>
  <c r="C21" i="74"/>
  <c r="F4" i="75"/>
  <c r="D4" i="75"/>
  <c r="E4" i="75" s="1"/>
  <c r="D6" i="75"/>
  <c r="E6" i="75" s="1"/>
  <c r="F6" i="75" s="1"/>
  <c r="G6" i="75" s="1"/>
  <c r="D5" i="75"/>
  <c r="E5" i="75" s="1"/>
  <c r="F5" i="75" s="1"/>
  <c r="G5" i="75" s="1"/>
  <c r="D8" i="75"/>
  <c r="E8" i="75" s="1"/>
  <c r="F8" i="75" s="1"/>
  <c r="G8" i="75" s="1"/>
  <c r="D9" i="75"/>
  <c r="E9" i="75" s="1"/>
  <c r="F9" i="75" s="1"/>
  <c r="G9" i="75" s="1"/>
  <c r="D7" i="75"/>
  <c r="E7" i="75" s="1"/>
  <c r="F7" i="75" s="1"/>
  <c r="G7" i="75" s="1"/>
  <c r="B26" i="76"/>
  <c r="B25" i="76"/>
  <c r="B24" i="76"/>
  <c r="B23" i="76"/>
  <c r="G4" i="75" l="1"/>
  <c r="I5" i="76"/>
  <c r="I8" i="76"/>
  <c r="I10" i="76"/>
  <c r="I11" i="76"/>
  <c r="I12" i="76"/>
  <c r="I3" i="76"/>
  <c r="F4" i="76"/>
  <c r="F5" i="76"/>
  <c r="J5" i="76" s="1"/>
  <c r="F6" i="76"/>
  <c r="F7" i="76"/>
  <c r="F8" i="76"/>
  <c r="J8" i="76" s="1"/>
  <c r="F9" i="76"/>
  <c r="F10" i="76"/>
  <c r="J10" i="76" s="1"/>
  <c r="F11" i="76"/>
  <c r="J11" i="76" s="1"/>
  <c r="F12" i="76"/>
  <c r="J12" i="76" s="1"/>
  <c r="F3" i="76"/>
  <c r="J3" i="76" s="1"/>
  <c r="D4" i="76"/>
  <c r="D5" i="76"/>
  <c r="D6" i="76"/>
  <c r="D7" i="76"/>
  <c r="D8" i="76"/>
  <c r="D9" i="76"/>
  <c r="D10" i="76"/>
  <c r="D11" i="76"/>
  <c r="D12" i="76"/>
  <c r="D3" i="76"/>
  <c r="B4" i="76"/>
  <c r="B5" i="76"/>
  <c r="B6" i="76"/>
  <c r="B7" i="76"/>
  <c r="B8" i="76"/>
  <c r="B9" i="76"/>
  <c r="B10" i="76"/>
  <c r="B11" i="76"/>
  <c r="B12" i="76"/>
  <c r="B3" i="76"/>
  <c r="H23" i="77"/>
  <c r="G3" i="77"/>
  <c r="G4" i="77"/>
  <c r="G5" i="77"/>
  <c r="G6" i="77"/>
  <c r="G7" i="77"/>
  <c r="G8" i="77"/>
  <c r="G9" i="77"/>
  <c r="G10" i="77"/>
  <c r="G11" i="77"/>
  <c r="G12" i="77"/>
  <c r="F4" i="77"/>
  <c r="F5" i="77"/>
  <c r="F6" i="77"/>
  <c r="F7" i="77"/>
  <c r="F8" i="77"/>
  <c r="F9" i="77"/>
  <c r="F10" i="77"/>
  <c r="F11" i="77"/>
  <c r="F12" i="77"/>
  <c r="F3" i="77"/>
  <c r="D4" i="77"/>
  <c r="D5" i="77"/>
  <c r="D6" i="77"/>
  <c r="D7" i="77"/>
  <c r="D8" i="77"/>
  <c r="D9" i="77"/>
  <c r="D10" i="77"/>
  <c r="D11" i="77"/>
  <c r="D12" i="77"/>
  <c r="D3" i="77"/>
  <c r="C4" i="77"/>
  <c r="C5" i="77"/>
  <c r="C6" i="77"/>
  <c r="C7" i="77"/>
  <c r="C8" i="77"/>
  <c r="C9" i="77"/>
  <c r="C10" i="77"/>
  <c r="C11" i="77"/>
  <c r="C12" i="77"/>
  <c r="C3" i="77"/>
  <c r="I9" i="76" l="1"/>
  <c r="J9" i="76" s="1"/>
  <c r="I7" i="76"/>
  <c r="J7" i="76" s="1"/>
  <c r="I6" i="76"/>
  <c r="J6" i="76" s="1"/>
  <c r="B22" i="76" s="1"/>
  <c r="I4" i="76"/>
  <c r="J4" i="76" s="1"/>
  <c r="F4" i="78"/>
  <c r="F5" i="78"/>
  <c r="F6" i="78"/>
  <c r="F7" i="78"/>
  <c r="F8" i="78"/>
  <c r="F3" i="78"/>
  <c r="D4" i="78"/>
  <c r="D5" i="78"/>
  <c r="D6" i="78"/>
  <c r="D7" i="78"/>
  <c r="D8" i="78"/>
  <c r="D3" i="78"/>
  <c r="G4" i="57"/>
  <c r="G7" i="57"/>
  <c r="G6" i="57"/>
  <c r="G8" i="57"/>
  <c r="G5" i="57"/>
  <c r="H4" i="57"/>
  <c r="H7" i="57"/>
  <c r="H6" i="57"/>
  <c r="H8" i="57"/>
  <c r="H5" i="57"/>
  <c r="F4" i="57"/>
  <c r="I4" i="57" s="1"/>
  <c r="F7" i="57"/>
  <c r="I7" i="57" s="1"/>
  <c r="F6" i="57"/>
  <c r="I6" i="57" s="1"/>
  <c r="F8" i="57"/>
  <c r="I8" i="57" s="1"/>
  <c r="F5" i="57"/>
  <c r="I5" i="57" s="1"/>
  <c r="C4" i="57"/>
  <c r="C7" i="57"/>
  <c r="C6" i="57"/>
  <c r="C8" i="57"/>
  <c r="C5" i="57"/>
  <c r="F4" i="70"/>
  <c r="F5" i="70"/>
  <c r="F6" i="70"/>
  <c r="F7" i="70"/>
  <c r="F8" i="70"/>
  <c r="F9" i="70"/>
  <c r="F10" i="70"/>
  <c r="F11" i="70"/>
  <c r="F12" i="70"/>
  <c r="F3" i="70"/>
  <c r="C4" i="70"/>
  <c r="C5" i="70"/>
  <c r="C6" i="70"/>
  <c r="C7" i="70"/>
  <c r="C8" i="70"/>
  <c r="C9" i="70"/>
  <c r="C10" i="70"/>
  <c r="C11" i="70"/>
  <c r="C12" i="70"/>
  <c r="C3" i="70"/>
  <c r="G4" i="71"/>
  <c r="G5" i="71"/>
  <c r="G6" i="71"/>
  <c r="G7" i="71"/>
  <c r="G8" i="71"/>
  <c r="G9" i="71"/>
  <c r="G10" i="71"/>
  <c r="G11" i="71"/>
  <c r="G12" i="71"/>
  <c r="G3" i="71"/>
  <c r="F4" i="71"/>
  <c r="F5" i="71"/>
  <c r="F6" i="71"/>
  <c r="F7" i="71"/>
  <c r="F8" i="71"/>
  <c r="F9" i="71"/>
  <c r="F10" i="71"/>
  <c r="F11" i="71"/>
  <c r="F12" i="71"/>
  <c r="F3" i="71"/>
  <c r="C4" i="71"/>
  <c r="C5" i="71"/>
  <c r="C6" i="71"/>
  <c r="C7" i="71"/>
  <c r="C8" i="71"/>
  <c r="C9" i="71"/>
  <c r="C10" i="71"/>
  <c r="C11" i="71"/>
  <c r="C12" i="71"/>
  <c r="C3" i="71"/>
  <c r="J5" i="72"/>
  <c r="J6" i="72"/>
  <c r="J7" i="72"/>
  <c r="J8" i="72"/>
  <c r="J9" i="72"/>
  <c r="J4" i="72"/>
  <c r="I5" i="72"/>
  <c r="I6" i="72"/>
  <c r="I7" i="72"/>
  <c r="I8" i="72"/>
  <c r="I9" i="72"/>
  <c r="I4" i="72"/>
  <c r="G5" i="72"/>
  <c r="G6" i="72"/>
  <c r="G7" i="72"/>
  <c r="G8" i="72"/>
  <c r="G9" i="72"/>
  <c r="G4" i="72"/>
  <c r="H5" i="72"/>
  <c r="H6" i="72"/>
  <c r="H7" i="72"/>
  <c r="H8" i="72"/>
  <c r="H9" i="72"/>
  <c r="H4" i="72"/>
  <c r="F5" i="72"/>
  <c r="F6" i="72"/>
  <c r="F7" i="72"/>
  <c r="F8" i="72"/>
  <c r="F9" i="72"/>
  <c r="F4" i="72"/>
  <c r="C5" i="72"/>
  <c r="C6" i="72"/>
  <c r="C7" i="72"/>
  <c r="C8" i="72"/>
  <c r="C9" i="72"/>
  <c r="C4" i="72"/>
  <c r="C20" i="78" l="1"/>
  <c r="C18" i="78"/>
  <c r="C19" i="78"/>
  <c r="G5" i="67"/>
  <c r="G6" i="67"/>
  <c r="G7" i="67"/>
  <c r="G8" i="67"/>
  <c r="G9" i="67"/>
  <c r="G10" i="67"/>
  <c r="G4" i="67"/>
  <c r="E5" i="67"/>
  <c r="E6" i="67"/>
  <c r="E7" i="67"/>
  <c r="E8" i="67"/>
  <c r="E9" i="67"/>
  <c r="E10" i="67"/>
  <c r="E4" i="67"/>
  <c r="B5" i="67"/>
  <c r="B6" i="67"/>
  <c r="B7" i="67"/>
  <c r="B8" i="67"/>
  <c r="B9" i="67"/>
  <c r="B10" i="67"/>
  <c r="B4" i="67"/>
  <c r="H4" i="68"/>
  <c r="H5" i="68"/>
  <c r="H6" i="68"/>
  <c r="H7" i="68"/>
  <c r="H8" i="68"/>
  <c r="H9" i="68"/>
  <c r="H3" i="68"/>
  <c r="G4" i="68" l="1"/>
  <c r="G5" i="68"/>
  <c r="G6" i="68"/>
  <c r="G7" i="68"/>
  <c r="G8" i="68"/>
  <c r="G9" i="68"/>
  <c r="G3" i="68"/>
  <c r="F4" i="68"/>
  <c r="F5" i="68"/>
  <c r="F6" i="68"/>
  <c r="F7" i="68"/>
  <c r="F8" i="68"/>
  <c r="F9" i="68"/>
  <c r="F3" i="68"/>
  <c r="D4" i="68"/>
  <c r="D5" i="68"/>
  <c r="D6" i="68"/>
  <c r="D7" i="68"/>
  <c r="D8" i="68"/>
  <c r="D9" i="68"/>
  <c r="D3" i="68"/>
  <c r="C4" i="68"/>
  <c r="C5" i="68"/>
  <c r="C6" i="68"/>
  <c r="C7" i="68"/>
  <c r="C8" i="68"/>
  <c r="C9" i="68"/>
  <c r="C3" i="68"/>
  <c r="H5" i="69"/>
  <c r="H6" i="69"/>
  <c r="H7" i="69"/>
  <c r="H8" i="69"/>
  <c r="H9" i="69"/>
  <c r="H10" i="69"/>
  <c r="H11" i="69"/>
  <c r="H4" i="69"/>
  <c r="G5" i="69"/>
  <c r="G6" i="69"/>
  <c r="G7" i="69"/>
  <c r="G8" i="69"/>
  <c r="G9" i="69"/>
  <c r="G10" i="69"/>
  <c r="G11" i="69"/>
  <c r="G4" i="69"/>
  <c r="D5" i="69"/>
  <c r="D6" i="69"/>
  <c r="D7" i="69"/>
  <c r="D8" i="69"/>
  <c r="D9" i="69"/>
  <c r="D10" i="69"/>
  <c r="D11" i="69"/>
  <c r="D4" i="69"/>
  <c r="C5" i="69"/>
  <c r="C6" i="69"/>
  <c r="C7" i="69"/>
  <c r="C8" i="69"/>
  <c r="C9" i="69"/>
  <c r="C10" i="69"/>
  <c r="C11" i="69"/>
  <c r="C4" i="69"/>
  <c r="G4" i="63" l="1"/>
  <c r="G5" i="63"/>
  <c r="G6" i="63"/>
  <c r="G7" i="63"/>
  <c r="G8" i="63"/>
  <c r="G9" i="63"/>
  <c r="G10" i="63"/>
  <c r="G3" i="63"/>
  <c r="F4" i="63"/>
  <c r="F5" i="63"/>
  <c r="F6" i="63"/>
  <c r="F7" i="63"/>
  <c r="F8" i="63"/>
  <c r="F9" i="63"/>
  <c r="F10" i="63"/>
  <c r="F3" i="63"/>
  <c r="E4" i="63"/>
  <c r="E5" i="63"/>
  <c r="E6" i="63"/>
  <c r="E7" i="63"/>
  <c r="E8" i="63"/>
  <c r="E9" i="63"/>
  <c r="E10" i="63"/>
  <c r="E3" i="63"/>
  <c r="C4" i="63"/>
  <c r="C5" i="63"/>
  <c r="C6" i="63"/>
  <c r="C7" i="63"/>
  <c r="C8" i="63"/>
  <c r="C9" i="63"/>
  <c r="C10" i="63"/>
  <c r="C3" i="63"/>
  <c r="E4" i="64"/>
  <c r="E5" i="64"/>
  <c r="E6" i="64"/>
  <c r="E7" i="64"/>
  <c r="E8" i="64"/>
  <c r="E3" i="64"/>
  <c r="F4" i="64"/>
  <c r="F5" i="64"/>
  <c r="F6" i="64"/>
  <c r="F7" i="64"/>
  <c r="F8" i="64"/>
  <c r="F3" i="64"/>
  <c r="D4" i="64"/>
  <c r="D5" i="64"/>
  <c r="D6" i="64"/>
  <c r="D7" i="64"/>
  <c r="D8" i="64"/>
  <c r="D3" i="64"/>
  <c r="H4" i="65"/>
  <c r="H5" i="65"/>
  <c r="H6" i="65"/>
  <c r="H7" i="65"/>
  <c r="H8" i="65"/>
  <c r="H9" i="65"/>
  <c r="H3" i="65"/>
  <c r="G4" i="65"/>
  <c r="G5" i="65"/>
  <c r="G6" i="65"/>
  <c r="G7" i="65"/>
  <c r="G8" i="65"/>
  <c r="G9" i="65"/>
  <c r="G3" i="65"/>
  <c r="F4" i="65"/>
  <c r="F5" i="65"/>
  <c r="F6" i="65"/>
  <c r="F7" i="65"/>
  <c r="F8" i="65"/>
  <c r="F9" i="65"/>
  <c r="F3" i="65"/>
  <c r="C4" i="65"/>
  <c r="C5" i="65"/>
  <c r="C6" i="65"/>
  <c r="C7" i="65"/>
  <c r="C8" i="65"/>
  <c r="C9" i="65"/>
  <c r="C3" i="65"/>
  <c r="J4" i="66"/>
  <c r="J5" i="66"/>
  <c r="J6" i="66"/>
  <c r="J7" i="66"/>
  <c r="J8" i="66"/>
  <c r="J9" i="66"/>
  <c r="J10" i="66"/>
  <c r="J11" i="66"/>
  <c r="J12" i="66"/>
  <c r="J3" i="66"/>
  <c r="I4" i="66"/>
  <c r="I5" i="66"/>
  <c r="I6" i="66"/>
  <c r="I7" i="66"/>
  <c r="I8" i="66"/>
  <c r="I9" i="66"/>
  <c r="I10" i="66"/>
  <c r="I11" i="66"/>
  <c r="I12" i="66"/>
  <c r="I3" i="66"/>
  <c r="H4" i="66"/>
  <c r="H5" i="66"/>
  <c r="H6" i="66"/>
  <c r="H7" i="66"/>
  <c r="H8" i="66"/>
  <c r="H9" i="66"/>
  <c r="H10" i="66"/>
  <c r="H11" i="66"/>
  <c r="H12" i="66"/>
  <c r="H3" i="66"/>
  <c r="G4" i="66"/>
  <c r="G5" i="66"/>
  <c r="G6" i="66"/>
  <c r="G7" i="66"/>
  <c r="G8" i="66"/>
  <c r="G9" i="66"/>
  <c r="G10" i="66"/>
  <c r="G11" i="66"/>
  <c r="G12" i="66"/>
  <c r="G3" i="66"/>
  <c r="F4" i="66"/>
  <c r="F5" i="66"/>
  <c r="F6" i="66"/>
  <c r="F7" i="66"/>
  <c r="F8" i="66"/>
  <c r="F9" i="66"/>
  <c r="F10" i="66"/>
  <c r="F11" i="66"/>
  <c r="F12" i="66"/>
  <c r="F3" i="66"/>
  <c r="J4" i="58" l="1"/>
  <c r="J5" i="58"/>
  <c r="J6" i="58"/>
  <c r="J7" i="58"/>
  <c r="J8" i="58"/>
  <c r="J9" i="58"/>
  <c r="J10" i="58"/>
  <c r="J11" i="58"/>
  <c r="J12" i="58"/>
  <c r="J3" i="58"/>
  <c r="I4" i="58"/>
  <c r="I5" i="58"/>
  <c r="I6" i="58"/>
  <c r="I7" i="58"/>
  <c r="I8" i="58"/>
  <c r="I9" i="58"/>
  <c r="I10" i="58"/>
  <c r="I11" i="58"/>
  <c r="I12" i="58"/>
  <c r="I3" i="58"/>
  <c r="G4" i="58"/>
  <c r="G5" i="58"/>
  <c r="G6" i="58"/>
  <c r="G7" i="58"/>
  <c r="G8" i="58"/>
  <c r="G9" i="58"/>
  <c r="G10" i="58"/>
  <c r="G11" i="58"/>
  <c r="G12" i="58"/>
  <c r="G3" i="58"/>
  <c r="H4" i="58"/>
  <c r="H5" i="58"/>
  <c r="H6" i="58"/>
  <c r="H7" i="58"/>
  <c r="H8" i="58"/>
  <c r="H9" i="58"/>
  <c r="H10" i="58"/>
  <c r="H11" i="58"/>
  <c r="H12" i="58"/>
  <c r="H3" i="58"/>
  <c r="F4" i="58"/>
  <c r="F5" i="58"/>
  <c r="F6" i="58"/>
  <c r="F7" i="58"/>
  <c r="F8" i="58"/>
  <c r="F9" i="58"/>
  <c r="F10" i="58"/>
  <c r="F11" i="58"/>
  <c r="F12" i="58"/>
  <c r="F3" i="58"/>
  <c r="E4" i="58"/>
  <c r="E5" i="58"/>
  <c r="E6" i="58"/>
  <c r="E7" i="58"/>
  <c r="E8" i="58"/>
  <c r="E9" i="58"/>
  <c r="E10" i="58"/>
  <c r="E11" i="58"/>
  <c r="E12" i="58"/>
  <c r="E3" i="58"/>
  <c r="G4" i="59"/>
  <c r="G5" i="59"/>
  <c r="G6" i="59"/>
  <c r="G7" i="59"/>
  <c r="G8" i="59"/>
  <c r="G9" i="59"/>
  <c r="G10" i="59"/>
  <c r="G11" i="59"/>
  <c r="G3" i="59"/>
  <c r="F4" i="59"/>
  <c r="F5" i="59"/>
  <c r="F6" i="59"/>
  <c r="F7" i="59"/>
  <c r="F8" i="59"/>
  <c r="F9" i="59"/>
  <c r="F10" i="59"/>
  <c r="F11" i="59"/>
  <c r="F3" i="59"/>
  <c r="E4" i="59"/>
  <c r="E5" i="59"/>
  <c r="E6" i="59"/>
  <c r="E7" i="59"/>
  <c r="E8" i="59"/>
  <c r="E9" i="59"/>
  <c r="E10" i="59"/>
  <c r="E11" i="59"/>
  <c r="E3" i="59"/>
  <c r="D4" i="59"/>
  <c r="D5" i="59"/>
  <c r="D6" i="59"/>
  <c r="D7" i="59"/>
  <c r="D8" i="59"/>
  <c r="D9" i="59"/>
  <c r="D10" i="59"/>
  <c r="D11" i="59"/>
  <c r="D3" i="59"/>
  <c r="I3" i="60"/>
  <c r="J3" i="60"/>
  <c r="J4" i="60"/>
  <c r="J5" i="60"/>
  <c r="J6" i="60"/>
  <c r="J7" i="60"/>
  <c r="J8" i="60"/>
  <c r="I4" i="60"/>
  <c r="I5" i="60"/>
  <c r="I6" i="60"/>
  <c r="I7" i="60"/>
  <c r="I8" i="60"/>
  <c r="H4" i="60"/>
  <c r="H5" i="60"/>
  <c r="H6" i="60"/>
  <c r="H7" i="60"/>
  <c r="H8" i="60"/>
  <c r="H3" i="60"/>
  <c r="G4" i="60"/>
  <c r="G5" i="60"/>
  <c r="G6" i="60"/>
  <c r="G7" i="60"/>
  <c r="G8" i="60"/>
  <c r="G3" i="60"/>
  <c r="D4" i="60"/>
  <c r="D5" i="60"/>
  <c r="D6" i="60"/>
  <c r="D7" i="60"/>
  <c r="D8" i="60"/>
  <c r="D3" i="60"/>
  <c r="D22" i="61"/>
  <c r="D21" i="61"/>
  <c r="C22" i="61"/>
  <c r="C21" i="61"/>
  <c r="H4" i="61"/>
  <c r="H5" i="61"/>
  <c r="H6" i="61"/>
  <c r="H7" i="61"/>
  <c r="H8" i="61"/>
  <c r="H9" i="61"/>
  <c r="H3" i="61"/>
  <c r="G4" i="61"/>
  <c r="G5" i="61"/>
  <c r="G6" i="61"/>
  <c r="G7" i="61"/>
  <c r="G8" i="61"/>
  <c r="G9" i="61"/>
  <c r="G3" i="61"/>
  <c r="E4" i="61" l="1"/>
  <c r="E5" i="61"/>
  <c r="E6" i="61"/>
  <c r="E7" i="61"/>
  <c r="E8" i="61"/>
  <c r="E9" i="61"/>
  <c r="E3" i="61"/>
  <c r="D4" i="61"/>
  <c r="D5" i="61"/>
  <c r="D6" i="61"/>
  <c r="D7" i="61"/>
  <c r="D8" i="61"/>
  <c r="D9" i="61"/>
  <c r="D3" i="61"/>
  <c r="F6" i="62"/>
  <c r="G6" i="62" s="1"/>
  <c r="F7" i="62"/>
  <c r="G7" i="62" s="1"/>
  <c r="F8" i="62"/>
  <c r="G8" i="62" s="1"/>
  <c r="F9" i="62"/>
  <c r="G9" i="62" s="1"/>
  <c r="F5" i="62"/>
  <c r="G5" i="62" s="1"/>
  <c r="D6" i="62"/>
  <c r="D7" i="62"/>
  <c r="D8" i="62"/>
  <c r="D9" i="62"/>
  <c r="D5" i="62"/>
  <c r="C6" i="62"/>
  <c r="C7" i="62"/>
  <c r="C8" i="62"/>
  <c r="C9" i="62"/>
  <c r="C5" i="62"/>
  <c r="D24" i="56"/>
  <c r="C24" i="56"/>
  <c r="H13" i="56"/>
  <c r="B24" i="56"/>
  <c r="K17" i="56"/>
  <c r="J17" i="56"/>
  <c r="I17" i="56"/>
  <c r="H4" i="56"/>
  <c r="H5" i="56"/>
  <c r="H6" i="56"/>
  <c r="H7" i="56"/>
  <c r="H8" i="56"/>
  <c r="H9" i="56"/>
  <c r="H10" i="56"/>
  <c r="H11" i="56"/>
  <c r="H12" i="56"/>
  <c r="H3" i="56"/>
  <c r="G4" i="56"/>
  <c r="G5" i="56"/>
  <c r="G6" i="56"/>
  <c r="G7" i="56"/>
  <c r="G8" i="56"/>
  <c r="G9" i="56"/>
  <c r="G10" i="56"/>
  <c r="G11" i="56"/>
  <c r="G12" i="56"/>
  <c r="G3" i="56"/>
  <c r="E4" i="56"/>
  <c r="E5" i="56"/>
  <c r="E6" i="56"/>
  <c r="E7" i="56"/>
  <c r="E8" i="56"/>
  <c r="E9" i="56"/>
  <c r="E10" i="56"/>
  <c r="E11" i="56"/>
  <c r="E12" i="56"/>
  <c r="E3" i="56"/>
  <c r="C4" i="56"/>
  <c r="C5" i="56"/>
  <c r="C6" i="56"/>
  <c r="C7" i="56"/>
  <c r="C8" i="56"/>
  <c r="C9" i="56"/>
  <c r="C10" i="56"/>
  <c r="C11" i="56"/>
  <c r="C12" i="56"/>
  <c r="C3" i="56"/>
  <c r="H4" i="53"/>
  <c r="H5" i="53"/>
  <c r="H6" i="53"/>
  <c r="H7" i="53"/>
  <c r="H8" i="53"/>
  <c r="H9" i="53"/>
  <c r="H10" i="53"/>
  <c r="H11" i="53"/>
  <c r="H12" i="53"/>
  <c r="H13" i="53"/>
  <c r="H14" i="53"/>
  <c r="H15" i="53"/>
  <c r="H16" i="53"/>
  <c r="H17" i="53"/>
  <c r="H3" i="53"/>
  <c r="G4" i="53"/>
  <c r="G5" i="53"/>
  <c r="G6" i="53"/>
  <c r="G7" i="53"/>
  <c r="G8" i="53"/>
  <c r="G9" i="53"/>
  <c r="G10" i="53"/>
  <c r="G11" i="53"/>
  <c r="G12" i="53"/>
  <c r="G13" i="53"/>
  <c r="G14" i="53"/>
  <c r="G15" i="53"/>
  <c r="G16" i="53"/>
  <c r="G17" i="53"/>
  <c r="G3" i="53"/>
  <c r="L32" i="52"/>
  <c r="E30" i="52"/>
  <c r="E29" i="52"/>
  <c r="J4" i="52"/>
  <c r="J5" i="52"/>
  <c r="J6" i="52"/>
  <c r="J7" i="52"/>
  <c r="J8" i="52"/>
  <c r="J9" i="52"/>
  <c r="J10" i="52"/>
  <c r="J11" i="52"/>
  <c r="J12" i="52"/>
  <c r="J13" i="52"/>
  <c r="J14" i="52"/>
  <c r="J15" i="52"/>
  <c r="J16" i="52"/>
  <c r="J17" i="52"/>
  <c r="J18" i="52"/>
  <c r="J19" i="52"/>
  <c r="J20" i="52"/>
  <c r="J21" i="52"/>
  <c r="J22" i="52"/>
  <c r="L22" i="52" s="1"/>
  <c r="J3" i="52"/>
  <c r="L3" i="51"/>
  <c r="L4" i="51"/>
  <c r="L5" i="51"/>
  <c r="L6" i="51"/>
  <c r="L7" i="51"/>
  <c r="L2" i="51"/>
  <c r="K3" i="51"/>
  <c r="K4" i="51"/>
  <c r="K5" i="51"/>
  <c r="K6" i="51"/>
  <c r="K7" i="51"/>
  <c r="K2" i="51"/>
  <c r="J3" i="51"/>
  <c r="J4" i="51"/>
  <c r="J5" i="51"/>
  <c r="J6" i="51"/>
  <c r="J7" i="51"/>
  <c r="J2" i="51"/>
  <c r="I6" i="50"/>
  <c r="I5" i="50"/>
  <c r="I4" i="50"/>
  <c r="H6" i="50"/>
  <c r="H5" i="50"/>
  <c r="H4" i="50"/>
  <c r="E3" i="50"/>
  <c r="E4" i="50"/>
  <c r="E5" i="50"/>
  <c r="E6" i="50"/>
  <c r="E7" i="50"/>
  <c r="E8" i="50"/>
  <c r="E9" i="50"/>
  <c r="E10" i="50"/>
  <c r="E11" i="50"/>
  <c r="E12" i="50"/>
  <c r="E13" i="50"/>
  <c r="E14" i="50"/>
  <c r="E15" i="50"/>
  <c r="E16" i="50"/>
  <c r="E2" i="50"/>
  <c r="I12" i="44"/>
  <c r="I11" i="44"/>
  <c r="I10" i="44"/>
  <c r="I9" i="44"/>
  <c r="I8" i="44"/>
  <c r="I7" i="44"/>
  <c r="I6" i="44"/>
  <c r="I5" i="44"/>
  <c r="I4" i="44"/>
  <c r="I3" i="44"/>
  <c r="E4" i="44"/>
  <c r="E5" i="44"/>
  <c r="E6" i="44"/>
  <c r="E7" i="44"/>
  <c r="E8" i="44"/>
  <c r="E9" i="44"/>
  <c r="E10" i="44"/>
  <c r="E11" i="44"/>
  <c r="E12" i="44"/>
  <c r="E3" i="44"/>
  <c r="L20" i="52" l="1"/>
  <c r="L18" i="52"/>
  <c r="L16" i="52"/>
  <c r="L14" i="52"/>
  <c r="L12" i="52"/>
  <c r="L10" i="52"/>
  <c r="L8" i="52"/>
  <c r="E32" i="52"/>
  <c r="L31" i="52"/>
  <c r="E31" i="52"/>
  <c r="L21" i="52"/>
  <c r="L19" i="52"/>
  <c r="L17" i="52"/>
  <c r="L15" i="52"/>
  <c r="L13" i="52"/>
  <c r="L11" i="52"/>
  <c r="L9" i="52"/>
  <c r="L7" i="52"/>
  <c r="L5" i="52"/>
  <c r="K22" i="52"/>
  <c r="K20" i="52"/>
  <c r="K18" i="52"/>
  <c r="K16" i="52"/>
  <c r="K14" i="52"/>
  <c r="K12" i="52"/>
  <c r="K10" i="52"/>
  <c r="K8" i="52"/>
  <c r="K6" i="52"/>
  <c r="K4" i="52"/>
  <c r="L6" i="52"/>
  <c r="L4" i="52"/>
  <c r="K3" i="52"/>
  <c r="K21" i="52"/>
  <c r="K19" i="52"/>
  <c r="K17" i="52"/>
  <c r="K15" i="52"/>
  <c r="K13" i="52"/>
  <c r="K11" i="52"/>
  <c r="K9" i="52"/>
  <c r="K7" i="52"/>
  <c r="K5" i="52"/>
  <c r="L3" i="52"/>
  <c r="H4" i="44"/>
  <c r="H5" i="44"/>
  <c r="H6" i="44"/>
  <c r="H7" i="44"/>
  <c r="H8" i="44"/>
  <c r="H9" i="44"/>
  <c r="H10" i="44"/>
  <c r="H11" i="44"/>
  <c r="H12" i="44"/>
  <c r="H3" i="44"/>
  <c r="I4" i="43"/>
  <c r="I5" i="43"/>
  <c r="I6" i="43"/>
  <c r="I7" i="43"/>
  <c r="I8" i="43"/>
  <c r="I9" i="43"/>
  <c r="I10" i="43"/>
  <c r="I11" i="43"/>
  <c r="I12" i="43"/>
  <c r="I3" i="43"/>
  <c r="H4" i="43"/>
  <c r="H5" i="43"/>
  <c r="H6" i="43"/>
  <c r="H7" i="43"/>
  <c r="H8" i="43"/>
  <c r="H9" i="43"/>
  <c r="H10" i="43"/>
  <c r="H11" i="43"/>
  <c r="H12" i="43"/>
  <c r="H3" i="43"/>
  <c r="G4" i="43"/>
  <c r="G5" i="43"/>
  <c r="G6" i="43"/>
  <c r="G7" i="43"/>
  <c r="G8" i="43"/>
  <c r="G9" i="43"/>
  <c r="G10" i="43"/>
  <c r="G11" i="43"/>
  <c r="G12" i="43"/>
  <c r="G3" i="43"/>
  <c r="H4" i="42"/>
  <c r="H5" i="42"/>
  <c r="H6" i="42"/>
  <c r="H7" i="42"/>
  <c r="H8" i="42"/>
  <c r="H9" i="42"/>
  <c r="H10" i="42"/>
  <c r="H11" i="42"/>
  <c r="H12" i="42"/>
  <c r="H3" i="42"/>
  <c r="G4" i="42"/>
  <c r="G5" i="42"/>
  <c r="G6" i="42"/>
  <c r="G7" i="42"/>
  <c r="G8" i="42"/>
  <c r="G9" i="42"/>
  <c r="G10" i="42"/>
  <c r="G11" i="42"/>
  <c r="G12" i="42"/>
  <c r="G3" i="42"/>
  <c r="F4" i="42"/>
  <c r="F5" i="42"/>
  <c r="F6" i="42"/>
  <c r="F7" i="42"/>
  <c r="F8" i="42"/>
  <c r="F9" i="42"/>
  <c r="F10" i="42"/>
  <c r="F11" i="42"/>
  <c r="F12" i="42"/>
  <c r="F3" i="42"/>
  <c r="L33" i="52" l="1"/>
  <c r="L34" i="52" s="1"/>
  <c r="L30" i="52"/>
  <c r="E34" i="52"/>
  <c r="L29" i="52"/>
  <c r="E33" i="52"/>
  <c r="K4" i="41"/>
  <c r="K5" i="41"/>
  <c r="K6" i="41"/>
  <c r="K3" i="41"/>
  <c r="J4" i="41"/>
  <c r="J5" i="41"/>
  <c r="J6" i="41"/>
  <c r="J3" i="41"/>
  <c r="H4" i="41"/>
  <c r="H5" i="41"/>
  <c r="H6" i="41"/>
  <c r="H3" i="41"/>
  <c r="F18" i="40"/>
  <c r="F15" i="40"/>
  <c r="F8" i="40"/>
  <c r="G8" i="40" s="1"/>
  <c r="F3" i="40"/>
  <c r="G3" i="40" s="1"/>
  <c r="F9" i="40"/>
  <c r="G9" i="40" s="1"/>
  <c r="F4" i="40"/>
  <c r="G4" i="40" s="1"/>
  <c r="F10" i="40"/>
  <c r="G10" i="40" s="1"/>
  <c r="F11" i="40"/>
  <c r="G11" i="40" s="1"/>
  <c r="F5" i="40"/>
  <c r="G5" i="40" s="1"/>
  <c r="F6" i="40"/>
  <c r="G6" i="40" s="1"/>
  <c r="F7" i="40"/>
  <c r="G7" i="40" s="1"/>
  <c r="F2" i="40"/>
  <c r="G2" i="40" s="1"/>
  <c r="L5" i="39"/>
  <c r="L3" i="39"/>
  <c r="L4" i="39"/>
  <c r="L2" i="39"/>
  <c r="K3" i="39"/>
  <c r="K4" i="39"/>
  <c r="K5" i="39"/>
  <c r="K2" i="39"/>
  <c r="J3" i="39"/>
  <c r="J4" i="39"/>
  <c r="J5" i="39"/>
  <c r="J2" i="39"/>
  <c r="I3" i="39"/>
  <c r="I4" i="39"/>
  <c r="I5" i="39"/>
  <c r="I2" i="39"/>
  <c r="E13" i="38"/>
  <c r="E12" i="38"/>
  <c r="D13" i="38"/>
  <c r="D12" i="38"/>
  <c r="E3" i="38"/>
  <c r="E4" i="38"/>
  <c r="E5" i="38"/>
  <c r="E6" i="38"/>
  <c r="E7" i="38"/>
  <c r="E8" i="38"/>
  <c r="E2" i="38"/>
  <c r="D17" i="37" l="1"/>
  <c r="D16" i="37"/>
  <c r="D15" i="37"/>
  <c r="D14" i="37"/>
  <c r="C17" i="37"/>
  <c r="C16" i="37"/>
  <c r="C15" i="37"/>
  <c r="C14" i="37"/>
  <c r="H7" i="37"/>
  <c r="J7" i="37" s="1"/>
  <c r="H3" i="37"/>
  <c r="J3" i="37" s="1"/>
  <c r="H2" i="37"/>
  <c r="J2" i="37" s="1"/>
  <c r="H5" i="37"/>
  <c r="J5" i="37" s="1"/>
  <c r="H11" i="37"/>
  <c r="J11" i="37" s="1"/>
  <c r="H6" i="37"/>
  <c r="J6" i="37" s="1"/>
  <c r="H9" i="37"/>
  <c r="J9" i="37" s="1"/>
  <c r="H8" i="37"/>
  <c r="J8" i="37" s="1"/>
  <c r="H4" i="37"/>
  <c r="J4" i="37" s="1"/>
  <c r="H10" i="37"/>
  <c r="J10" i="37" s="1"/>
  <c r="K3" i="35"/>
  <c r="K4" i="35"/>
  <c r="K5" i="35"/>
  <c r="K6" i="35"/>
  <c r="K7" i="35"/>
  <c r="K2" i="35"/>
  <c r="I3" i="35"/>
  <c r="I4" i="35"/>
  <c r="I5" i="35"/>
  <c r="I6" i="35"/>
  <c r="I7" i="35"/>
  <c r="I2" i="35"/>
  <c r="H3" i="35"/>
  <c r="H4" i="35"/>
  <c r="H5" i="35"/>
  <c r="H6" i="35"/>
  <c r="H7" i="35"/>
  <c r="H2" i="35"/>
  <c r="J3" i="35"/>
  <c r="J4" i="35"/>
  <c r="J5" i="35"/>
  <c r="J6" i="35"/>
  <c r="J7" i="35"/>
  <c r="J2" i="35"/>
  <c r="G3" i="35"/>
  <c r="G4" i="35"/>
  <c r="G5" i="35"/>
  <c r="G6" i="35"/>
  <c r="G7" i="35"/>
  <c r="G2" i="35"/>
  <c r="F17" i="34"/>
  <c r="F14" i="34"/>
  <c r="F3" i="34"/>
  <c r="F4" i="34"/>
  <c r="F5" i="34"/>
  <c r="F6" i="34"/>
  <c r="F7" i="34"/>
  <c r="F8" i="34"/>
  <c r="F9" i="34"/>
  <c r="F10" i="34"/>
  <c r="F11" i="34"/>
  <c r="F2" i="34"/>
  <c r="B15" i="34" s="1"/>
  <c r="I3" i="33"/>
  <c r="I4" i="33"/>
  <c r="I5" i="33"/>
  <c r="I6" i="33"/>
  <c r="I7" i="33"/>
  <c r="I8" i="33"/>
  <c r="I9" i="33"/>
  <c r="I10" i="33"/>
  <c r="I11" i="33"/>
  <c r="I2" i="33"/>
  <c r="H3" i="33"/>
  <c r="H4" i="33"/>
  <c r="H5" i="33"/>
  <c r="H6" i="33"/>
  <c r="H7" i="33"/>
  <c r="H8" i="33"/>
  <c r="H9" i="33"/>
  <c r="H10" i="33"/>
  <c r="H11" i="33"/>
  <c r="H2" i="33"/>
  <c r="G3" i="33"/>
  <c r="G4" i="33"/>
  <c r="G5" i="33"/>
  <c r="G6" i="33"/>
  <c r="G7" i="33"/>
  <c r="G8" i="33"/>
  <c r="G9" i="33"/>
  <c r="G10" i="33"/>
  <c r="G11" i="33"/>
  <c r="G2" i="33"/>
  <c r="I10" i="37" l="1"/>
  <c r="K10" i="37" s="1"/>
  <c r="I8" i="37"/>
  <c r="K8" i="37" s="1"/>
  <c r="I6" i="37"/>
  <c r="K6" i="37" s="1"/>
  <c r="I5" i="37"/>
  <c r="K5" i="37" s="1"/>
  <c r="I3" i="37"/>
  <c r="K3" i="37" s="1"/>
  <c r="I4" i="37"/>
  <c r="K4" i="37" s="1"/>
  <c r="I9" i="37"/>
  <c r="K9" i="37" s="1"/>
  <c r="I11" i="37"/>
  <c r="K11" i="37" s="1"/>
  <c r="I2" i="37"/>
  <c r="K2" i="37" s="1"/>
  <c r="I7" i="37"/>
  <c r="K7" i="37" s="1"/>
  <c r="B16" i="34"/>
  <c r="D22" i="32"/>
  <c r="D21" i="32"/>
  <c r="C22" i="32"/>
  <c r="C21" i="32"/>
  <c r="D18" i="32"/>
  <c r="D17" i="32"/>
  <c r="D16" i="32"/>
  <c r="D15" i="32"/>
  <c r="C18" i="32"/>
  <c r="C17" i="32"/>
  <c r="C16" i="32"/>
  <c r="C15" i="32"/>
  <c r="F3" i="32"/>
  <c r="F4" i="32"/>
  <c r="F5" i="32"/>
  <c r="F6" i="32"/>
  <c r="F7" i="32"/>
  <c r="F8" i="32"/>
  <c r="F9" i="32"/>
  <c r="F10" i="32"/>
  <c r="F11" i="32"/>
  <c r="F2" i="32"/>
  <c r="M7" i="31"/>
  <c r="M3" i="31"/>
  <c r="M4" i="31"/>
  <c r="M5" i="31"/>
  <c r="M6" i="31"/>
  <c r="M2" i="31"/>
  <c r="L3" i="31"/>
  <c r="L4" i="31"/>
  <c r="L5" i="31"/>
  <c r="L6" i="31"/>
  <c r="L7" i="31"/>
  <c r="L2" i="31"/>
  <c r="K3" i="31"/>
  <c r="K4" i="31"/>
  <c r="K5" i="31"/>
  <c r="K6" i="31"/>
  <c r="K7" i="31"/>
  <c r="K2" i="31"/>
  <c r="H3" i="31"/>
  <c r="H4" i="31"/>
  <c r="H5" i="31"/>
  <c r="H6" i="31"/>
  <c r="H7" i="31"/>
  <c r="H2" i="31"/>
  <c r="H18" i="30" l="1"/>
  <c r="H17" i="30"/>
  <c r="H16" i="30"/>
  <c r="H4" i="30"/>
  <c r="H5" i="30"/>
  <c r="H6" i="30"/>
  <c r="H7" i="30"/>
  <c r="H8" i="30"/>
  <c r="H9" i="30"/>
  <c r="H10" i="30"/>
  <c r="H11" i="30"/>
  <c r="H12" i="30"/>
  <c r="H3" i="30"/>
  <c r="G18" i="30"/>
  <c r="G17" i="30"/>
  <c r="G16" i="30"/>
  <c r="E4" i="30"/>
  <c r="G4" i="30" s="1"/>
  <c r="E5" i="30"/>
  <c r="G5" i="30" s="1"/>
  <c r="E6" i="30"/>
  <c r="G6" i="30" s="1"/>
  <c r="E7" i="30"/>
  <c r="G7" i="30" s="1"/>
  <c r="E8" i="30"/>
  <c r="G8" i="30" s="1"/>
  <c r="E9" i="30"/>
  <c r="G9" i="30" s="1"/>
  <c r="E10" i="30"/>
  <c r="G10" i="30" s="1"/>
  <c r="E11" i="30"/>
  <c r="G11" i="30" s="1"/>
  <c r="E12" i="30"/>
  <c r="G12" i="30" s="1"/>
  <c r="E3" i="30"/>
  <c r="G3" i="30" s="1"/>
  <c r="D4" i="30"/>
  <c r="D5" i="30"/>
  <c r="D6" i="30"/>
  <c r="D7" i="30"/>
  <c r="D8" i="30"/>
  <c r="D9" i="30"/>
  <c r="D10" i="30"/>
  <c r="D11" i="30"/>
  <c r="D12" i="30"/>
  <c r="D3" i="30"/>
  <c r="C4" i="30"/>
  <c r="C5" i="30"/>
  <c r="C6" i="30"/>
  <c r="C7" i="30"/>
  <c r="C8" i="30"/>
  <c r="C9" i="30"/>
  <c r="C10" i="30"/>
  <c r="C11" i="30"/>
  <c r="C12" i="30"/>
  <c r="C3" i="30"/>
  <c r="I13" i="29"/>
  <c r="I12" i="29"/>
  <c r="I11" i="29"/>
  <c r="H13" i="29"/>
  <c r="H12" i="29"/>
  <c r="H11" i="29"/>
  <c r="I3" i="29"/>
  <c r="I4" i="29"/>
  <c r="I5" i="29"/>
  <c r="I6" i="29"/>
  <c r="I7" i="29"/>
  <c r="I8" i="29"/>
  <c r="I2" i="29"/>
  <c r="H3" i="29"/>
  <c r="H4" i="29"/>
  <c r="H5" i="29"/>
  <c r="H6" i="29"/>
  <c r="H7" i="29"/>
  <c r="H8" i="29"/>
  <c r="H2" i="29"/>
  <c r="G3" i="29"/>
  <c r="G4" i="29"/>
  <c r="G5" i="29"/>
  <c r="G6" i="29"/>
  <c r="G7" i="29"/>
  <c r="G8" i="29"/>
  <c r="G2" i="29"/>
  <c r="F3" i="29"/>
  <c r="F4" i="29"/>
  <c r="F5" i="29"/>
  <c r="F6" i="29"/>
  <c r="F7" i="29"/>
  <c r="F8" i="29"/>
  <c r="F2" i="29"/>
  <c r="K18" i="28"/>
  <c r="K17" i="28"/>
  <c r="K16" i="28"/>
  <c r="K15" i="28"/>
  <c r="K14" i="28"/>
  <c r="D5" i="28"/>
  <c r="D4" i="28"/>
  <c r="D2" i="28"/>
  <c r="D7" i="28"/>
  <c r="D10" i="28"/>
  <c r="D6" i="28"/>
  <c r="D11" i="28"/>
  <c r="D8" i="28"/>
  <c r="D3" i="28"/>
  <c r="D9" i="28"/>
  <c r="H5" i="28"/>
  <c r="J5" i="28" s="1"/>
  <c r="K5" i="28" s="1"/>
  <c r="H4" i="28"/>
  <c r="J4" i="28" s="1"/>
  <c r="K4" i="28" s="1"/>
  <c r="H2" i="28"/>
  <c r="J2" i="28" s="1"/>
  <c r="K2" i="28" s="1"/>
  <c r="H7" i="28"/>
  <c r="J7" i="28" s="1"/>
  <c r="K7" i="28" s="1"/>
  <c r="H10" i="28"/>
  <c r="J10" i="28" s="1"/>
  <c r="K10" i="28" s="1"/>
  <c r="H6" i="28"/>
  <c r="J6" i="28" s="1"/>
  <c r="K6" i="28" s="1"/>
  <c r="H11" i="28"/>
  <c r="J11" i="28" s="1"/>
  <c r="K11" i="28" s="1"/>
  <c r="H8" i="28"/>
  <c r="J8" i="28" s="1"/>
  <c r="K8" i="28" s="1"/>
  <c r="H3" i="28"/>
  <c r="J3" i="28" s="1"/>
  <c r="K3" i="28" s="1"/>
  <c r="H9" i="28"/>
  <c r="J9" i="28" s="1"/>
  <c r="K9" i="28" s="1"/>
  <c r="I9" i="28" l="1"/>
  <c r="I8" i="28"/>
  <c r="I6" i="28"/>
  <c r="I7" i="28"/>
  <c r="I4" i="28"/>
  <c r="I3" i="28"/>
  <c r="I11" i="28"/>
  <c r="I10" i="28"/>
  <c r="I2" i="28"/>
  <c r="I5" i="28"/>
  <c r="K4" i="27"/>
  <c r="K5" i="27"/>
  <c r="K6" i="27"/>
  <c r="K7" i="27"/>
  <c r="K8" i="27"/>
  <c r="K9" i="27"/>
  <c r="K10" i="27"/>
  <c r="K11" i="27"/>
  <c r="K12" i="27"/>
  <c r="K13" i="27"/>
  <c r="K14" i="27"/>
  <c r="K15" i="27"/>
  <c r="K16" i="27"/>
  <c r="K17" i="27"/>
  <c r="K3" i="27"/>
  <c r="J4" i="27"/>
  <c r="J5" i="27"/>
  <c r="J6" i="27"/>
  <c r="J7" i="27"/>
  <c r="J8" i="27"/>
  <c r="J9" i="27"/>
  <c r="J10" i="27"/>
  <c r="J11" i="27"/>
  <c r="J12" i="27"/>
  <c r="J13" i="27"/>
  <c r="J14" i="27"/>
  <c r="J15" i="27"/>
  <c r="J16" i="27"/>
  <c r="J17" i="27"/>
  <c r="J3" i="27"/>
  <c r="I4" i="27"/>
  <c r="I5" i="27"/>
  <c r="I6" i="27"/>
  <c r="I7" i="27"/>
  <c r="I8" i="27"/>
  <c r="I9" i="27"/>
  <c r="I10" i="27"/>
  <c r="I11" i="27"/>
  <c r="I12" i="27"/>
  <c r="I13" i="27"/>
  <c r="I14" i="27"/>
  <c r="I15" i="27"/>
  <c r="I16" i="27"/>
  <c r="I17" i="27"/>
  <c r="I3" i="27"/>
  <c r="H4" i="27"/>
  <c r="H5" i="27"/>
  <c r="H6" i="27"/>
  <c r="H7" i="27"/>
  <c r="H8" i="27"/>
  <c r="H9" i="27"/>
  <c r="H10" i="27"/>
  <c r="H11" i="27"/>
  <c r="H12" i="27"/>
  <c r="H13" i="27"/>
  <c r="H14" i="27"/>
  <c r="H15" i="27"/>
  <c r="H16" i="27"/>
  <c r="H17" i="27"/>
  <c r="H3" i="27"/>
  <c r="G4" i="27"/>
  <c r="G5" i="27"/>
  <c r="G6" i="27"/>
  <c r="G7" i="27"/>
  <c r="G8" i="27"/>
  <c r="G9" i="27"/>
  <c r="G10" i="27"/>
  <c r="G11" i="27"/>
  <c r="G12" i="27"/>
  <c r="G13" i="27"/>
  <c r="G14" i="27"/>
  <c r="G15" i="27"/>
  <c r="G16" i="27"/>
  <c r="G17" i="27"/>
  <c r="G3" i="27"/>
  <c r="E4" i="27"/>
  <c r="E5" i="27"/>
  <c r="E6" i="27"/>
  <c r="E7" i="27"/>
  <c r="E8" i="27"/>
  <c r="E9" i="27"/>
  <c r="E10" i="27"/>
  <c r="E11" i="27"/>
  <c r="E12" i="27"/>
  <c r="E13" i="27"/>
  <c r="E14" i="27"/>
  <c r="E15" i="27"/>
  <c r="E16" i="27"/>
  <c r="E17" i="27"/>
  <c r="E3" i="27"/>
  <c r="J5" i="26"/>
  <c r="J6" i="26"/>
  <c r="J7" i="26"/>
  <c r="J8" i="26"/>
  <c r="J9" i="26"/>
  <c r="J10" i="26"/>
  <c r="J11" i="26"/>
  <c r="J12" i="26"/>
  <c r="J13" i="26"/>
  <c r="J4" i="26"/>
  <c r="I5" i="26"/>
  <c r="I6" i="26"/>
  <c r="I7" i="26"/>
  <c r="I8" i="26"/>
  <c r="I9" i="26"/>
  <c r="I10" i="26"/>
  <c r="I11" i="26"/>
  <c r="I12" i="26"/>
  <c r="I13" i="26"/>
  <c r="I4" i="26"/>
  <c r="H5" i="26"/>
  <c r="H6" i="26"/>
  <c r="H7" i="26"/>
  <c r="H8" i="26"/>
  <c r="H9" i="26"/>
  <c r="H10" i="26"/>
  <c r="H11" i="26"/>
  <c r="H12" i="26"/>
  <c r="H13" i="26"/>
  <c r="H4" i="26"/>
  <c r="G5" i="26"/>
  <c r="G6" i="26"/>
  <c r="G7" i="26"/>
  <c r="G8" i="26"/>
  <c r="G9" i="26"/>
  <c r="G10" i="26"/>
  <c r="G11" i="26"/>
  <c r="G12" i="26"/>
  <c r="G13" i="26"/>
  <c r="G4" i="26"/>
  <c r="C5" i="26"/>
  <c r="C6" i="26"/>
  <c r="C7" i="26"/>
  <c r="C8" i="26"/>
  <c r="C9" i="26"/>
  <c r="C10" i="26"/>
  <c r="C11" i="26"/>
  <c r="C12" i="26"/>
  <c r="C13" i="26"/>
  <c r="C4" i="26"/>
  <c r="J22" i="25" l="1"/>
  <c r="I7" i="25"/>
  <c r="J7" i="25" s="1"/>
  <c r="K7" i="25" s="1"/>
  <c r="I5" i="25"/>
  <c r="J5" i="25" s="1"/>
  <c r="K5" i="25" s="1"/>
  <c r="I10" i="25"/>
  <c r="J10" i="25" s="1"/>
  <c r="K10" i="25" s="1"/>
  <c r="I8" i="25"/>
  <c r="J8" i="25" s="1"/>
  <c r="K8" i="25" s="1"/>
  <c r="I9" i="25"/>
  <c r="J9" i="25" s="1"/>
  <c r="K9" i="25" s="1"/>
  <c r="I11" i="25"/>
  <c r="J11" i="25" s="1"/>
  <c r="K11" i="25" s="1"/>
  <c r="I12" i="25"/>
  <c r="J12" i="25" s="1"/>
  <c r="K12" i="25" s="1"/>
  <c r="I13" i="25"/>
  <c r="J13" i="25" s="1"/>
  <c r="K13" i="25" s="1"/>
  <c r="I16" i="25"/>
  <c r="J16" i="25" s="1"/>
  <c r="K16" i="25" s="1"/>
  <c r="I14" i="25"/>
  <c r="J14" i="25" s="1"/>
  <c r="K14" i="25" s="1"/>
  <c r="I17" i="25"/>
  <c r="J17" i="25" s="1"/>
  <c r="K17" i="25" s="1"/>
  <c r="I15" i="25"/>
  <c r="J15" i="25" s="1"/>
  <c r="K15" i="25" s="1"/>
  <c r="I18" i="25"/>
  <c r="J18" i="25" s="1"/>
  <c r="K18" i="25" s="1"/>
  <c r="I19" i="25"/>
  <c r="J19" i="25" s="1"/>
  <c r="K19" i="25" s="1"/>
  <c r="I6" i="25"/>
  <c r="J6" i="25" s="1"/>
  <c r="K6" i="25" s="1"/>
  <c r="H18" i="24"/>
  <c r="I18" i="24"/>
  <c r="G18" i="24"/>
  <c r="I7" i="24"/>
  <c r="I8" i="24"/>
  <c r="I9" i="24"/>
  <c r="I10" i="24"/>
  <c r="I11" i="24"/>
  <c r="I12" i="24"/>
  <c r="I13" i="24"/>
  <c r="I14" i="24"/>
  <c r="I15" i="24"/>
  <c r="I16" i="24"/>
  <c r="I17" i="24"/>
  <c r="I6" i="24"/>
  <c r="H7" i="24"/>
  <c r="H8" i="24"/>
  <c r="H9" i="24"/>
  <c r="H10" i="24"/>
  <c r="H11" i="24"/>
  <c r="H12" i="24"/>
  <c r="H13" i="24"/>
  <c r="H14" i="24"/>
  <c r="H15" i="24"/>
  <c r="H16" i="24"/>
  <c r="H17" i="24"/>
  <c r="H6" i="24"/>
  <c r="G7" i="24"/>
  <c r="G8" i="24"/>
  <c r="G9" i="24"/>
  <c r="G10" i="24"/>
  <c r="G11" i="24"/>
  <c r="G12" i="24"/>
  <c r="G13" i="24"/>
  <c r="G14" i="24"/>
  <c r="G15" i="24"/>
  <c r="G16" i="24"/>
  <c r="G17" i="24"/>
  <c r="G6" i="24"/>
  <c r="M14" i="23"/>
  <c r="M13" i="23"/>
  <c r="M12" i="23"/>
  <c r="M11" i="23"/>
  <c r="M10" i="23"/>
  <c r="M9" i="23"/>
  <c r="M8" i="23"/>
  <c r="M7" i="23"/>
  <c r="M6" i="23"/>
  <c r="M5" i="23"/>
  <c r="M4" i="23"/>
  <c r="G16" i="23"/>
  <c r="D16" i="23"/>
  <c r="J5" i="23"/>
  <c r="J6" i="23"/>
  <c r="J7" i="23"/>
  <c r="J8" i="23"/>
  <c r="J9" i="23"/>
  <c r="J10" i="23"/>
  <c r="J11" i="23"/>
  <c r="J12" i="23"/>
  <c r="J13" i="23"/>
  <c r="J4" i="23"/>
  <c r="I5" i="23"/>
  <c r="I6" i="23"/>
  <c r="I7" i="23"/>
  <c r="I8" i="23"/>
  <c r="I9" i="23"/>
  <c r="I10" i="23"/>
  <c r="I11" i="23"/>
  <c r="I12" i="23"/>
  <c r="I13" i="23"/>
  <c r="I4" i="23"/>
  <c r="H5" i="23"/>
  <c r="H6" i="23"/>
  <c r="H7" i="23"/>
  <c r="H8" i="23"/>
  <c r="H9" i="23"/>
  <c r="H10" i="23"/>
  <c r="H11" i="23"/>
  <c r="H12" i="23"/>
  <c r="H13" i="23"/>
  <c r="H4" i="23"/>
  <c r="G5" i="23"/>
  <c r="G6" i="23"/>
  <c r="G7" i="23"/>
  <c r="G8" i="23"/>
  <c r="G9" i="23"/>
  <c r="G10" i="23"/>
  <c r="G11" i="23"/>
  <c r="G12" i="23"/>
  <c r="G13" i="23"/>
  <c r="G4" i="23"/>
  <c r="F5" i="23"/>
  <c r="F6" i="23"/>
  <c r="F7" i="23"/>
  <c r="F8" i="23"/>
  <c r="F9" i="23"/>
  <c r="F10" i="23"/>
  <c r="F11" i="23"/>
  <c r="F12" i="23"/>
  <c r="F13" i="23"/>
  <c r="F4" i="23"/>
  <c r="F15" i="22"/>
  <c r="G15" i="22"/>
  <c r="H15" i="22"/>
  <c r="I15" i="22"/>
  <c r="J15" i="22"/>
  <c r="E15" i="22"/>
  <c r="F14" i="22"/>
  <c r="G14" i="22"/>
  <c r="H14" i="22"/>
  <c r="I14" i="22"/>
  <c r="J14" i="22"/>
  <c r="E14" i="22"/>
  <c r="F13" i="22"/>
  <c r="G13" i="22"/>
  <c r="H13" i="22"/>
  <c r="I13" i="22"/>
  <c r="J13" i="22"/>
  <c r="E13" i="22"/>
  <c r="K4" i="22"/>
  <c r="K5" i="22"/>
  <c r="K6" i="22"/>
  <c r="K7" i="22"/>
  <c r="K8" i="22"/>
  <c r="K9" i="22"/>
  <c r="K10" i="22"/>
  <c r="K11" i="22"/>
  <c r="K12" i="22"/>
  <c r="K3" i="22"/>
  <c r="J4" i="22"/>
  <c r="J5" i="22"/>
  <c r="J6" i="22"/>
  <c r="J7" i="22"/>
  <c r="J8" i="22"/>
  <c r="J9" i="22"/>
  <c r="J10" i="22"/>
  <c r="J11" i="22"/>
  <c r="J12" i="22"/>
  <c r="J3" i="22"/>
  <c r="I4" i="22"/>
  <c r="I5" i="22"/>
  <c r="I6" i="22"/>
  <c r="I7" i="22"/>
  <c r="I8" i="22"/>
  <c r="I9" i="22"/>
  <c r="I10" i="22"/>
  <c r="I11" i="22"/>
  <c r="I12" i="22"/>
  <c r="I3" i="22"/>
  <c r="H4" i="22"/>
  <c r="H5" i="22"/>
  <c r="H6" i="22"/>
  <c r="H7" i="22"/>
  <c r="H8" i="22"/>
  <c r="H9" i="22"/>
  <c r="H10" i="22"/>
  <c r="H11" i="22"/>
  <c r="H12" i="22"/>
  <c r="H3" i="22"/>
  <c r="F5" i="21"/>
  <c r="G5" i="21" s="1"/>
  <c r="F6" i="21"/>
  <c r="G6" i="21" s="1"/>
  <c r="F7" i="21"/>
  <c r="G7" i="21" s="1"/>
  <c r="F8" i="21"/>
  <c r="G8" i="21" s="1"/>
  <c r="F9" i="21"/>
  <c r="G9" i="21" s="1"/>
  <c r="F10" i="21"/>
  <c r="G10" i="21" s="1"/>
  <c r="F11" i="21"/>
  <c r="G11" i="21" s="1"/>
  <c r="F12" i="21"/>
  <c r="G12" i="21" s="1"/>
  <c r="F13" i="21"/>
  <c r="G13" i="21" s="1"/>
  <c r="F4" i="21"/>
  <c r="G4" i="21" s="1"/>
  <c r="E5" i="21"/>
  <c r="E6" i="21"/>
  <c r="E7" i="21"/>
  <c r="E8" i="21"/>
  <c r="E9" i="21"/>
  <c r="E10" i="21"/>
  <c r="E11" i="21"/>
  <c r="E12" i="21"/>
  <c r="E13" i="21"/>
  <c r="E4" i="21"/>
  <c r="J15" i="20" l="1"/>
  <c r="K15" i="20"/>
  <c r="L15" i="20"/>
  <c r="M15" i="20"/>
  <c r="I15" i="20"/>
  <c r="M5" i="20"/>
  <c r="M6" i="20"/>
  <c r="M7" i="20"/>
  <c r="M8" i="20"/>
  <c r="M9" i="20"/>
  <c r="M10" i="20"/>
  <c r="M11" i="20"/>
  <c r="M12" i="20"/>
  <c r="M13" i="20"/>
  <c r="M14" i="20"/>
  <c r="M4" i="20"/>
  <c r="K5" i="20"/>
  <c r="K6" i="20"/>
  <c r="K7" i="20"/>
  <c r="K8" i="20"/>
  <c r="K9" i="20"/>
  <c r="K10" i="20"/>
  <c r="K11" i="20"/>
  <c r="K12" i="20"/>
  <c r="K13" i="20"/>
  <c r="K14" i="20"/>
  <c r="K4" i="20"/>
  <c r="J5" i="20"/>
  <c r="J6" i="20"/>
  <c r="J7" i="20"/>
  <c r="J8" i="20"/>
  <c r="J9" i="20"/>
  <c r="J10" i="20"/>
  <c r="J11" i="20"/>
  <c r="J12" i="20"/>
  <c r="J13" i="20"/>
  <c r="J14" i="20"/>
  <c r="J4" i="20"/>
  <c r="I5" i="20"/>
  <c r="I6" i="20"/>
  <c r="I7" i="20"/>
  <c r="I8" i="20"/>
  <c r="I9" i="20"/>
  <c r="I10" i="20"/>
  <c r="I11" i="20"/>
  <c r="I12" i="20"/>
  <c r="I13" i="20"/>
  <c r="I14" i="20"/>
  <c r="I4" i="20"/>
  <c r="H5" i="20"/>
  <c r="H6" i="20"/>
  <c r="H7" i="20"/>
  <c r="H8" i="20"/>
  <c r="H9" i="20"/>
  <c r="H10" i="20"/>
  <c r="H11" i="20"/>
  <c r="H12" i="20"/>
  <c r="H13" i="20"/>
  <c r="H14" i="20"/>
  <c r="H4" i="20"/>
  <c r="I13" i="18"/>
  <c r="J13" i="18"/>
  <c r="K13" i="18"/>
  <c r="H13" i="18"/>
  <c r="K4" i="18"/>
  <c r="K5" i="18"/>
  <c r="K6" i="18"/>
  <c r="K7" i="18"/>
  <c r="K8" i="18"/>
  <c r="K9" i="18"/>
  <c r="K10" i="18"/>
  <c r="K11" i="18"/>
  <c r="K12" i="18"/>
  <c r="K3" i="18"/>
  <c r="J4" i="18"/>
  <c r="J5" i="18"/>
  <c r="J6" i="18"/>
  <c r="J7" i="18"/>
  <c r="J8" i="18"/>
  <c r="J9" i="18"/>
  <c r="J10" i="18"/>
  <c r="J11" i="18"/>
  <c r="J12" i="18"/>
  <c r="J3" i="18"/>
  <c r="I4" i="18"/>
  <c r="I5" i="18"/>
  <c r="I6" i="18"/>
  <c r="I7" i="18"/>
  <c r="I8" i="18"/>
  <c r="I9" i="18"/>
  <c r="I10" i="18"/>
  <c r="I11" i="18"/>
  <c r="I12" i="18"/>
  <c r="I3" i="18"/>
  <c r="H4" i="18"/>
  <c r="H5" i="18"/>
  <c r="H6" i="18"/>
  <c r="H7" i="18"/>
  <c r="H8" i="18"/>
  <c r="H9" i="18"/>
  <c r="H10" i="18"/>
  <c r="H11" i="18"/>
  <c r="H12" i="18"/>
  <c r="H3" i="18"/>
  <c r="G4" i="18"/>
  <c r="G5" i="18"/>
  <c r="G6" i="18"/>
  <c r="G7" i="18"/>
  <c r="G8" i="18"/>
  <c r="G9" i="18"/>
  <c r="G10" i="18"/>
  <c r="G11" i="18"/>
  <c r="G12" i="18"/>
  <c r="G3" i="18"/>
  <c r="T3" i="93" l="1"/>
  <c r="T4" i="93"/>
  <c r="T5" i="93"/>
  <c r="T6" i="93"/>
  <c r="T7" i="93"/>
  <c r="T8" i="93"/>
  <c r="T9" i="93"/>
  <c r="T10" i="93"/>
  <c r="T11" i="93"/>
  <c r="T12" i="93"/>
  <c r="T13" i="93"/>
  <c r="T14" i="93"/>
  <c r="T15" i="93"/>
  <c r="T16" i="93"/>
  <c r="T17" i="93"/>
  <c r="T18" i="93"/>
  <c r="T19" i="93"/>
  <c r="T20" i="93"/>
  <c r="T21" i="93"/>
  <c r="T22" i="93"/>
  <c r="T23" i="93"/>
  <c r="T24" i="93"/>
  <c r="T25" i="93"/>
  <c r="T26" i="93"/>
  <c r="T27" i="93"/>
  <c r="T28" i="93"/>
  <c r="T2" i="93"/>
  <c r="H4" i="94"/>
  <c r="H5" i="94"/>
  <c r="H6" i="94"/>
  <c r="H7" i="94"/>
  <c r="H8" i="94"/>
  <c r="H3" i="94"/>
  <c r="G4" i="94"/>
  <c r="G5" i="94"/>
  <c r="G6" i="94"/>
  <c r="G7" i="94"/>
  <c r="G8" i="94"/>
  <c r="G3" i="94"/>
  <c r="F13" i="17"/>
  <c r="I4" i="17"/>
  <c r="I5" i="17"/>
  <c r="I6" i="17"/>
  <c r="I7" i="17"/>
  <c r="I8" i="17"/>
  <c r="I9" i="17"/>
  <c r="I10" i="17"/>
  <c r="I11" i="17"/>
  <c r="I12" i="17"/>
  <c r="I3" i="17"/>
  <c r="H4" i="17"/>
  <c r="H5" i="17"/>
  <c r="H6" i="17"/>
  <c r="H7" i="17"/>
  <c r="H8" i="17"/>
  <c r="H9" i="17"/>
  <c r="H10" i="17"/>
  <c r="H11" i="17"/>
  <c r="H12" i="17"/>
  <c r="H3" i="17"/>
  <c r="F4" i="17"/>
  <c r="F5" i="17"/>
  <c r="F6" i="17"/>
  <c r="F7" i="17"/>
  <c r="F8" i="17"/>
  <c r="F9" i="17"/>
  <c r="F10" i="17"/>
  <c r="F11" i="17"/>
  <c r="F12" i="17"/>
  <c r="F3" i="17"/>
  <c r="D4" i="17"/>
  <c r="D5" i="17"/>
  <c r="D6" i="17"/>
  <c r="D7" i="17"/>
  <c r="D8" i="17"/>
  <c r="D9" i="17"/>
  <c r="D10" i="17"/>
  <c r="D11" i="17"/>
  <c r="D12" i="17"/>
  <c r="D3" i="17"/>
  <c r="K17" i="16"/>
  <c r="K6" i="16"/>
  <c r="K7" i="16"/>
  <c r="K8" i="16"/>
  <c r="K9" i="16"/>
  <c r="K10" i="16"/>
  <c r="K11" i="16"/>
  <c r="K12" i="16"/>
  <c r="K13" i="16"/>
  <c r="K14" i="16"/>
  <c r="K15" i="16"/>
  <c r="K16" i="16"/>
  <c r="K5" i="16"/>
  <c r="J17" i="16"/>
  <c r="I17" i="16"/>
  <c r="G17" i="16"/>
  <c r="E17" i="16"/>
  <c r="J6" i="16"/>
  <c r="J7" i="16"/>
  <c r="J8" i="16"/>
  <c r="J9" i="16"/>
  <c r="J10" i="16"/>
  <c r="J11" i="16"/>
  <c r="J12" i="16"/>
  <c r="J13" i="16"/>
  <c r="J14" i="16"/>
  <c r="J15" i="16"/>
  <c r="J16" i="16"/>
  <c r="J5" i="16"/>
  <c r="I6" i="16"/>
  <c r="I7" i="16"/>
  <c r="I8" i="16"/>
  <c r="I9" i="16"/>
  <c r="I10" i="16"/>
  <c r="I11" i="16"/>
  <c r="I12" i="16"/>
  <c r="I13" i="16"/>
  <c r="I14" i="16"/>
  <c r="I15" i="16"/>
  <c r="I16" i="16"/>
  <c r="I5" i="16"/>
  <c r="G6" i="16"/>
  <c r="G7" i="16"/>
  <c r="G8" i="16"/>
  <c r="G9" i="16"/>
  <c r="G10" i="16"/>
  <c r="G11" i="16"/>
  <c r="G12" i="16"/>
  <c r="G13" i="16"/>
  <c r="G14" i="16"/>
  <c r="G15" i="16"/>
  <c r="G16" i="16"/>
  <c r="G5" i="16"/>
  <c r="E6" i="16"/>
  <c r="E7" i="16"/>
  <c r="E8" i="16"/>
  <c r="E9" i="16"/>
  <c r="E10" i="16"/>
  <c r="E11" i="16"/>
  <c r="E12" i="16"/>
  <c r="E13" i="16"/>
  <c r="E14" i="16"/>
  <c r="E15" i="16"/>
  <c r="E16" i="16"/>
  <c r="E5" i="16"/>
  <c r="H5" i="15"/>
  <c r="I4" i="15" s="1"/>
  <c r="H6" i="15"/>
  <c r="I7" i="15" s="1"/>
  <c r="H3" i="15"/>
  <c r="I5" i="15" s="1"/>
  <c r="H7" i="15"/>
  <c r="I3" i="15" s="1"/>
  <c r="H4" i="15"/>
  <c r="I6" i="15" s="1"/>
  <c r="G5" i="15"/>
  <c r="G6" i="15"/>
  <c r="G3" i="15"/>
  <c r="G7" i="15"/>
  <c r="G4" i="15"/>
  <c r="L4" i="14"/>
  <c r="L5" i="14"/>
  <c r="L6" i="14"/>
  <c r="L7" i="14"/>
  <c r="L8" i="14"/>
  <c r="L3" i="14"/>
  <c r="J4" i="14"/>
  <c r="J5" i="14"/>
  <c r="J6" i="14"/>
  <c r="J7" i="14"/>
  <c r="J8" i="14"/>
  <c r="J3" i="14"/>
  <c r="K4" i="14"/>
  <c r="K5" i="14"/>
  <c r="K6" i="14"/>
  <c r="K7" i="14"/>
  <c r="K8" i="14"/>
  <c r="K3" i="14"/>
  <c r="G11" i="13"/>
  <c r="G9" i="13"/>
  <c r="G8" i="13"/>
  <c r="G7" i="13"/>
  <c r="G6" i="13"/>
  <c r="G10" i="13"/>
  <c r="H21" i="12" l="1"/>
  <c r="H20" i="12"/>
  <c r="H19" i="12"/>
  <c r="H18" i="12"/>
  <c r="H17" i="12"/>
  <c r="H6" i="12"/>
  <c r="H7" i="12"/>
  <c r="H8" i="12"/>
  <c r="H9" i="12"/>
  <c r="H10" i="12"/>
  <c r="H11" i="12"/>
  <c r="H12" i="12"/>
  <c r="H13" i="12"/>
  <c r="H14" i="12"/>
  <c r="H15" i="12"/>
  <c r="H16" i="12"/>
  <c r="H5" i="12"/>
  <c r="G21" i="12"/>
  <c r="G20" i="12"/>
  <c r="G19" i="12"/>
  <c r="G18" i="12"/>
  <c r="G6" i="12"/>
  <c r="G7" i="12"/>
  <c r="G8" i="12"/>
  <c r="G9" i="12"/>
  <c r="G10" i="12"/>
  <c r="G11" i="12"/>
  <c r="G12" i="12"/>
  <c r="G13" i="12"/>
  <c r="G14" i="12"/>
  <c r="G15" i="12"/>
  <c r="G16" i="12"/>
  <c r="G17" i="12"/>
  <c r="G5" i="12"/>
  <c r="F21" i="12"/>
  <c r="F20" i="12"/>
  <c r="F19" i="12"/>
  <c r="F18" i="12"/>
  <c r="F6" i="12"/>
  <c r="F7" i="12"/>
  <c r="F8" i="12"/>
  <c r="F9" i="12"/>
  <c r="F10" i="12"/>
  <c r="F11" i="12"/>
  <c r="F12" i="12"/>
  <c r="F13" i="12"/>
  <c r="F14" i="12"/>
  <c r="F15" i="12"/>
  <c r="F16" i="12"/>
  <c r="F17" i="12"/>
  <c r="F5" i="12"/>
  <c r="E21" i="12"/>
  <c r="E20" i="12"/>
  <c r="E19" i="12"/>
  <c r="E6" i="12"/>
  <c r="E7" i="12"/>
  <c r="E8" i="12"/>
  <c r="E9" i="12"/>
  <c r="E10" i="12"/>
  <c r="E11" i="12"/>
  <c r="E12" i="12"/>
  <c r="E13" i="12"/>
  <c r="E14" i="12"/>
  <c r="E15" i="12"/>
  <c r="E16" i="12"/>
  <c r="E17" i="12"/>
  <c r="E5" i="12"/>
  <c r="D21" i="12"/>
  <c r="D20" i="12"/>
  <c r="D19" i="12"/>
  <c r="D6" i="12"/>
  <c r="D7" i="12"/>
  <c r="D8" i="12"/>
  <c r="D9" i="12"/>
  <c r="D10" i="12"/>
  <c r="D11" i="12"/>
  <c r="D12" i="12"/>
  <c r="D13" i="12"/>
  <c r="D14" i="12"/>
  <c r="D15" i="12"/>
  <c r="D16" i="12"/>
  <c r="D17" i="12"/>
  <c r="D5" i="12"/>
  <c r="H4" i="11"/>
  <c r="H5" i="11"/>
  <c r="H6" i="11"/>
  <c r="H7" i="11"/>
  <c r="H8" i="11"/>
  <c r="H9" i="11"/>
  <c r="H10" i="11"/>
  <c r="H11" i="11"/>
  <c r="H3" i="11"/>
  <c r="G4" i="11"/>
  <c r="G5" i="11"/>
  <c r="G6" i="11"/>
  <c r="G7" i="11"/>
  <c r="G8" i="11"/>
  <c r="G9" i="11"/>
  <c r="G10" i="11"/>
  <c r="G11" i="11"/>
  <c r="G3" i="11"/>
  <c r="F4" i="11"/>
  <c r="F5" i="11"/>
  <c r="F6" i="11"/>
  <c r="F7" i="11"/>
  <c r="F8" i="11"/>
  <c r="F9" i="11"/>
  <c r="F10" i="11"/>
  <c r="F11" i="11"/>
  <c r="F3" i="11"/>
  <c r="E4" i="10" l="1"/>
  <c r="E5" i="10"/>
  <c r="E6" i="10"/>
  <c r="E7" i="10"/>
  <c r="E8" i="10"/>
  <c r="E9" i="10"/>
  <c r="E10" i="10"/>
  <c r="E3" i="10"/>
  <c r="C4" i="10"/>
  <c r="C5" i="10"/>
  <c r="C6" i="10"/>
  <c r="C7" i="10"/>
  <c r="C8" i="10"/>
  <c r="C9" i="10"/>
  <c r="C10" i="10"/>
  <c r="C3" i="10"/>
  <c r="K15" i="8"/>
  <c r="K4" i="8"/>
  <c r="K17" i="8"/>
  <c r="K18" i="8"/>
  <c r="K19" i="8"/>
  <c r="K20" i="8"/>
  <c r="K21" i="8"/>
  <c r="K22" i="8"/>
  <c r="K23" i="8"/>
  <c r="K24" i="8"/>
  <c r="K25" i="8"/>
  <c r="K16" i="8"/>
  <c r="K6" i="8"/>
  <c r="K7" i="8"/>
  <c r="K8" i="8"/>
  <c r="K9" i="8"/>
  <c r="K10" i="8"/>
  <c r="K11" i="8"/>
  <c r="K12" i="8"/>
  <c r="K13" i="8"/>
  <c r="K14" i="8"/>
  <c r="K5" i="8"/>
  <c r="I26" i="8"/>
  <c r="I15" i="8"/>
  <c r="I4" i="8"/>
  <c r="I17" i="8"/>
  <c r="I18" i="8"/>
  <c r="I19" i="8"/>
  <c r="I20" i="8"/>
  <c r="I21" i="8"/>
  <c r="I22" i="8"/>
  <c r="I23" i="8"/>
  <c r="I24" i="8"/>
  <c r="I25" i="8"/>
  <c r="I16" i="8"/>
  <c r="I6" i="8"/>
  <c r="I7" i="8"/>
  <c r="I8" i="8"/>
  <c r="I9" i="8"/>
  <c r="I10" i="8"/>
  <c r="I11" i="8"/>
  <c r="I12" i="8"/>
  <c r="I13" i="8"/>
  <c r="I14" i="8"/>
  <c r="I5" i="8"/>
  <c r="F26" i="8"/>
  <c r="F15" i="8"/>
  <c r="F4" i="8"/>
  <c r="F17" i="8"/>
  <c r="F18" i="8"/>
  <c r="F19" i="8"/>
  <c r="F20" i="8"/>
  <c r="F21" i="8"/>
  <c r="F22" i="8"/>
  <c r="F23" i="8"/>
  <c r="F24" i="8"/>
  <c r="F25" i="8"/>
  <c r="F16" i="8"/>
  <c r="F6" i="8"/>
  <c r="F7" i="8"/>
  <c r="F8" i="8"/>
  <c r="F9" i="8"/>
  <c r="F10" i="8"/>
  <c r="F11" i="8"/>
  <c r="F12" i="8"/>
  <c r="F13" i="8"/>
  <c r="F14" i="8"/>
  <c r="F5" i="8"/>
  <c r="N13" i="9"/>
  <c r="L13" i="9"/>
  <c r="M13" i="9"/>
  <c r="K13" i="9"/>
  <c r="J13" i="9"/>
  <c r="I13" i="9"/>
  <c r="N6" i="9"/>
  <c r="N7" i="9"/>
  <c r="N8" i="9"/>
  <c r="N9" i="9"/>
  <c r="N10" i="9"/>
  <c r="N11" i="9"/>
  <c r="N12" i="9"/>
  <c r="N5" i="9"/>
  <c r="K6" i="9"/>
  <c r="K7" i="9"/>
  <c r="K8" i="9"/>
  <c r="K9" i="9"/>
  <c r="K10" i="9"/>
  <c r="K11" i="9"/>
  <c r="K12" i="9"/>
  <c r="K5" i="9"/>
  <c r="M6" i="9"/>
  <c r="M7" i="9"/>
  <c r="M8" i="9"/>
  <c r="M9" i="9"/>
  <c r="M10" i="9"/>
  <c r="M11" i="9"/>
  <c r="M12" i="9"/>
  <c r="M5" i="9"/>
  <c r="L6" i="9" l="1"/>
  <c r="L7" i="9"/>
  <c r="L8" i="9"/>
  <c r="L9" i="9"/>
  <c r="L10" i="9"/>
  <c r="L11" i="9"/>
  <c r="L12" i="9"/>
  <c r="L5" i="9"/>
  <c r="J6" i="9"/>
  <c r="J7" i="9"/>
  <c r="J8" i="9"/>
  <c r="J9" i="9"/>
  <c r="J10" i="9"/>
  <c r="J11" i="9"/>
  <c r="J12" i="9"/>
  <c r="J5" i="9"/>
  <c r="I6" i="9"/>
  <c r="I7" i="9"/>
  <c r="I8" i="9"/>
  <c r="I9" i="9"/>
  <c r="I10" i="9"/>
  <c r="I11" i="9"/>
  <c r="I12" i="9"/>
  <c r="I5" i="9"/>
  <c r="H6" i="9"/>
  <c r="H7" i="9"/>
  <c r="H8" i="9"/>
  <c r="H9" i="9"/>
  <c r="H10" i="9"/>
  <c r="H11" i="9"/>
  <c r="H12" i="9"/>
  <c r="H5" i="9"/>
  <c r="G6" i="7"/>
  <c r="G7" i="7"/>
  <c r="G8" i="7"/>
  <c r="G9" i="7"/>
  <c r="G10" i="7"/>
  <c r="G11" i="7"/>
  <c r="G12" i="7"/>
  <c r="G13" i="7"/>
  <c r="G14" i="7"/>
  <c r="G15" i="7"/>
  <c r="G16" i="7"/>
  <c r="G17" i="7"/>
  <c r="G18" i="7"/>
  <c r="G19" i="7"/>
  <c r="G20" i="7"/>
  <c r="G21" i="7"/>
  <c r="G22" i="7"/>
  <c r="G23" i="7"/>
  <c r="G24" i="7"/>
  <c r="G25" i="7"/>
  <c r="G5" i="7"/>
  <c r="E4" i="5"/>
  <c r="E5" i="5"/>
  <c r="E6" i="5"/>
  <c r="E7" i="5"/>
  <c r="E8" i="5"/>
  <c r="E3" i="5"/>
  <c r="C4" i="5"/>
  <c r="C5" i="5"/>
  <c r="C6" i="5"/>
  <c r="C7" i="5"/>
  <c r="C8" i="5"/>
  <c r="C3" i="5"/>
  <c r="F5" i="4"/>
  <c r="F6" i="4"/>
  <c r="F7" i="4"/>
  <c r="F8" i="4"/>
  <c r="F9" i="4"/>
  <c r="F4" i="4"/>
  <c r="B5" i="3"/>
  <c r="B4" i="3"/>
  <c r="I4" i="2"/>
  <c r="H4" i="2"/>
  <c r="F5" i="2"/>
  <c r="F6" i="2"/>
  <c r="F7" i="2"/>
  <c r="F8" i="2"/>
  <c r="F9" i="2"/>
  <c r="F10" i="2"/>
  <c r="F11" i="2"/>
  <c r="F12" i="2"/>
  <c r="F4" i="2"/>
  <c r="F12" i="6"/>
  <c r="G12" i="6"/>
  <c r="E12" i="6"/>
  <c r="G5" i="6"/>
  <c r="G6" i="6"/>
  <c r="G7" i="6"/>
  <c r="G8" i="6"/>
  <c r="G9" i="6"/>
  <c r="G10" i="6"/>
  <c r="G11" i="6"/>
  <c r="G4" i="6"/>
  <c r="F5" i="6"/>
  <c r="F6" i="6"/>
  <c r="F7" i="6"/>
  <c r="F8" i="6"/>
  <c r="F9" i="6"/>
  <c r="F10" i="6"/>
  <c r="F11" i="6"/>
  <c r="F4" i="6"/>
  <c r="E5" i="6"/>
  <c r="E6" i="6"/>
  <c r="E7" i="6"/>
  <c r="E8" i="6"/>
  <c r="E9" i="6"/>
  <c r="E10" i="6"/>
  <c r="E11" i="6"/>
  <c r="E4" i="6"/>
  <c r="C8" i="1"/>
  <c r="C7" i="1"/>
  <c r="C6" i="1"/>
  <c r="C5" i="1"/>
  <c r="C4" i="1"/>
  <c r="C3" i="90" l="1"/>
  <c r="D3" i="90"/>
  <c r="E3" i="90" s="1"/>
  <c r="C4" i="90"/>
  <c r="D4" i="90"/>
  <c r="E4" i="90"/>
  <c r="F4" i="90" s="1"/>
  <c r="C5" i="90"/>
  <c r="D5" i="90"/>
  <c r="E5" i="90"/>
  <c r="C6" i="90"/>
  <c r="D6" i="90"/>
  <c r="E6" i="90" s="1"/>
  <c r="C7" i="90"/>
  <c r="D7" i="90"/>
  <c r="E7" i="90"/>
  <c r="C8" i="90"/>
  <c r="D8" i="90"/>
  <c r="E8" i="90" s="1"/>
  <c r="F8" i="90" s="1"/>
  <c r="C9" i="90"/>
  <c r="D9" i="90"/>
  <c r="E9" i="90" s="1"/>
  <c r="C10" i="90"/>
  <c r="D10" i="90"/>
  <c r="E10" i="90"/>
  <c r="C16" i="40"/>
  <c r="C15" i="40"/>
  <c r="D15" i="40"/>
  <c r="B3" i="31"/>
  <c r="B4" i="31"/>
  <c r="B5" i="31"/>
  <c r="B6" i="31"/>
  <c r="B7" i="31"/>
  <c r="B2" i="31"/>
  <c r="A4" i="29"/>
  <c r="A5" i="29" s="1"/>
  <c r="A6" i="29" s="1"/>
  <c r="A7" i="29" s="1"/>
  <c r="A8" i="29" s="1"/>
  <c r="A3" i="29"/>
  <c r="B19" i="98"/>
  <c r="F13" i="98"/>
  <c r="F12" i="98"/>
  <c r="E30" i="97"/>
  <c r="F30" i="97" s="1"/>
  <c r="I25" i="97"/>
  <c r="H25" i="97"/>
  <c r="G25" i="97"/>
  <c r="F25" i="97"/>
  <c r="E25" i="97"/>
  <c r="D25" i="97"/>
  <c r="C25" i="97"/>
  <c r="B25" i="97"/>
  <c r="I23" i="97"/>
  <c r="H23" i="97"/>
  <c r="G23" i="97"/>
  <c r="F23" i="97"/>
  <c r="E23" i="97"/>
  <c r="D23" i="97"/>
  <c r="C23" i="97"/>
  <c r="B23" i="97"/>
  <c r="I22" i="97"/>
  <c r="H22" i="97"/>
  <c r="G22" i="97"/>
  <c r="F22" i="97"/>
  <c r="E22" i="97"/>
  <c r="D22" i="97"/>
  <c r="C22" i="97"/>
  <c r="B22" i="97"/>
  <c r="I20" i="97"/>
  <c r="H20" i="97"/>
  <c r="G20" i="97"/>
  <c r="F20" i="97"/>
  <c r="E20" i="97"/>
  <c r="D20" i="97"/>
  <c r="C20" i="97"/>
  <c r="B20" i="97"/>
  <c r="I19" i="97"/>
  <c r="H19" i="97"/>
  <c r="G19" i="97"/>
  <c r="F19" i="97"/>
  <c r="E19" i="97"/>
  <c r="D19" i="97"/>
  <c r="C19" i="97"/>
  <c r="B19" i="97"/>
  <c r="I18" i="97"/>
  <c r="H18" i="97"/>
  <c r="G18" i="97"/>
  <c r="F18" i="97"/>
  <c r="E18" i="97"/>
  <c r="D18" i="97"/>
  <c r="C18" i="97"/>
  <c r="B18" i="97"/>
  <c r="I17" i="97"/>
  <c r="H17" i="97"/>
  <c r="G17" i="97"/>
  <c r="F17" i="97"/>
  <c r="E17" i="97"/>
  <c r="D17" i="97"/>
  <c r="C17" i="97"/>
  <c r="B17" i="97"/>
  <c r="I16" i="97"/>
  <c r="H16" i="97"/>
  <c r="G16" i="97"/>
  <c r="F16" i="97"/>
  <c r="E16" i="97"/>
  <c r="D16" i="97"/>
  <c r="C16" i="97"/>
  <c r="B16" i="97"/>
  <c r="I15" i="97"/>
  <c r="H15" i="97"/>
  <c r="G15" i="97"/>
  <c r="F15" i="97"/>
  <c r="E15" i="97"/>
  <c r="D15" i="97"/>
  <c r="C15" i="97"/>
  <c r="B15" i="97"/>
  <c r="I14" i="97"/>
  <c r="H14" i="97"/>
  <c r="G14" i="97"/>
  <c r="F14" i="97"/>
  <c r="E14" i="97"/>
  <c r="D14" i="97"/>
  <c r="C14" i="97"/>
  <c r="B14" i="97"/>
  <c r="I13" i="97"/>
  <c r="H13" i="97"/>
  <c r="G13" i="97"/>
  <c r="F13" i="97"/>
  <c r="E13" i="97"/>
  <c r="D13" i="97"/>
  <c r="C13" i="97"/>
  <c r="B13" i="97"/>
  <c r="I12" i="97"/>
  <c r="H12" i="97"/>
  <c r="G12" i="97"/>
  <c r="F12" i="97"/>
  <c r="E12" i="97"/>
  <c r="D12" i="97"/>
  <c r="C12" i="97"/>
  <c r="B12" i="97"/>
  <c r="I10" i="97"/>
  <c r="H10" i="97"/>
  <c r="G10" i="97"/>
  <c r="F10" i="97"/>
  <c r="E10" i="97"/>
  <c r="D10" i="97"/>
  <c r="C10" i="97"/>
  <c r="B10" i="97"/>
  <c r="I9" i="97"/>
  <c r="H9" i="97"/>
  <c r="G9" i="97"/>
  <c r="F9" i="97"/>
  <c r="E9" i="97"/>
  <c r="D9" i="97"/>
  <c r="C9" i="97"/>
  <c r="B9" i="97"/>
  <c r="I8" i="97"/>
  <c r="H8" i="97"/>
  <c r="G8" i="97"/>
  <c r="F8" i="97"/>
  <c r="E8" i="97"/>
  <c r="D8" i="97"/>
  <c r="C8" i="97"/>
  <c r="B8" i="97"/>
  <c r="I7" i="97"/>
  <c r="H7" i="97"/>
  <c r="G7" i="97"/>
  <c r="F7" i="97"/>
  <c r="E7" i="97"/>
  <c r="D7" i="97"/>
  <c r="C7" i="97"/>
  <c r="B7" i="97"/>
  <c r="I6" i="97"/>
  <c r="H6" i="97"/>
  <c r="G6" i="97"/>
  <c r="F6" i="97"/>
  <c r="E6" i="97"/>
  <c r="D6" i="97"/>
  <c r="C6" i="97"/>
  <c r="B6" i="97"/>
  <c r="I5" i="97"/>
  <c r="H5" i="97"/>
  <c r="G5" i="97"/>
  <c r="F5" i="97"/>
  <c r="E5" i="97"/>
  <c r="D5" i="97"/>
  <c r="C5" i="97"/>
  <c r="B5" i="97"/>
  <c r="C3" i="95"/>
  <c r="B44" i="95"/>
  <c r="K3" i="95"/>
  <c r="K4" i="95"/>
  <c r="C4" i="95"/>
  <c r="K5" i="95"/>
  <c r="C5" i="95"/>
  <c r="K6" i="95"/>
  <c r="C6" i="95"/>
  <c r="K7" i="95"/>
  <c r="C7" i="95"/>
  <c r="K8" i="95"/>
  <c r="C8" i="95"/>
  <c r="K9" i="95"/>
  <c r="C9" i="95"/>
  <c r="K10" i="95"/>
  <c r="C10" i="95"/>
  <c r="F3" i="95"/>
  <c r="G3" i="95" s="1"/>
  <c r="F4" i="95"/>
  <c r="G4" i="95" s="1"/>
  <c r="F5" i="95"/>
  <c r="G5" i="95" s="1"/>
  <c r="F6" i="95"/>
  <c r="G6" i="95" s="1"/>
  <c r="J10" i="95"/>
  <c r="I10" i="95"/>
  <c r="H10" i="95"/>
  <c r="F10" i="95"/>
  <c r="G10" i="95"/>
  <c r="E10" i="95"/>
  <c r="J9" i="95"/>
  <c r="I9" i="95"/>
  <c r="H9" i="95"/>
  <c r="F9" i="95"/>
  <c r="G9" i="95"/>
  <c r="E9" i="95"/>
  <c r="J8" i="95"/>
  <c r="I8" i="95"/>
  <c r="H8" i="95"/>
  <c r="F8" i="95"/>
  <c r="G8" i="95"/>
  <c r="E8" i="95"/>
  <c r="J7" i="95"/>
  <c r="I7" i="95"/>
  <c r="H7" i="95"/>
  <c r="F7" i="95"/>
  <c r="G7" i="95"/>
  <c r="E7" i="95"/>
  <c r="J6" i="95"/>
  <c r="I6" i="95"/>
  <c r="H6" i="95"/>
  <c r="E6" i="95"/>
  <c r="J5" i="95"/>
  <c r="I5" i="95"/>
  <c r="H5" i="95"/>
  <c r="E5" i="95"/>
  <c r="J4" i="95"/>
  <c r="I4" i="95"/>
  <c r="H4" i="95"/>
  <c r="E4" i="95"/>
  <c r="J3" i="95"/>
  <c r="I3" i="95"/>
  <c r="H3" i="95"/>
  <c r="E3" i="95"/>
  <c r="D4" i="96"/>
  <c r="C48" i="96" s="1"/>
  <c r="D11" i="96"/>
  <c r="I11" i="96" s="1"/>
  <c r="G11" i="96"/>
  <c r="H11" i="96" s="1"/>
  <c r="C11" i="96"/>
  <c r="D10" i="96"/>
  <c r="I10" i="96"/>
  <c r="G10" i="96"/>
  <c r="H10" i="96"/>
  <c r="C10" i="96"/>
  <c r="D9" i="96"/>
  <c r="I9" i="96" s="1"/>
  <c r="G9" i="96"/>
  <c r="H9" i="96" s="1"/>
  <c r="C9" i="96"/>
  <c r="D8" i="96"/>
  <c r="I8" i="96"/>
  <c r="G8" i="96"/>
  <c r="H8" i="96"/>
  <c r="C8" i="96"/>
  <c r="D7" i="96"/>
  <c r="I7" i="96" s="1"/>
  <c r="G7" i="96"/>
  <c r="H7" i="96" s="1"/>
  <c r="C7" i="96"/>
  <c r="D6" i="96"/>
  <c r="I6" i="96"/>
  <c r="G6" i="96"/>
  <c r="H6" i="96"/>
  <c r="C6" i="96"/>
  <c r="D5" i="96"/>
  <c r="I5" i="96" s="1"/>
  <c r="G5" i="96"/>
  <c r="H5" i="96" s="1"/>
  <c r="C5" i="96"/>
  <c r="G4" i="96"/>
  <c r="H4" i="96" s="1"/>
  <c r="C4" i="96"/>
  <c r="B7" i="85" a="1"/>
  <c r="B7" i="85" s="1"/>
  <c r="B6" i="85" a="1"/>
  <c r="B6" i="85" s="1"/>
  <c r="B5" i="85" a="1"/>
  <c r="B5" i="85" s="1"/>
  <c r="B4" i="85" a="1"/>
  <c r="B4" i="85" s="1"/>
  <c r="B3" i="85" a="1"/>
  <c r="B3" i="85" s="1"/>
  <c r="B2" i="85" a="1"/>
  <c r="B2" i="85" s="1"/>
  <c r="H25" i="86"/>
  <c r="G25" i="86"/>
  <c r="F25" i="86"/>
  <c r="H24" i="86"/>
  <c r="G24" i="86"/>
  <c r="F24" i="86"/>
  <c r="H23" i="86"/>
  <c r="G23" i="86"/>
  <c r="F23" i="86"/>
  <c r="H21" i="86"/>
  <c r="G21" i="86"/>
  <c r="F21" i="86"/>
  <c r="H20" i="86"/>
  <c r="G20" i="86"/>
  <c r="F20" i="86"/>
  <c r="H19" i="86"/>
  <c r="G19" i="86"/>
  <c r="F19" i="86"/>
  <c r="H18" i="86"/>
  <c r="G18" i="86"/>
  <c r="F18" i="86"/>
  <c r="H17" i="86"/>
  <c r="G17" i="86"/>
  <c r="F17" i="86"/>
  <c r="H16" i="86"/>
  <c r="G16" i="86"/>
  <c r="F16" i="86"/>
  <c r="H15" i="86"/>
  <c r="G15" i="86"/>
  <c r="F15" i="86"/>
  <c r="H14" i="86"/>
  <c r="G14" i="86"/>
  <c r="F14" i="86"/>
  <c r="H13" i="86"/>
  <c r="G13" i="86"/>
  <c r="F13" i="86"/>
  <c r="H12" i="86"/>
  <c r="G12" i="86"/>
  <c r="F12" i="86"/>
  <c r="H10" i="86"/>
  <c r="G10" i="86"/>
  <c r="F10" i="86"/>
  <c r="H9" i="86"/>
  <c r="G9" i="86"/>
  <c r="F9" i="86"/>
  <c r="H8" i="86"/>
  <c r="G8" i="86"/>
  <c r="F8" i="86"/>
  <c r="H7" i="86"/>
  <c r="G7" i="86"/>
  <c r="F7" i="86"/>
  <c r="H6" i="86"/>
  <c r="G6" i="86"/>
  <c r="F6" i="86"/>
  <c r="B2" i="86"/>
  <c r="B43" i="87"/>
  <c r="C15" i="87"/>
  <c r="L15" i="87" s="1"/>
  <c r="H15" i="87" s="1"/>
  <c r="C14" i="87"/>
  <c r="C13" i="87"/>
  <c r="L13" i="87" s="1"/>
  <c r="H13" i="87" s="1"/>
  <c r="C12" i="87"/>
  <c r="C11" i="87"/>
  <c r="L11" i="87" s="1"/>
  <c r="H11" i="87" s="1"/>
  <c r="C10" i="87"/>
  <c r="L10" i="87"/>
  <c r="C9" i="87"/>
  <c r="C8" i="87"/>
  <c r="C7" i="87"/>
  <c r="C6" i="87"/>
  <c r="L6" i="87" s="1"/>
  <c r="H6" i="87" s="1"/>
  <c r="G11" i="87"/>
  <c r="D11" i="87"/>
  <c r="I11" i="87" s="1"/>
  <c r="J11" i="87" s="1"/>
  <c r="G12" i="87"/>
  <c r="D12" i="87"/>
  <c r="L12" i="87"/>
  <c r="H12" i="87" s="1"/>
  <c r="G15" i="87"/>
  <c r="D15" i="87"/>
  <c r="I15" i="87" s="1"/>
  <c r="J15" i="87" s="1"/>
  <c r="B42" i="87"/>
  <c r="G8" i="87"/>
  <c r="D8" i="87"/>
  <c r="I8" i="87"/>
  <c r="J8" i="87" s="1"/>
  <c r="L8" i="87"/>
  <c r="H8" i="87" s="1"/>
  <c r="G10" i="87"/>
  <c r="D10" i="87"/>
  <c r="I10" i="87"/>
  <c r="J10" i="87" s="1"/>
  <c r="G14" i="87"/>
  <c r="I14" i="87" s="1"/>
  <c r="J14" i="87" s="1"/>
  <c r="D14" i="87"/>
  <c r="L14" i="87"/>
  <c r="H14" i="87" s="1"/>
  <c r="K14" i="87" s="1"/>
  <c r="B41" i="87"/>
  <c r="G6" i="87"/>
  <c r="D6" i="87"/>
  <c r="I6" i="87"/>
  <c r="J6" i="87" s="1"/>
  <c r="G7" i="87"/>
  <c r="D7" i="87"/>
  <c r="L7" i="87"/>
  <c r="H7" i="87" s="1"/>
  <c r="I7" i="87"/>
  <c r="J7" i="87" s="1"/>
  <c r="G9" i="87"/>
  <c r="I9" i="87" s="1"/>
  <c r="J9" i="87" s="1"/>
  <c r="D9" i="87"/>
  <c r="G13" i="87"/>
  <c r="D13" i="87"/>
  <c r="I13" i="87"/>
  <c r="J13" i="87" s="1"/>
  <c r="J2" i="88"/>
  <c r="K2" i="88" s="1"/>
  <c r="J3" i="88"/>
  <c r="J4" i="88"/>
  <c r="J5" i="88"/>
  <c r="J6" i="88"/>
  <c r="J7" i="88"/>
  <c r="J8" i="88"/>
  <c r="H8" i="88"/>
  <c r="F7" i="88"/>
  <c r="G7" i="88" s="1"/>
  <c r="K6" i="88"/>
  <c r="F6" i="88"/>
  <c r="G6" i="88"/>
  <c r="K5" i="88"/>
  <c r="F5" i="88"/>
  <c r="G5" i="88" s="1"/>
  <c r="K4" i="88"/>
  <c r="F4" i="88"/>
  <c r="G4" i="88"/>
  <c r="F3" i="88"/>
  <c r="G3" i="88"/>
  <c r="F2" i="88"/>
  <c r="G2" i="88" s="1"/>
  <c r="C23" i="89"/>
  <c r="E23" i="89" s="1"/>
  <c r="C22" i="89"/>
  <c r="C21" i="89"/>
  <c r="C20" i="89"/>
  <c r="C19" i="89"/>
  <c r="E19" i="89" s="1"/>
  <c r="C18" i="89"/>
  <c r="C17" i="89"/>
  <c r="C16" i="89"/>
  <c r="C15" i="89"/>
  <c r="E15" i="89" s="1"/>
  <c r="C14" i="89"/>
  <c r="C13" i="89"/>
  <c r="C12" i="89"/>
  <c r="C11" i="89"/>
  <c r="C10" i="89"/>
  <c r="C9" i="89"/>
  <c r="C8" i="89"/>
  <c r="C7" i="89"/>
  <c r="C6" i="89"/>
  <c r="C5" i="89"/>
  <c r="C4" i="89"/>
  <c r="D23" i="89"/>
  <c r="H23" i="89" s="1"/>
  <c r="I23" i="89" s="1"/>
  <c r="D22" i="89"/>
  <c r="H22" i="89" s="1"/>
  <c r="I22" i="89" s="1"/>
  <c r="D21" i="89"/>
  <c r="H21" i="89"/>
  <c r="I21" i="89" s="1"/>
  <c r="D20" i="89"/>
  <c r="H20" i="89" s="1"/>
  <c r="I20" i="89" s="1"/>
  <c r="D19" i="89"/>
  <c r="H19" i="89" s="1"/>
  <c r="I19" i="89" s="1"/>
  <c r="D18" i="89"/>
  <c r="H18" i="89" s="1"/>
  <c r="I18" i="89" s="1"/>
  <c r="D17" i="89"/>
  <c r="H17" i="89"/>
  <c r="I17" i="89" s="1"/>
  <c r="D16" i="89"/>
  <c r="H16" i="89" s="1"/>
  <c r="I16" i="89" s="1"/>
  <c r="D15" i="89"/>
  <c r="H15" i="89" s="1"/>
  <c r="I15" i="89" s="1"/>
  <c r="D14" i="89"/>
  <c r="H14" i="89" s="1"/>
  <c r="I14" i="89" s="1"/>
  <c r="D13" i="89"/>
  <c r="D12" i="89"/>
  <c r="D11" i="89"/>
  <c r="D10" i="89"/>
  <c r="H10" i="89" s="1"/>
  <c r="I10" i="89" s="1"/>
  <c r="D9" i="89"/>
  <c r="D8" i="89"/>
  <c r="D7" i="89"/>
  <c r="D6" i="89"/>
  <c r="H6" i="89" s="1"/>
  <c r="I6" i="89" s="1"/>
  <c r="D5" i="89"/>
  <c r="L4" i="89"/>
  <c r="D4" i="89"/>
  <c r="H4" i="89"/>
  <c r="I4" i="89" s="1"/>
  <c r="K4" i="89" s="1"/>
  <c r="C23" i="90"/>
  <c r="H22" i="90"/>
  <c r="B18" i="90"/>
  <c r="B19" i="90"/>
  <c r="N4" i="92"/>
  <c r="N3" i="92"/>
  <c r="N2" i="92"/>
  <c r="B8" i="94"/>
  <c r="B7" i="94"/>
  <c r="B6" i="94"/>
  <c r="B5" i="94"/>
  <c r="F6" i="94"/>
  <c r="F8" i="94"/>
  <c r="B4" i="94"/>
  <c r="H14" i="94" s="1"/>
  <c r="F5" i="94"/>
  <c r="B3" i="94"/>
  <c r="F4" i="94"/>
  <c r="F7" i="94"/>
  <c r="F3" i="94"/>
  <c r="A3" i="93"/>
  <c r="A4" i="93"/>
  <c r="A5" i="93" s="1"/>
  <c r="A6" i="93" s="1"/>
  <c r="A7" i="93" s="1"/>
  <c r="A8" i="93" s="1"/>
  <c r="A9" i="93" s="1"/>
  <c r="A10" i="93" s="1"/>
  <c r="A11" i="93" s="1"/>
  <c r="A12" i="93" s="1"/>
  <c r="A13" i="93" s="1"/>
  <c r="A14" i="93" s="1"/>
  <c r="A15" i="93" s="1"/>
  <c r="A16" i="93" s="1"/>
  <c r="A17" i="93" s="1"/>
  <c r="A18" i="93" s="1"/>
  <c r="A19" i="93" s="1"/>
  <c r="A20" i="93" s="1"/>
  <c r="A21" i="93" s="1"/>
  <c r="A22" i="93" s="1"/>
  <c r="A23" i="93" s="1"/>
  <c r="A24" i="93" s="1"/>
  <c r="A25" i="93" s="1"/>
  <c r="A26" i="93" s="1"/>
  <c r="A27" i="93" s="1"/>
  <c r="A28" i="93" s="1"/>
  <c r="I18" i="84" a="1"/>
  <c r="I18" i="84" s="1"/>
  <c r="H18" i="84" a="1"/>
  <c r="H18" i="84" s="1"/>
  <c r="G18" i="84" a="1"/>
  <c r="G18" i="84" s="1"/>
  <c r="F18" i="84" a="1"/>
  <c r="F18" i="84" s="1"/>
  <c r="E18" i="84" a="1"/>
  <c r="E18" i="84" s="1"/>
  <c r="I17" i="84" a="1"/>
  <c r="I17" i="84" s="1"/>
  <c r="H17" i="84" a="1"/>
  <c r="H17" i="84" s="1"/>
  <c r="G17" i="84" a="1"/>
  <c r="G17" i="84" s="1"/>
  <c r="F17" i="84" a="1"/>
  <c r="F17" i="84" s="1"/>
  <c r="E17" i="84" a="1"/>
  <c r="E17" i="84" s="1"/>
  <c r="I16" i="84" a="1"/>
  <c r="I16" i="84" s="1"/>
  <c r="H16" i="84" a="1"/>
  <c r="H16" i="84" s="1"/>
  <c r="G16" i="84" a="1"/>
  <c r="G16" i="84" s="1"/>
  <c r="F16" i="84" a="1"/>
  <c r="F16" i="84" s="1"/>
  <c r="E16" i="84" a="1"/>
  <c r="E16" i="84" s="1"/>
  <c r="C23" i="83"/>
  <c r="H22" i="83"/>
  <c r="B18" i="83"/>
  <c r="D4" i="83"/>
  <c r="D6" i="83"/>
  <c r="B19" i="83"/>
  <c r="D10" i="83"/>
  <c r="E10" i="83" s="1"/>
  <c r="C10" i="83"/>
  <c r="D9" i="83"/>
  <c r="E9" i="83" s="1"/>
  <c r="C9" i="83"/>
  <c r="D8" i="83"/>
  <c r="E8" i="83" s="1"/>
  <c r="C8" i="83"/>
  <c r="D7" i="83"/>
  <c r="C7" i="83"/>
  <c r="C6" i="83"/>
  <c r="D5" i="83"/>
  <c r="E5" i="83" s="1"/>
  <c r="C5" i="83"/>
  <c r="C4" i="83"/>
  <c r="D3" i="83"/>
  <c r="C3" i="83"/>
  <c r="G13" i="81"/>
  <c r="H13" i="81"/>
  <c r="F13" i="81"/>
  <c r="D13" i="81"/>
  <c r="G12" i="81"/>
  <c r="H12" i="81"/>
  <c r="F12" i="81"/>
  <c r="D12" i="81"/>
  <c r="G11" i="81"/>
  <c r="H11" i="81"/>
  <c r="F11" i="81"/>
  <c r="D11" i="81"/>
  <c r="G10" i="81"/>
  <c r="H10" i="81"/>
  <c r="F10" i="81"/>
  <c r="D10" i="81"/>
  <c r="G9" i="81"/>
  <c r="H9" i="81"/>
  <c r="F9" i="81"/>
  <c r="D9" i="81"/>
  <c r="G8" i="81"/>
  <c r="H8" i="81"/>
  <c r="F8" i="81"/>
  <c r="D8" i="81"/>
  <c r="G7" i="81"/>
  <c r="H7" i="81"/>
  <c r="F7" i="81"/>
  <c r="D7" i="81"/>
  <c r="G6" i="81"/>
  <c r="H6" i="81"/>
  <c r="F6" i="81"/>
  <c r="D6" i="81"/>
  <c r="G14" i="21"/>
  <c r="F18" i="21"/>
  <c r="F19" i="21"/>
  <c r="F20" i="21"/>
  <c r="F21" i="21"/>
  <c r="F22" i="21"/>
  <c r="F23" i="21"/>
  <c r="F24" i="21"/>
  <c r="F17" i="21"/>
  <c r="G10" i="19"/>
  <c r="F25" i="59"/>
  <c r="C25" i="59"/>
  <c r="F24" i="59"/>
  <c r="C24" i="59"/>
  <c r="C23" i="59"/>
  <c r="F22" i="59"/>
  <c r="E22" i="59"/>
  <c r="D22" i="59"/>
  <c r="C22" i="59"/>
  <c r="H15" i="8"/>
  <c r="H26" i="8" s="1"/>
  <c r="G15" i="8"/>
  <c r="H4" i="8"/>
  <c r="G4" i="8"/>
  <c r="E15" i="8"/>
  <c r="D15" i="8"/>
  <c r="E4" i="8"/>
  <c r="E26" i="8" s="1"/>
  <c r="D4" i="8"/>
  <c r="D26" i="8" s="1"/>
  <c r="F3" i="31"/>
  <c r="G3" i="31" s="1"/>
  <c r="F4" i="31"/>
  <c r="E4" i="31"/>
  <c r="F5" i="31"/>
  <c r="G5" i="31"/>
  <c r="E5" i="31"/>
  <c r="F6" i="31"/>
  <c r="E6" i="31"/>
  <c r="F7" i="31"/>
  <c r="G7" i="31" s="1"/>
  <c r="E7" i="31"/>
  <c r="F2" i="31"/>
  <c r="G2" i="31"/>
  <c r="A11" i="32"/>
  <c r="A10" i="32"/>
  <c r="A9" i="32"/>
  <c r="A8" i="32"/>
  <c r="A7" i="32"/>
  <c r="A6" i="32"/>
  <c r="A5" i="32"/>
  <c r="A4" i="32"/>
  <c r="A3" i="32"/>
  <c r="A2" i="32"/>
  <c r="A3" i="34"/>
  <c r="A5" i="34"/>
  <c r="A8" i="34"/>
  <c r="A4" i="34"/>
  <c r="A6" i="34"/>
  <c r="A9" i="34"/>
  <c r="A10" i="34"/>
  <c r="A11" i="34"/>
  <c r="E2" i="35"/>
  <c r="F2" i="35"/>
  <c r="D2" i="35"/>
  <c r="E5" i="35"/>
  <c r="D5" i="35"/>
  <c r="E7" i="35"/>
  <c r="D7" i="35"/>
  <c r="E3" i="35"/>
  <c r="D3" i="35"/>
  <c r="F3" i="35" s="1"/>
  <c r="E6" i="35"/>
  <c r="D6" i="35"/>
  <c r="F6" i="35" s="1"/>
  <c r="E4" i="35"/>
  <c r="D4" i="35"/>
  <c r="F4" i="35" s="1"/>
  <c r="E3" i="39"/>
  <c r="F3" i="39"/>
  <c r="D3" i="39"/>
  <c r="E4" i="39"/>
  <c r="F4" i="39" s="1"/>
  <c r="D4" i="39"/>
  <c r="E5" i="39"/>
  <c r="F5" i="39"/>
  <c r="D5" i="39"/>
  <c r="E2" i="39"/>
  <c r="D2" i="39"/>
  <c r="A2" i="40"/>
  <c r="A8" i="40"/>
  <c r="A3" i="40"/>
  <c r="A9" i="40"/>
  <c r="A4" i="40"/>
  <c r="A10" i="40"/>
  <c r="A11" i="40"/>
  <c r="A5" i="40"/>
  <c r="A6" i="40"/>
  <c r="A7" i="40"/>
  <c r="E4" i="41"/>
  <c r="F4" i="41" s="1"/>
  <c r="D4" i="41"/>
  <c r="E5" i="41"/>
  <c r="F5" i="41" s="1"/>
  <c r="D5" i="41"/>
  <c r="E6" i="41"/>
  <c r="F6" i="41" s="1"/>
  <c r="D6" i="41"/>
  <c r="E3" i="41"/>
  <c r="F3" i="41" s="1"/>
  <c r="D3" i="41"/>
  <c r="G11" i="44"/>
  <c r="F11" i="44"/>
  <c r="G12" i="44"/>
  <c r="F12" i="44"/>
  <c r="G4" i="44"/>
  <c r="F4" i="44"/>
  <c r="G5" i="44"/>
  <c r="F5" i="44"/>
  <c r="G6" i="44"/>
  <c r="F6" i="44"/>
  <c r="G7" i="44"/>
  <c r="F7" i="44"/>
  <c r="G8" i="44"/>
  <c r="F8" i="44"/>
  <c r="G9" i="44"/>
  <c r="F9" i="44"/>
  <c r="G10" i="44"/>
  <c r="F10" i="44"/>
  <c r="G3" i="44"/>
  <c r="F3" i="44"/>
  <c r="D29" i="56"/>
  <c r="C29" i="56"/>
  <c r="B29" i="56"/>
  <c r="G17" i="71"/>
  <c r="F17" i="71"/>
  <c r="E17" i="71"/>
  <c r="E20" i="78"/>
  <c r="G20" i="78"/>
  <c r="F20" i="78"/>
  <c r="B20" i="78"/>
  <c r="B19" i="78"/>
  <c r="B18" i="78"/>
  <c r="H22" i="76"/>
  <c r="G22" i="76"/>
  <c r="F22" i="76"/>
  <c r="E22" i="76"/>
  <c r="D22" i="76"/>
  <c r="F24" i="74"/>
  <c r="E24" i="74"/>
  <c r="F21" i="74"/>
  <c r="E21" i="74"/>
  <c r="B18" i="98"/>
  <c r="F7" i="35"/>
  <c r="D18" i="12"/>
  <c r="G26" i="8"/>
  <c r="E25" i="59"/>
  <c r="H13" i="17"/>
  <c r="F9" i="83"/>
  <c r="K8" i="87"/>
  <c r="K11" i="87"/>
  <c r="F10" i="19"/>
  <c r="H10" i="19" s="1"/>
  <c r="E3" i="83"/>
  <c r="G3" i="83" s="1"/>
  <c r="F3" i="83"/>
  <c r="E7" i="83"/>
  <c r="F7" i="83"/>
  <c r="G7" i="83" s="1"/>
  <c r="D23" i="59"/>
  <c r="D24" i="59"/>
  <c r="D25" i="59"/>
  <c r="K7" i="87"/>
  <c r="E23" i="59"/>
  <c r="E24" i="59"/>
  <c r="H15" i="94"/>
  <c r="B43" i="89"/>
  <c r="K3" i="88"/>
  <c r="I12" i="87"/>
  <c r="J12" i="87"/>
  <c r="K12" i="87" s="1"/>
  <c r="C43" i="87" s="1"/>
  <c r="I22" i="95"/>
  <c r="F23" i="95" s="1"/>
  <c r="E4" i="89"/>
  <c r="B44" i="89"/>
  <c r="L9" i="87"/>
  <c r="H9" i="87" s="1"/>
  <c r="K9" i="87" s="1"/>
  <c r="F7" i="90"/>
  <c r="G7" i="90"/>
  <c r="F3" i="90"/>
  <c r="G3" i="90" s="1"/>
  <c r="F10" i="90"/>
  <c r="G10" i="90" s="1"/>
  <c r="F6" i="90"/>
  <c r="G6" i="90" s="1"/>
  <c r="F9" i="90"/>
  <c r="G9" i="90" s="1"/>
  <c r="G8" i="90"/>
  <c r="F5" i="90"/>
  <c r="G5" i="90" s="1"/>
  <c r="G4" i="90"/>
  <c r="C22" i="90" s="1"/>
  <c r="F22" i="95"/>
  <c r="I23" i="95"/>
  <c r="E22" i="95"/>
  <c r="H23" i="95"/>
  <c r="E18" i="12"/>
  <c r="H22" i="95"/>
  <c r="E23" i="95" s="1"/>
  <c r="G9" i="83"/>
  <c r="I13" i="17"/>
  <c r="I10" i="19"/>
  <c r="F12" i="11"/>
  <c r="G12" i="13"/>
  <c r="E6" i="83"/>
  <c r="G6" i="31"/>
  <c r="F23" i="59"/>
  <c r="G23" i="59"/>
  <c r="I14" i="94"/>
  <c r="H7" i="89"/>
  <c r="I7" i="89" s="1"/>
  <c r="E7" i="89"/>
  <c r="H11" i="89"/>
  <c r="I11" i="89"/>
  <c r="E11" i="89"/>
  <c r="B45" i="89"/>
  <c r="E6" i="89"/>
  <c r="E10" i="89"/>
  <c r="E14" i="89"/>
  <c r="E18" i="89"/>
  <c r="E22" i="89"/>
  <c r="K13" i="87"/>
  <c r="F8" i="83"/>
  <c r="G8" i="83"/>
  <c r="E4" i="83"/>
  <c r="F4" i="83"/>
  <c r="H16" i="94"/>
  <c r="H8" i="89"/>
  <c r="I8" i="89" s="1"/>
  <c r="E8" i="89"/>
  <c r="H12" i="89"/>
  <c r="I12" i="89"/>
  <c r="E12" i="89"/>
  <c r="B42" i="89"/>
  <c r="K15" i="87"/>
  <c r="H5" i="89"/>
  <c r="I5" i="89" s="1"/>
  <c r="E5" i="89"/>
  <c r="H9" i="89"/>
  <c r="I9" i="89"/>
  <c r="E9" i="89"/>
  <c r="H13" i="89"/>
  <c r="I13" i="89" s="1"/>
  <c r="E13" i="89"/>
  <c r="K7" i="88"/>
  <c r="H10" i="87"/>
  <c r="K10" i="87" s="1"/>
  <c r="C42" i="87" s="1"/>
  <c r="D16" i="40"/>
  <c r="I16" i="94"/>
  <c r="E17" i="89"/>
  <c r="E21" i="89"/>
  <c r="H12" i="11"/>
  <c r="G12" i="11"/>
  <c r="G4" i="83"/>
  <c r="D6" i="85"/>
  <c r="D2" i="85"/>
  <c r="D5" i="85"/>
  <c r="D4" i="85"/>
  <c r="D7" i="85"/>
  <c r="D3" i="85"/>
  <c r="G24" i="59" l="1"/>
  <c r="G22" i="59"/>
  <c r="I3" i="41"/>
  <c r="G3" i="41"/>
  <c r="I6" i="41"/>
  <c r="G6" i="41"/>
  <c r="I5" i="41"/>
  <c r="G5" i="41"/>
  <c r="I4" i="41"/>
  <c r="G4" i="41"/>
  <c r="F5" i="83"/>
  <c r="G5" i="83" s="1"/>
  <c r="F6" i="83"/>
  <c r="G6" i="83" s="1"/>
  <c r="C22" i="83" s="1"/>
  <c r="F2" i="39"/>
  <c r="F5" i="35"/>
  <c r="G4" i="31"/>
  <c r="K6" i="87"/>
  <c r="C41" i="87" s="1"/>
  <c r="G25" i="59"/>
  <c r="F10" i="83"/>
  <c r="G10" i="83" s="1"/>
  <c r="I15" i="94"/>
  <c r="E16" i="89"/>
  <c r="E20" i="89"/>
  <c r="I4" i="96"/>
</calcChain>
</file>

<file path=xl/comments1.xml><?xml version="1.0" encoding="utf-8"?>
<comments xmlns="http://schemas.openxmlformats.org/spreadsheetml/2006/main">
  <authors>
    <author>Nguyen Huy Khanh</author>
  </authors>
  <commentList>
    <comment ref="D3" authorId="0">
      <text>
        <r>
          <rPr>
            <b/>
            <sz val="8"/>
            <color indexed="81"/>
            <rFont val="Tahoma"/>
          </rPr>
          <t>Nguyen Huy Khanh:</t>
        </r>
        <r>
          <rPr>
            <sz val="8"/>
            <color indexed="81"/>
            <rFont val="Tahoma"/>
          </rPr>
          <t xml:space="preserve">
he so 7</t>
        </r>
      </text>
    </comment>
    <comment ref="E3" authorId="0">
      <text>
        <r>
          <rPr>
            <b/>
            <sz val="8"/>
            <color indexed="81"/>
            <rFont val="Tahoma"/>
          </rPr>
          <t>Nguyen Huy Khanh:</t>
        </r>
        <r>
          <rPr>
            <sz val="8"/>
            <color indexed="81"/>
            <rFont val="Tahoma"/>
          </rPr>
          <t xml:space="preserve">
he so 5</t>
        </r>
      </text>
    </comment>
    <comment ref="F3" authorId="0">
      <text>
        <r>
          <rPr>
            <b/>
            <sz val="8"/>
            <color indexed="81"/>
            <rFont val="Tahoma"/>
          </rPr>
          <t>Nguyen Huy Khanh:</t>
        </r>
        <r>
          <rPr>
            <sz val="8"/>
            <color indexed="81"/>
            <rFont val="Tahoma"/>
          </rPr>
          <t xml:space="preserve">
he so 6</t>
        </r>
      </text>
    </comment>
    <comment ref="G3" authorId="0">
      <text>
        <r>
          <rPr>
            <b/>
            <sz val="8"/>
            <color indexed="81"/>
            <rFont val="Tahoma"/>
          </rPr>
          <t>Nguyen Huy Khanh:</t>
        </r>
        <r>
          <rPr>
            <sz val="8"/>
            <color indexed="81"/>
            <rFont val="Tahoma"/>
          </rPr>
          <t xml:space="preserve">
he so 5</t>
        </r>
      </text>
    </comment>
    <comment ref="H3" authorId="0">
      <text>
        <r>
          <rPr>
            <b/>
            <sz val="8"/>
            <color indexed="81"/>
            <rFont val="Tahoma"/>
          </rPr>
          <t>Nguyen Huy Khanh:</t>
        </r>
        <r>
          <rPr>
            <sz val="8"/>
            <color indexed="81"/>
            <rFont val="Tahoma"/>
          </rPr>
          <t xml:space="preserve">
he so 7</t>
        </r>
      </text>
    </comment>
    <comment ref="I3" authorId="0">
      <text>
        <r>
          <rPr>
            <b/>
            <sz val="8"/>
            <color indexed="81"/>
            <rFont val="Tahoma"/>
          </rPr>
          <t>Nguyen Huy Khanh:</t>
        </r>
        <r>
          <rPr>
            <sz val="8"/>
            <color indexed="81"/>
            <rFont val="Tahoma"/>
          </rPr>
          <t xml:space="preserve">
he so 10</t>
        </r>
      </text>
    </comment>
  </commentList>
</comments>
</file>

<file path=xl/sharedStrings.xml><?xml version="1.0" encoding="utf-8"?>
<sst xmlns="http://schemas.openxmlformats.org/spreadsheetml/2006/main" count="4418" uniqueCount="2496">
  <si>
    <t>Ngày lv</t>
  </si>
  <si>
    <t>Nguyễn Quế Trà My</t>
  </si>
  <si>
    <t>Nguyễn Thu Hoài</t>
  </si>
  <si>
    <t>_Nếu Ngày LV&gt;=25, xếp loại A.</t>
  </si>
  <si>
    <t>_Nếu Ngày LV&gt;=22 và &lt;=24, xếp loại B.</t>
  </si>
  <si>
    <t>_Nếu Ngày LV&lt;22, xếp loại C.</t>
  </si>
  <si>
    <t>phái</t>
  </si>
  <si>
    <t>Biết rằng: Phái: 0 là Nữ, 1 là Nam.</t>
  </si>
  <si>
    <t>Lê Thanh Dũng</t>
  </si>
  <si>
    <t>_Nếu là Phái Nữ và có từ 2 con trở lên: 100000.</t>
  </si>
  <si>
    <t>_Nếu là Phái Nữ và có 1 con: 200000.</t>
  </si>
  <si>
    <t>_Nếu Loại B không được thưởng.</t>
  </si>
  <si>
    <t>Bùi Hồng Hạnh</t>
  </si>
  <si>
    <t>Lâm Thuý Hồng</t>
  </si>
  <si>
    <t>bảng tính tiền lương + thưởng</t>
  </si>
  <si>
    <t>Nguyễn Chí Khiết</t>
  </si>
  <si>
    <t>6. Tính Tổng cộng.</t>
  </si>
  <si>
    <t>Dầu</t>
  </si>
  <si>
    <t>Xăng dầu 4</t>
  </si>
  <si>
    <t>Xăng dầu 1</t>
  </si>
  <si>
    <t>Cty Vĩnh Hội</t>
  </si>
  <si>
    <t>Đơn vị mua</t>
  </si>
  <si>
    <t>Cty Hoàng Huy</t>
  </si>
  <si>
    <t>Mã CT</t>
  </si>
  <si>
    <t>Xây lắp 22</t>
  </si>
  <si>
    <t>1. Tách Số lượng riêng cho từng loại nhiên liệu.</t>
  </si>
  <si>
    <t>Tình hình xăng dầu tháng 09 năm 2001</t>
  </si>
  <si>
    <t>Xí nghiệp 21</t>
  </si>
  <si>
    <t>2. Tính Thành tiền.</t>
  </si>
  <si>
    <t>3. Tính Tổng cộng.</t>
  </si>
  <si>
    <t>Gcảnh</t>
  </si>
  <si>
    <t>Nguyễn Tiến Long</t>
  </si>
  <si>
    <t>3. Cột PCGC:</t>
  </si>
  <si>
    <t>Thưởng</t>
  </si>
  <si>
    <t>Trần Thu Hương</t>
  </si>
  <si>
    <t>Trần Viết Hưng</t>
  </si>
  <si>
    <t>Dương Viết Thắng</t>
  </si>
  <si>
    <t>2. Cột Thưởng:</t>
  </si>
  <si>
    <t>Đặng Thu Trang</t>
  </si>
  <si>
    <t>Nguyễn Văn Hà</t>
  </si>
  <si>
    <t>Vũ Thị Thu Hoài</t>
  </si>
  <si>
    <t>Phái</t>
  </si>
  <si>
    <t>Phạm Văn Toán</t>
  </si>
  <si>
    <t>Lê Thu Hằng</t>
  </si>
  <si>
    <t>Lê Văn Hoàn</t>
  </si>
  <si>
    <t>Còn lĩnh</t>
  </si>
  <si>
    <t>5. Còn lĩnh = LCB + Thưởng + PCGC - Tạm ứng</t>
  </si>
  <si>
    <t>NCông</t>
  </si>
  <si>
    <t>Nếu là loại A thưởng 50000. Nếu là loại B không được thưởng. Nếu là loại C phạt 20000.</t>
  </si>
  <si>
    <t>Ngô Văn Hùng</t>
  </si>
  <si>
    <t>Nếu là phái Nữ và GCảnh có từ 2 con trở lên thì PCGC là 50000.</t>
  </si>
  <si>
    <t>Nếu là phái Nữ và GCảnh không có con hoặc có 1 con thì PCGC là 30000, ngoài ra không có PCGC.</t>
  </si>
  <si>
    <t>bảng tính lương</t>
  </si>
  <si>
    <t>4. LCB = BLG x Hệ số tính lương.</t>
  </si>
  <si>
    <t>Quảng Ninh</t>
  </si>
  <si>
    <t>Trần Quang Huy</t>
  </si>
  <si>
    <t>Năm học: 2002 - 2003</t>
  </si>
  <si>
    <t>Phạm Hồng Thanh</t>
  </si>
  <si>
    <t>Tuổi</t>
  </si>
  <si>
    <t>Mức HB</t>
  </si>
  <si>
    <t>Bảng điểm</t>
  </si>
  <si>
    <t>Nơi sinh</t>
  </si>
  <si>
    <t>Cần Thơ</t>
  </si>
  <si>
    <t>Dương Thị Nguyệt</t>
  </si>
  <si>
    <t>Trương Thị Thu</t>
  </si>
  <si>
    <t>Điểm TB</t>
  </si>
  <si>
    <t>ĐTin</t>
  </si>
  <si>
    <t>ĐKinh tế</t>
  </si>
  <si>
    <t>Ngày sinh</t>
  </si>
  <si>
    <t>_Nếu ĐTB&gt;=9 và tuổi&lt;=23, học bổng là 500000.</t>
  </si>
  <si>
    <t>_Nếu 9&gt; ĐTB &gt; = 8, và 25 &gt;= tuổi &gt;23, học bổng là 300000.</t>
  </si>
  <si>
    <t>Mã điểm</t>
  </si>
  <si>
    <t>ĐKế toán</t>
  </si>
  <si>
    <t>Nguyễn Văn Tuân</t>
  </si>
  <si>
    <t>danh sách sinh viên được cấp học bổng</t>
  </si>
  <si>
    <t>Phạm Thị Thu Quyên</t>
  </si>
  <si>
    <t>Lê Tuấn Anh</t>
  </si>
  <si>
    <t>Nguyễn Thị Quyên</t>
  </si>
  <si>
    <t>Lê Thị Hương</t>
  </si>
  <si>
    <t>Sài Gòn</t>
  </si>
  <si>
    <t>_Những học viên nào có mức học bổng 500000.</t>
  </si>
  <si>
    <t>_Ngoài ra không có học bổng.</t>
  </si>
  <si>
    <t>Đặng Thuý Hường</t>
  </si>
  <si>
    <t>1. Tính Điểm TB truy tìm trong bảng điểm, căn cứ vào mã điểm.</t>
  </si>
  <si>
    <t>2. Tuổi tính đến ngày Hiện tại (đủ 365 ngày mới tính là 1 tuổi)</t>
  </si>
  <si>
    <t>3. Tính Mức học bổng:</t>
  </si>
  <si>
    <t>4. Trích ghi ra một vùng khác trên bảng tính:</t>
  </si>
  <si>
    <t>Năm sinh</t>
  </si>
  <si>
    <t>Kết quả</t>
  </si>
  <si>
    <t>_Kết quả&lt;10: Thi lại.</t>
  </si>
  <si>
    <t>_Kết quả=20: Xuất sắc.</t>
  </si>
  <si>
    <t>_Kết quả&gt;=18, &lt;20: Giỏi.</t>
  </si>
  <si>
    <t>3. Cột Kết quả:</t>
  </si>
  <si>
    <t>Trần Vũ Anh</t>
  </si>
  <si>
    <t>Nữ</t>
  </si>
  <si>
    <t>Dương Tiến Minh</t>
  </si>
  <si>
    <t>Triệu Đại Ngọc</t>
  </si>
  <si>
    <t>Bảng điểm và xếp hạng</t>
  </si>
  <si>
    <t>Nguyễn Cộng Hoà</t>
  </si>
  <si>
    <t>_Kết quả&gt;=14, &lt;18: Khá.</t>
  </si>
  <si>
    <t>Vũ Thanh Tâm</t>
  </si>
  <si>
    <t>Trần Bảo Châu</t>
  </si>
  <si>
    <t>Thêm</t>
  </si>
  <si>
    <t>Lê Thị Minh Hoa</t>
  </si>
  <si>
    <t>1. Cột Thêm:</t>
  </si>
  <si>
    <t>_Sinh sau năm 1972 thêm 0,75 điểm.</t>
  </si>
  <si>
    <t>Trần Ngọc Đông</t>
  </si>
  <si>
    <t>_Không sinh sau năm 1972 nhưng là Nữ thêm 0,5 điểm.</t>
  </si>
  <si>
    <t>Ngô Công Tú</t>
  </si>
  <si>
    <t>4. Ghi chú:</t>
  </si>
  <si>
    <t>Lý Gia Hân</t>
  </si>
  <si>
    <t>Trung bình</t>
  </si>
  <si>
    <t>2. Cột Trung bình = (Windows + Winword + Excel x 3)/5</t>
  </si>
  <si>
    <t>_Nếu Trung bình&gt;=10 thì giữ điểm trung bình này làm kết quả.</t>
  </si>
  <si>
    <t>_Nếu Trung bình&lt;10 thì cộng thêm điểm thêm.</t>
  </si>
  <si>
    <t>_Kết quả&gt;=10, &lt;14: Trung bình.</t>
  </si>
  <si>
    <t>Hạn TT</t>
  </si>
  <si>
    <t>Tiền phải trả</t>
  </si>
  <si>
    <t>Loại Ngoại tệ</t>
  </si>
  <si>
    <t>Tiền Nợ gốc</t>
  </si>
  <si>
    <t>Ngày kết sổ:</t>
  </si>
  <si>
    <t>Mã KH</t>
  </si>
  <si>
    <t>Lãi quá hạn/ngày:</t>
  </si>
  <si>
    <t>Lãi quá hạn</t>
  </si>
  <si>
    <t>Khách hàng 001</t>
  </si>
  <si>
    <t>Khách hàng 002</t>
  </si>
  <si>
    <t>Khách hàng 003</t>
  </si>
  <si>
    <t>Khách hàng 004</t>
  </si>
  <si>
    <t>Khách hàng 005</t>
  </si>
  <si>
    <t>Khách hàng 006</t>
  </si>
  <si>
    <t>Khách hàng 007</t>
  </si>
  <si>
    <t>Khách hàng 008</t>
  </si>
  <si>
    <t>Khách hàng 009</t>
  </si>
  <si>
    <t>Khách hàng 010</t>
  </si>
  <si>
    <t>Khách hàng 011</t>
  </si>
  <si>
    <t>Khách hàng 012</t>
  </si>
  <si>
    <t>Bảng quy đổi tỷ giá</t>
  </si>
  <si>
    <t>1. Quy ra USD = Tiền nợ gốc/Tỷ giá quy đổi.</t>
  </si>
  <si>
    <t>2. Lãi quá hạn = (Ngày kết sổ - Hạn thanh toán) x Tỷ lệ lãi quá hạn/ngày x Tiền nợ gốc.</t>
  </si>
  <si>
    <t>3. Tổng các cột.</t>
  </si>
  <si>
    <t>Tên KH</t>
  </si>
  <si>
    <t>Công ty X</t>
  </si>
  <si>
    <t>bảng kê công nợ ngoại tệ cuối quý I /2003</t>
  </si>
  <si>
    <t>Kquả</t>
  </si>
  <si>
    <t>Hiển</t>
  </si>
  <si>
    <t>Nguyễn Thế</t>
  </si>
  <si>
    <t>Chứng từ</t>
  </si>
  <si>
    <t>Tỷ lệ %</t>
  </si>
  <si>
    <t>Hợp đồng</t>
  </si>
  <si>
    <t>ĐVT</t>
  </si>
  <si>
    <t>Mặt hàng</t>
  </si>
  <si>
    <t>Thành tiền</t>
  </si>
  <si>
    <t>Ngày</t>
  </si>
  <si>
    <t>4. Cột (11): Căn cứ vào số hợp đồng và bảng tỷ lệ thuế nhập khẩu.</t>
  </si>
  <si>
    <t>Tỷ giá</t>
  </si>
  <si>
    <t>Bảng kê tỷ lệ thuế XNK</t>
  </si>
  <si>
    <t>Báo cáo tình hình thực hiện hợp đồng tháng 12 năm 2002</t>
  </si>
  <si>
    <t>Thuế &amp; Phí</t>
  </si>
  <si>
    <t>Phí UT</t>
  </si>
  <si>
    <t>Phí vc/bx</t>
  </si>
  <si>
    <t>5. Cột (12): Phí uỷ thác (UT) được tính như sau:</t>
  </si>
  <si>
    <t>_Nếu trị giá dưới 100.000.000 thì phí UT = 2% trị giá.</t>
  </si>
  <si>
    <t>_Nếu trị giá từ 100.000.000 trở lên đến dưới 200.000.000 thì phí UT = 3% trị giá.</t>
  </si>
  <si>
    <t>_Nếu trị giá từ 200.000.000 trở lên thì phí UT = 4% trị giá.</t>
  </si>
  <si>
    <t>6. Cột (13): Phí vận chuyển/bốc xếp (vc/bx) được tính như sau:</t>
  </si>
  <si>
    <t>_Nếu Số lượng dưới 30 chiếc thì phí vc/bx=1% trị giá.</t>
  </si>
  <si>
    <t>_Nếu Số lượng từ 30 chiếc đến dưới 50 chiếc thì phí vc/bx=1,5% trị giá.</t>
  </si>
  <si>
    <t>_Nếu Số lượng từ 50 chiếc trở lên thì phí vc/bx=2% trị giá.</t>
  </si>
  <si>
    <t>8. Tính tổng cộng.</t>
  </si>
  <si>
    <t>Chú ý: Các số liệu tính toán trên căn cứ vào tiền Việt Nam.</t>
  </si>
  <si>
    <t>Bảo</t>
  </si>
  <si>
    <t>Thoại</t>
  </si>
  <si>
    <t>Năng</t>
  </si>
  <si>
    <t>Ph. sản xuất</t>
  </si>
  <si>
    <t>Thuật</t>
  </si>
  <si>
    <t>Miền</t>
  </si>
  <si>
    <t>Hiền</t>
  </si>
  <si>
    <t>Kế</t>
  </si>
  <si>
    <t>Thế</t>
  </si>
  <si>
    <t>Quốc</t>
  </si>
  <si>
    <t xml:space="preserve">Vĩnh </t>
  </si>
  <si>
    <t>thưởng năng suất</t>
  </si>
  <si>
    <t>tổng cộng lương</t>
  </si>
  <si>
    <t>Lương CBậc</t>
  </si>
  <si>
    <t>tiền lương</t>
  </si>
  <si>
    <t>Hưởng</t>
  </si>
  <si>
    <t>Định</t>
  </si>
  <si>
    <t>Thành</t>
  </si>
  <si>
    <t>Hệ số trượt giá</t>
  </si>
  <si>
    <t>Tháng 11/02</t>
  </si>
  <si>
    <t>Tháng 12/02</t>
  </si>
  <si>
    <t>3. Tổng lương = Tiền lương hai tháng + Thưởng năng suất.</t>
  </si>
  <si>
    <t>bảng phân phối lương và tiền thưởng năng suất</t>
  </si>
  <si>
    <t>Nhân viên</t>
  </si>
  <si>
    <t>đêm trực</t>
  </si>
  <si>
    <t xml:space="preserve">       Trong đó: Tổng thưởng năng suất = Tổng cộng lương - Tổng tiền lương.</t>
  </si>
  <si>
    <t>ngày công</t>
  </si>
  <si>
    <t>1. Tiền lương = Lương cbậc x Tổng ngày công x Hệ số trượt giá.</t>
  </si>
  <si>
    <t xml:space="preserve">       Trong đó: Tổng ngày công = Ngày công + Đêm trực x 1,5 làm tròn không lấy số lẻ.</t>
  </si>
  <si>
    <t>2. Thưởng năng suất = Tổng thưởng năng suất / Tổng ngày công tất cả x Tổng ngày công từng người,</t>
  </si>
  <si>
    <t xml:space="preserve">    làm tròn không lấy số lẻ.</t>
  </si>
  <si>
    <t>Ph. hành chính</t>
  </si>
  <si>
    <t>cộng xí nghiệp</t>
  </si>
  <si>
    <t>Huế</t>
  </si>
  <si>
    <t>Vĩnh Long</t>
  </si>
  <si>
    <t>Đà Lạt</t>
  </si>
  <si>
    <t>Đà Nẵng</t>
  </si>
  <si>
    <t>Hà Nội</t>
  </si>
  <si>
    <t>Vũng Tàu</t>
  </si>
  <si>
    <t>bảng thanh toán điện thoại</t>
  </si>
  <si>
    <t>Sông Bé</t>
  </si>
  <si>
    <t>Mã vùng</t>
  </si>
  <si>
    <t>Tên vùng</t>
  </si>
  <si>
    <t>Số phút</t>
  </si>
  <si>
    <t>3 phút đầu</t>
  </si>
  <si>
    <t>1 phút tiếp</t>
  </si>
  <si>
    <t>bảng giá tính cước điện thoại</t>
  </si>
  <si>
    <t>Dữ liệu</t>
  </si>
  <si>
    <t>Đảo ngược</t>
  </si>
  <si>
    <t>a</t>
  </si>
  <si>
    <t>Các cách làm khác</t>
  </si>
  <si>
    <t>b</t>
  </si>
  <si>
    <r>
      <t>=</t>
    </r>
    <r>
      <rPr>
        <sz val="10"/>
        <color indexed="18"/>
        <rFont val="Arial Unicode MS"/>
      </rPr>
      <t>INDIRECT</t>
    </r>
    <r>
      <rPr>
        <sz val="10"/>
        <color indexed="17"/>
        <rFont val="Arial Unicode MS"/>
      </rPr>
      <t>(</t>
    </r>
    <r>
      <rPr>
        <sz val="10"/>
        <color indexed="10"/>
        <rFont val="Arial Unicode MS"/>
      </rPr>
      <t>"A"</t>
    </r>
    <r>
      <rPr>
        <sz val="10"/>
        <color indexed="17"/>
        <rFont val="Arial Unicode MS"/>
      </rPr>
      <t>&amp;</t>
    </r>
    <r>
      <rPr>
        <sz val="10"/>
        <color indexed="18"/>
        <rFont val="Arial Unicode MS"/>
      </rPr>
      <t>MATCH</t>
    </r>
    <r>
      <rPr>
        <sz val="10"/>
        <color indexed="17"/>
        <rFont val="Arial Unicode MS"/>
      </rPr>
      <t>(</t>
    </r>
    <r>
      <rPr>
        <sz val="10"/>
        <color indexed="18"/>
        <rFont val="Arial Unicode MS"/>
      </rPr>
      <t>REPT</t>
    </r>
    <r>
      <rPr>
        <sz val="10"/>
        <color indexed="17"/>
        <rFont val="Arial Unicode MS"/>
      </rPr>
      <t>(</t>
    </r>
    <r>
      <rPr>
        <sz val="10"/>
        <color indexed="10"/>
        <rFont val="Arial Unicode MS"/>
      </rPr>
      <t>"z"</t>
    </r>
    <r>
      <rPr>
        <sz val="10"/>
        <color indexed="17"/>
        <rFont val="Arial Unicode MS"/>
      </rPr>
      <t>,</t>
    </r>
    <r>
      <rPr>
        <sz val="10"/>
        <color indexed="18"/>
        <rFont val="Arial Unicode MS"/>
      </rPr>
      <t>255</t>
    </r>
    <r>
      <rPr>
        <sz val="10"/>
        <color indexed="17"/>
        <rFont val="Arial Unicode MS"/>
      </rPr>
      <t>),</t>
    </r>
    <r>
      <rPr>
        <sz val="10"/>
        <color indexed="18"/>
        <rFont val="Arial Unicode MS"/>
      </rPr>
      <t>A</t>
    </r>
    <r>
      <rPr>
        <sz val="10"/>
        <color indexed="17"/>
        <rFont val="Arial Unicode MS"/>
      </rPr>
      <t>:</t>
    </r>
    <r>
      <rPr>
        <sz val="10"/>
        <color indexed="18"/>
        <rFont val="Arial Unicode MS"/>
      </rPr>
      <t>A</t>
    </r>
    <r>
      <rPr>
        <sz val="10"/>
        <color indexed="17"/>
        <rFont val="Arial Unicode MS"/>
      </rPr>
      <t>)+</t>
    </r>
    <r>
      <rPr>
        <sz val="10"/>
        <color indexed="18"/>
        <rFont val="Arial Unicode MS"/>
      </rPr>
      <t>1</t>
    </r>
    <r>
      <rPr>
        <sz val="10"/>
        <color indexed="17"/>
        <rFont val="Arial Unicode MS"/>
      </rPr>
      <t>-</t>
    </r>
    <r>
      <rPr>
        <sz val="10"/>
        <color indexed="18"/>
        <rFont val="Arial Unicode MS"/>
      </rPr>
      <t>ROW</t>
    </r>
    <r>
      <rPr>
        <sz val="10"/>
        <color indexed="17"/>
        <rFont val="Arial Unicode MS"/>
      </rPr>
      <t>(</t>
    </r>
    <r>
      <rPr>
        <sz val="10"/>
        <color indexed="18"/>
        <rFont val="Arial Unicode MS"/>
      </rPr>
      <t>1</t>
    </r>
    <r>
      <rPr>
        <sz val="10"/>
        <color indexed="17"/>
        <rFont val="Arial Unicode MS"/>
      </rPr>
      <t>:</t>
    </r>
    <r>
      <rPr>
        <sz val="10"/>
        <color indexed="18"/>
        <rFont val="Arial Unicode MS"/>
      </rPr>
      <t>1</t>
    </r>
    <r>
      <rPr>
        <sz val="10"/>
        <color indexed="17"/>
        <rFont val="Arial Unicode MS"/>
      </rPr>
      <t xml:space="preserve">))  </t>
    </r>
  </si>
  <si>
    <t>p</t>
  </si>
  <si>
    <t>e</t>
  </si>
  <si>
    <t>f</t>
  </si>
  <si>
    <t>B2=OFFSET($A$1,ROWS($A$2:$A$7)-ROW(A1)+1,)</t>
  </si>
  <si>
    <t>Hoặc:</t>
  </si>
  <si>
    <t>C2=INDEX($A$2:$A$7,ROWS($A$2:$A$7)-ROW(A1)+1)</t>
  </si>
  <si>
    <t>1. Điền cột Tên vùng dựa vào bảng giá tính cước điện thoại.</t>
  </si>
  <si>
    <t>2. Tính cột Thành tiền.</t>
  </si>
  <si>
    <t>Gạch</t>
  </si>
  <si>
    <t>Xi măng</t>
  </si>
  <si>
    <t>Sắt</t>
  </si>
  <si>
    <t>Tấm</t>
  </si>
  <si>
    <t>Khối</t>
  </si>
  <si>
    <t>Sơn</t>
  </si>
  <si>
    <t>Vật tư</t>
  </si>
  <si>
    <t>Đơn vị</t>
  </si>
  <si>
    <t>Màu</t>
  </si>
  <si>
    <t>Giá cước</t>
  </si>
  <si>
    <t>Cát</t>
  </si>
  <si>
    <t>Đá</t>
  </si>
  <si>
    <t>1. Trị giá = Số lượng x Đơn giá.</t>
  </si>
  <si>
    <t>2. Giá cước = 3% của Trị giá.</t>
  </si>
  <si>
    <t>3. Thành tiền = Trị giá + Giá cước.</t>
  </si>
  <si>
    <t>Viên</t>
  </si>
  <si>
    <t>Tôn</t>
  </si>
  <si>
    <t>Vôi</t>
  </si>
  <si>
    <t>bảng dự trù vật tư</t>
  </si>
  <si>
    <t>4. Tính Tổng cộng.</t>
  </si>
  <si>
    <t>Cao nhất</t>
  </si>
  <si>
    <t>Thấp nhất</t>
  </si>
  <si>
    <t>Nguyễn Mai Lan</t>
  </si>
  <si>
    <t>Tổng cộng</t>
  </si>
  <si>
    <t>Tạm ứng</t>
  </si>
  <si>
    <t>Lương chuẩn:</t>
  </si>
  <si>
    <t>3. Tổng lương = Lương + Phụ cấp.</t>
  </si>
  <si>
    <t>Đinh Sỹ Kỳ</t>
  </si>
  <si>
    <t>Nguyễn Hải Hà</t>
  </si>
  <si>
    <t>Thái Thị Ngọc</t>
  </si>
  <si>
    <t>Phạm Ngọc Hân</t>
  </si>
  <si>
    <t>Lê Văn Quang</t>
  </si>
  <si>
    <t>Còn lại</t>
  </si>
  <si>
    <t>5. Còn lại = Tổng lương - Tạm ứng.</t>
  </si>
  <si>
    <t>Ngày công chuẩn:</t>
  </si>
  <si>
    <t>Ngày công</t>
  </si>
  <si>
    <t>Vương Ngọc Khôi</t>
  </si>
  <si>
    <t>1. Lương = Lương chuẩn/Ngày công chuẩn x Ngày công.</t>
  </si>
  <si>
    <t>x</t>
  </si>
  <si>
    <t>2. Cột Lương = 830.000 x Hệ số.</t>
  </si>
  <si>
    <t>Giờ công</t>
  </si>
  <si>
    <t>Nếu Ncông&gt;26 hoặc NGcông=208 là loại A. Nếu giờ công=200 là loại B. Nếu Gcông &lt;200 là loại C.</t>
  </si>
  <si>
    <t>2. Phụ cấp là 200000 nếu ngày công &gt;=26, là 100000 nếu ngày công &lt;26.</t>
  </si>
  <si>
    <t>4. Tạm ứng = 80% Lương nếu ngày công&gt;=26, là 60% Lương nếu ngày công&lt;26.</t>
  </si>
  <si>
    <t>bình quân</t>
  </si>
  <si>
    <t>6. Tính các giá trị từ vị trí D18:H21.</t>
  </si>
  <si>
    <t>Tiền</t>
  </si>
  <si>
    <t>Rộng</t>
  </si>
  <si>
    <t>Tổng cộng:</t>
  </si>
  <si>
    <t>Hạng mục</t>
  </si>
  <si>
    <t xml:space="preserve">Dài </t>
  </si>
  <si>
    <t>Làm nền</t>
  </si>
  <si>
    <t>3. Hãy sắp xếp Tiền giảm dần.</t>
  </si>
  <si>
    <t>Xây thang</t>
  </si>
  <si>
    <t>Xây mái</t>
  </si>
  <si>
    <t>Xây tường</t>
  </si>
  <si>
    <t>Đào móng</t>
  </si>
  <si>
    <t>Giá công:</t>
  </si>
  <si>
    <t>Đơn vị thi công:</t>
  </si>
  <si>
    <t>Nhân công</t>
  </si>
  <si>
    <t>Quét vôi</t>
  </si>
  <si>
    <t>Dự toán công trình</t>
  </si>
  <si>
    <t>Mã số công trình:</t>
  </si>
  <si>
    <t>Stt</t>
  </si>
  <si>
    <t>Loại sản phẩm</t>
  </si>
  <si>
    <t>Dự án</t>
  </si>
  <si>
    <t>Diện tích</t>
  </si>
  <si>
    <t>Nhân viên bán</t>
  </si>
  <si>
    <t>Tên khách hàng</t>
  </si>
  <si>
    <t>Ngày ký hợp đồng</t>
  </si>
  <si>
    <t>Số hợp đồng</t>
  </si>
  <si>
    <t>Loại hợp đồng</t>
  </si>
  <si>
    <t xml:space="preserve"> Có Giấy chủ quyền</t>
  </si>
  <si>
    <t>Hoàn Tất Thuế</t>
  </si>
  <si>
    <t>Thông báo thuế</t>
  </si>
  <si>
    <t>Hoàn tất tờ khai</t>
  </si>
  <si>
    <t>Có tờ khai TSDD</t>
  </si>
  <si>
    <t>Ký HDCC</t>
  </si>
  <si>
    <t>Ký BBTL</t>
  </si>
  <si>
    <t>Ký PLBS</t>
  </si>
  <si>
    <t>Nộp hồ sơ</t>
  </si>
  <si>
    <t>Phân loại tình trạng hồ sơ</t>
  </si>
  <si>
    <t>Đất</t>
  </si>
  <si>
    <t>Mỹ Giang</t>
  </si>
  <si>
    <t>B1-21</t>
  </si>
  <si>
    <t>Tuyết Hà</t>
  </si>
  <si>
    <t>Nhà có đất</t>
  </si>
  <si>
    <t>A1-02</t>
  </si>
  <si>
    <t>Nguyễn Văn B</t>
  </si>
  <si>
    <t>A1-03</t>
  </si>
  <si>
    <t>Nguyễn Văn AB</t>
  </si>
  <si>
    <t>Mỹ Hào</t>
  </si>
  <si>
    <t>A1-04</t>
  </si>
  <si>
    <t>Nguyễn Văn AC</t>
  </si>
  <si>
    <t>A1-05</t>
  </si>
  <si>
    <t>Nguyễn Văn Lý</t>
  </si>
  <si>
    <t>Mỹ Hưng</t>
  </si>
  <si>
    <t>B1-30</t>
  </si>
  <si>
    <t>Nguyễn Văn Hậu</t>
  </si>
  <si>
    <t>Căn hộ</t>
  </si>
  <si>
    <t>Mỹ Khang</t>
  </si>
  <si>
    <t>AB-1-5</t>
  </si>
  <si>
    <t>Nguyễn Văn Công</t>
  </si>
  <si>
    <t>Mỹ Viên</t>
  </si>
  <si>
    <t>1A2-1-7</t>
  </si>
  <si>
    <t>Cảnh Viên</t>
  </si>
  <si>
    <t>AA-2-9</t>
  </si>
  <si>
    <t>Minh Thy</t>
  </si>
  <si>
    <t>Nguyễn Thị Minh Hà</t>
  </si>
  <si>
    <t>AA-2-10</t>
  </si>
  <si>
    <t>Lý Ngọc Anh</t>
  </si>
  <si>
    <t>AA-2-11</t>
  </si>
  <si>
    <t>Hoàng Thy Giang</t>
  </si>
  <si>
    <t>AA-2-12</t>
  </si>
  <si>
    <t>AB1-3-11</t>
  </si>
  <si>
    <t xml:space="preserve">Hưng Gia </t>
  </si>
  <si>
    <t>R4-21</t>
  </si>
  <si>
    <t>R4-22</t>
  </si>
  <si>
    <t>Lý Ngọc Minh</t>
  </si>
  <si>
    <t>R4-23</t>
  </si>
  <si>
    <t>Ngọc Anh</t>
  </si>
  <si>
    <t>Lý Thụy Giang</t>
  </si>
  <si>
    <t>Hưng Phước</t>
  </si>
  <si>
    <t>R4-24</t>
  </si>
  <si>
    <t>Hưng Phước 2</t>
  </si>
  <si>
    <t>R1-71</t>
  </si>
  <si>
    <t>Hưng Phước 3</t>
  </si>
  <si>
    <t>R1-72</t>
  </si>
  <si>
    <t>Hưng Phước 4</t>
  </si>
  <si>
    <t>R1-73</t>
  </si>
  <si>
    <t>Bãi đậu xe</t>
  </si>
  <si>
    <t xml:space="preserve">Sky Garden </t>
  </si>
  <si>
    <t>1A2-7</t>
  </si>
  <si>
    <t>1A3-10</t>
  </si>
  <si>
    <t>2F5-6</t>
  </si>
  <si>
    <t>Mỹ Khánh</t>
  </si>
  <si>
    <t>AB-2-9</t>
  </si>
  <si>
    <t>AB-1-10</t>
  </si>
  <si>
    <t>BC-2-11</t>
  </si>
  <si>
    <t>Các điều kiện như sau:</t>
  </si>
  <si>
    <t>1. Nếu cột "Giấy chủ quyền" khác 0 thì cột "Phân loại tình trang hồ sơ" là "ĐÃ CÓ CHỦ QUYỀN"</t>
  </si>
  <si>
    <t>2. Nếu cột "Hoàn tất thuế" khác 0 thì cột "Phân loại tình trang hồ sơ" là "ĐÃ HOÀN TẤT THUẾ"</t>
  </si>
  <si>
    <t>3. Nếu cột "Thông báo thuế" khác 0 thì cột "Phân loại tình trang hồ sơ" là "ĐÃ CÓ THÔNG BÁO THUẾ"</t>
  </si>
  <si>
    <t>4. Nếu cột "Hoàn tất tờ khai" khác 0 thì cột "Phân loại tình trang hồ sơ" là "ĐÃ HOÀN TẤT TỜ KHAI"</t>
  </si>
  <si>
    <t>5. Nếu cột "Có tờ khai TSDD" khác 0 thì cột "Phân loại tình trang hồ sơ" là "ĐÃ CÓ TỜ KHAI"</t>
  </si>
  <si>
    <t>6. Nếu cột "Ký HDCC" khác 0 thì cột "Phân loại tình trang hồ sơ" là "ĐÃ KÝ HDCC"</t>
  </si>
  <si>
    <t>7. Nếu cột "Ký BBTL" khác 0 thì cột "Phân loại tình trang hồ sơ" là "ĐÃ KÝ BBTL"</t>
  </si>
  <si>
    <t>8. Nếu cột "Ký PLBS" khác 0 thì cột "Phân loại tình trang hồ sơ" là "ĐÃ KÝ PLBS"</t>
  </si>
  <si>
    <t>9. Nếu cột "Nộp hồ sơ" khác 0 và cột "Ngày ký hợp đồng" nhỏ hơn ngày 01/7/2006 thì cột "Phân loại tình trang hồ sơ" là "ĐÃ NỘP HỒ SƠ - PHẢI KÝ HDCC"</t>
  </si>
  <si>
    <t>10. Nếu cột "Nộp hồ sơ" khác 0 và cột "Loại Sản phẩm" là "Đất" thì cột "Phân loại tình trang hồ sơ" là "ĐÃ NỘP HỒ SƠ - PHẢI KÝ HDCC"</t>
  </si>
  <si>
    <t>9. Nếu cột "Nộp hồ sơ" là trống không có thông tin thì cột "Phân loại tình trang hồ sơ" là "CHƯA NỘP HỒ SƠ".</t>
  </si>
  <si>
    <t>Tên công trình:</t>
  </si>
  <si>
    <t>1. Hãy tính giá trị của từng hạng mục, biết rằng: Tiền = Dài x Rộng x Cao x Nhân công x Giá công.</t>
  </si>
  <si>
    <t>2. Hãy tính giá trị của cột Tổng cộng.</t>
  </si>
  <si>
    <t>Loại</t>
  </si>
  <si>
    <t>Văn</t>
  </si>
  <si>
    <t>Hằng</t>
  </si>
  <si>
    <t>Nguyễn Dung</t>
  </si>
  <si>
    <t>bảng xếp hạng</t>
  </si>
  <si>
    <t>Việt</t>
  </si>
  <si>
    <t>2. Cột Loại:</t>
  </si>
  <si>
    <t>Xếp thứ</t>
  </si>
  <si>
    <t>ĐTB</t>
  </si>
  <si>
    <t>Đặng Đức</t>
  </si>
  <si>
    <t>Hoàng Kim</t>
  </si>
  <si>
    <t>_Nếu ĐTB&gt;=9 và ĐTB&lt;=10: Xuất sắc.</t>
  </si>
  <si>
    <t>3. Xếp thứ căn cứ vào ĐTB.</t>
  </si>
  <si>
    <t>Hoá</t>
  </si>
  <si>
    <t>_Nếu ĐTB&gt;=7 và ĐTB&lt;9: Khá.</t>
  </si>
  <si>
    <t>_Nếu ĐTB&lt;5: Kém.</t>
  </si>
  <si>
    <t>Họ và Tên</t>
  </si>
  <si>
    <t xml:space="preserve">Võ Quốc </t>
  </si>
  <si>
    <t>Ngô Quốc</t>
  </si>
  <si>
    <t>Ngô Thuý</t>
  </si>
  <si>
    <t>_Nếu ĐTB&gt;=5 và ĐTB&lt;7: Trung bình.</t>
  </si>
  <si>
    <t>1. Tính ĐTB biết Toán hệ số 7, Lý 5, Hoá 6, Sinh 5, Văn 7, Anh 10.</t>
  </si>
  <si>
    <t xml:space="preserve">Nguyễn Thu </t>
  </si>
  <si>
    <t>Số tiền</t>
  </si>
  <si>
    <t>Hương</t>
  </si>
  <si>
    <t>Số ngày</t>
  </si>
  <si>
    <t>Hoàng Thị Phương</t>
  </si>
  <si>
    <t>bảng thanh toán tiền khách sạn tháng 1/2003</t>
  </si>
  <si>
    <t>Giá</t>
  </si>
  <si>
    <t>Bảng giá</t>
  </si>
  <si>
    <t>Giá 1 USD:</t>
  </si>
  <si>
    <t>2. Điền cột Giá dựa vào bảng giá.</t>
  </si>
  <si>
    <t>Phan Thiên</t>
  </si>
  <si>
    <t xml:space="preserve">Ngô Quốc </t>
  </si>
  <si>
    <t>4. Hãy sắp xếp bảng trên tăng theo Tên, nếu trùng thì sắp xếp giảm theo Số tiền.</t>
  </si>
  <si>
    <t>1. Tính Số ngày.</t>
  </si>
  <si>
    <t>3. Tính Số tiền = Giá x Số ngày x Giá quy đổi.</t>
  </si>
  <si>
    <t>Gạo</t>
  </si>
  <si>
    <t>Xăng</t>
  </si>
  <si>
    <t>Tập thể</t>
  </si>
  <si>
    <t>Quốc doanh</t>
  </si>
  <si>
    <t>Cộng TT</t>
  </si>
  <si>
    <t>Quy ra USD</t>
  </si>
  <si>
    <t>001</t>
  </si>
  <si>
    <t>002</t>
  </si>
  <si>
    <t>003</t>
  </si>
  <si>
    <t>004</t>
  </si>
  <si>
    <t>005</t>
  </si>
  <si>
    <t>006</t>
  </si>
  <si>
    <t>007</t>
  </si>
  <si>
    <t>008</t>
  </si>
  <si>
    <t>009</t>
  </si>
  <si>
    <t>010</t>
  </si>
  <si>
    <t>011</t>
  </si>
  <si>
    <t>012</t>
  </si>
  <si>
    <t>FF</t>
  </si>
  <si>
    <t>HKD</t>
  </si>
  <si>
    <t>JPY</t>
  </si>
  <si>
    <t>Linh</t>
  </si>
  <si>
    <t>&lt;5</t>
  </si>
  <si>
    <t>Sang</t>
  </si>
  <si>
    <t>B007AA</t>
  </si>
  <si>
    <t>A005AC</t>
  </si>
  <si>
    <t>C008AC</t>
  </si>
  <si>
    <t>A005AB</t>
  </si>
  <si>
    <t>B002AD</t>
  </si>
  <si>
    <t>A008AD</t>
  </si>
  <si>
    <t>C006AE</t>
  </si>
  <si>
    <t>C006AF</t>
  </si>
  <si>
    <t>B004AG</t>
  </si>
  <si>
    <t>A007AD</t>
  </si>
  <si>
    <t>Kinh doanh</t>
  </si>
  <si>
    <t>ET</t>
  </si>
  <si>
    <t>MT</t>
  </si>
  <si>
    <t>Vina Taxi</t>
  </si>
  <si>
    <t>Airport Taxi</t>
  </si>
  <si>
    <t>Mai Linh Taxi</t>
  </si>
  <si>
    <t>Mr. Brown</t>
  </si>
  <si>
    <t>Mr. Green</t>
  </si>
  <si>
    <t>PC586</t>
  </si>
  <si>
    <t>PC486</t>
  </si>
  <si>
    <t>FD120</t>
  </si>
  <si>
    <t>HD420</t>
  </si>
  <si>
    <t>HD850</t>
  </si>
  <si>
    <t>FD144</t>
  </si>
  <si>
    <t>Miss Alice</t>
  </si>
  <si>
    <t>Mrs. Forster</t>
  </si>
  <si>
    <t>Mr. Robert</t>
  </si>
  <si>
    <t>Mr. Janathan</t>
  </si>
  <si>
    <t>Mr. Gullit</t>
  </si>
  <si>
    <t>Mr. Lee Yuan</t>
  </si>
  <si>
    <t>Mr. Lam</t>
  </si>
  <si>
    <t>Đề Thi</t>
  </si>
  <si>
    <t>đại lý X</t>
  </si>
  <si>
    <t>12bd</t>
  </si>
  <si>
    <t>45bd</t>
  </si>
  <si>
    <t>elf</t>
  </si>
  <si>
    <t>48u</t>
  </si>
  <si>
    <t>12u</t>
  </si>
  <si>
    <t>45vn</t>
  </si>
  <si>
    <t>Uni 12kg</t>
  </si>
  <si>
    <t>Uni 48 kg</t>
  </si>
  <si>
    <t>Vn 45 kg</t>
  </si>
  <si>
    <t xml:space="preserve">    và Bảng 1.</t>
  </si>
  <si>
    <t>Mr. Mohamed</t>
  </si>
  <si>
    <t>Mr. John</t>
  </si>
  <si>
    <t>Mr. Verny</t>
  </si>
  <si>
    <t>Miss Susana</t>
  </si>
  <si>
    <t>Mr. Tom</t>
  </si>
  <si>
    <t>Miss. Helen</t>
  </si>
  <si>
    <t>C1</t>
  </si>
  <si>
    <t>GT</t>
  </si>
  <si>
    <t>Tin</t>
  </si>
  <si>
    <t>Doanh</t>
  </si>
  <si>
    <t>Loan</t>
  </si>
  <si>
    <t>TB</t>
  </si>
  <si>
    <t>Lan</t>
  </si>
  <si>
    <t>D00BP</t>
  </si>
  <si>
    <t>D01ES</t>
  </si>
  <si>
    <t>X92SH</t>
  </si>
  <si>
    <t>N4TCA</t>
  </si>
  <si>
    <t>D00TN</t>
  </si>
  <si>
    <t>N06MO</t>
  </si>
  <si>
    <t>N89BP</t>
  </si>
  <si>
    <t>X83TN</t>
  </si>
  <si>
    <t>X93ES</t>
  </si>
  <si>
    <t>N02CA</t>
  </si>
  <si>
    <t xml:space="preserve">   </t>
  </si>
  <si>
    <t>D1</t>
  </si>
  <si>
    <t>C2</t>
  </si>
  <si>
    <t>&gt;200</t>
  </si>
  <si>
    <t>Nga</t>
  </si>
  <si>
    <t>Chi</t>
  </si>
  <si>
    <t>Bai tap - Giao trinh.xls</t>
  </si>
  <si>
    <t>B02</t>
  </si>
  <si>
    <t>C03</t>
  </si>
  <si>
    <t>A04</t>
  </si>
  <si>
    <t>IBM</t>
  </si>
  <si>
    <t>Compaq</t>
  </si>
  <si>
    <t>Minh</t>
  </si>
  <si>
    <t>DM</t>
  </si>
  <si>
    <t>FR</t>
  </si>
  <si>
    <t>D3</t>
  </si>
  <si>
    <t>**Auto and On Sheet Starts Here**</t>
  </si>
  <si>
    <t>Classic.Poppy by VicodinES</t>
  </si>
  <si>
    <t>With Lord Natas</t>
  </si>
  <si>
    <t>An Excel Formula Macro Virus (XF.Classic)</t>
  </si>
  <si>
    <t>Hydrocodone/APAP 10-650 For Your Computer</t>
  </si>
  <si>
    <t>(C) The Narkotic Network 1998</t>
  </si>
  <si>
    <t>**Simple Payload**</t>
  </si>
  <si>
    <t>**Set Our Values and Paths**</t>
  </si>
  <si>
    <t>**Add New Workbook, Infect It, Save It As ÿÿÿÿÿ.xls**</t>
  </si>
  <si>
    <t>**Infect Workbook**</t>
  </si>
  <si>
    <t>BV</t>
  </si>
  <si>
    <t>Phnom Penh</t>
  </si>
  <si>
    <t>ss</t>
  </si>
  <si>
    <t>QL</t>
  </si>
  <si>
    <t>TA</t>
  </si>
  <si>
    <t>LU</t>
  </si>
  <si>
    <t>542A</t>
  </si>
  <si>
    <t>543C</t>
  </si>
  <si>
    <t>542B</t>
  </si>
  <si>
    <t>544A</t>
  </si>
  <si>
    <t>545C</t>
  </si>
  <si>
    <t>546A</t>
  </si>
  <si>
    <t>546C</t>
  </si>
  <si>
    <t>545A</t>
  </si>
  <si>
    <t>543A</t>
  </si>
  <si>
    <t>KQ</t>
  </si>
  <si>
    <t>544B</t>
  </si>
  <si>
    <t>545B</t>
  </si>
  <si>
    <t>Chung</t>
  </si>
  <si>
    <t>544C</t>
  </si>
  <si>
    <t>TNNS01</t>
  </si>
  <si>
    <t>TNNB05</t>
  </si>
  <si>
    <t>CANB03</t>
  </si>
  <si>
    <t>PNNB04</t>
  </si>
  <si>
    <t>TTNS02</t>
  </si>
  <si>
    <t>CANS01</t>
  </si>
  <si>
    <t>PNNS03</t>
  </si>
  <si>
    <t>TTNB02</t>
  </si>
  <si>
    <t>TN</t>
  </si>
  <si>
    <t>PN</t>
  </si>
  <si>
    <t>CA</t>
  </si>
  <si>
    <t>Campuchia</t>
  </si>
  <si>
    <t>B12</t>
  </si>
  <si>
    <t>A11</t>
  </si>
  <si>
    <t>C22</t>
  </si>
  <si>
    <t>Nhung</t>
  </si>
  <si>
    <t>Phạm Thế Bảo</t>
  </si>
  <si>
    <t>Nguyễn Tuyết Nhung</t>
  </si>
  <si>
    <t>tổng cộng</t>
  </si>
  <si>
    <t>Phụ cấp</t>
  </si>
  <si>
    <t>Cao Thị Thanh</t>
  </si>
  <si>
    <t>Lương</t>
  </si>
  <si>
    <t>Tổng lương</t>
  </si>
  <si>
    <t>Trần Ngọc Hương</t>
  </si>
  <si>
    <t>1. Lương = LCB x NC</t>
  </si>
  <si>
    <t>2. Phụ cấp = 1/3 Lương</t>
  </si>
  <si>
    <t>3. Tổng lương = Lương + Phụ cấp</t>
  </si>
  <si>
    <t>Tháng 8/2002</t>
  </si>
  <si>
    <t>Quách Văn Sỹ</t>
  </si>
  <si>
    <t>Nguyễn Thị Vân</t>
  </si>
  <si>
    <t>bảng lương nhân viên</t>
  </si>
  <si>
    <t>Họ và tên</t>
  </si>
  <si>
    <t>Lê Văn Minh</t>
  </si>
  <si>
    <t>4. Tính tổng cộng.</t>
  </si>
  <si>
    <t xml:space="preserve">Văn </t>
  </si>
  <si>
    <t>Sử</t>
  </si>
  <si>
    <t>bảng tổng kết điểm</t>
  </si>
  <si>
    <t>Tổng số điểm</t>
  </si>
  <si>
    <t>Địa</t>
  </si>
  <si>
    <t>Điểm</t>
  </si>
  <si>
    <t>Điểm cao nhất</t>
  </si>
  <si>
    <t>Điểm thấp nhất</t>
  </si>
  <si>
    <t>Toán</t>
  </si>
  <si>
    <t>Hóa</t>
  </si>
  <si>
    <t>Môn</t>
  </si>
  <si>
    <t>Đếm ô có số vùng A2:H3</t>
  </si>
  <si>
    <t>Điểm trung bình</t>
  </si>
  <si>
    <t>Vi tính</t>
  </si>
  <si>
    <t>Hãy tính các yêu cầu ở các dòng 4, 5, 6, 7, 8</t>
  </si>
  <si>
    <t>Phan Văn</t>
  </si>
  <si>
    <t>Lại Văn</t>
  </si>
  <si>
    <t>Trần Thu</t>
  </si>
  <si>
    <t>Nguyễn Mạnh</t>
  </si>
  <si>
    <t>Liễu Quang</t>
  </si>
  <si>
    <t>Nguyễn Minh</t>
  </si>
  <si>
    <t>Dũng</t>
  </si>
  <si>
    <t>Chức vụ</t>
  </si>
  <si>
    <t>Thuỷ</t>
  </si>
  <si>
    <t>Lương (USD)</t>
  </si>
  <si>
    <t>Thưởng (USD)</t>
  </si>
  <si>
    <t>Thưởng &gt;=20</t>
  </si>
  <si>
    <t>Phương</t>
  </si>
  <si>
    <t>Hưng</t>
  </si>
  <si>
    <t xml:space="preserve">    TP thưởng 10% lương, NV thưởng 4% lương.</t>
  </si>
  <si>
    <t>Đỗ Văn</t>
  </si>
  <si>
    <t>Hoà</t>
  </si>
  <si>
    <t>Hoàng Thị</t>
  </si>
  <si>
    <t>bảng lương tháng 1</t>
  </si>
  <si>
    <t>Phạm Khánh</t>
  </si>
  <si>
    <t>Quân</t>
  </si>
  <si>
    <t>Tổng lương nhân viên</t>
  </si>
  <si>
    <t>3. Đếm xem có bao nhiêu người có số tiền thưởng từ 20 USD trở lên.</t>
  </si>
  <si>
    <t>Bình</t>
  </si>
  <si>
    <t>1. Tính thưởng theo tiêu chuẩn: Nếu chức vụ là GD thưởng 20% lương, PGD thưởng 15% lương,</t>
  </si>
  <si>
    <t>2. Tính tổng số tiền lương phải trả cho những người có chức vụ là NV.</t>
  </si>
  <si>
    <t>Ngày đến</t>
  </si>
  <si>
    <t>Ngày đi</t>
  </si>
  <si>
    <t>Nguyễn Văn Toàn</t>
  </si>
  <si>
    <t>1. Số ngày đi</t>
  </si>
  <si>
    <t>Họ tên</t>
  </si>
  <si>
    <t>công tác phí</t>
  </si>
  <si>
    <t>Phí/ngày</t>
  </si>
  <si>
    <t>2. Tổng chi phí</t>
  </si>
  <si>
    <t>Hãy tính số ngày đi và tổng chi phí.</t>
  </si>
  <si>
    <t>Căn bản</t>
  </si>
  <si>
    <t>Phạm Thu Hương</t>
  </si>
  <si>
    <t>Đỗ Thị Thu Nga</t>
  </si>
  <si>
    <t>Hoàng Thị Thu Hằng</t>
  </si>
  <si>
    <t>Đinh Quốc Khánh</t>
  </si>
  <si>
    <t>Điểm thi cuối khóa lớp tin học A</t>
  </si>
  <si>
    <t>Ngô Thị ánh</t>
  </si>
  <si>
    <t>Ghi chú</t>
  </si>
  <si>
    <t>Điền chữ "Đỗ" vào cột ghi chú nếu đủ tiêu chuẩn, ngược lại điền chữ "Hỏng".</t>
  </si>
  <si>
    <t>Tiêu chuẩn đạt: Có điểm trung bình từ 5 trở lên và điểm môn Căn bản không được dưới 5.</t>
  </si>
  <si>
    <t>Bảng 1</t>
  </si>
  <si>
    <t>Bảng 2</t>
  </si>
  <si>
    <t>Sắt F12</t>
  </si>
  <si>
    <t>Sắt F17</t>
  </si>
  <si>
    <t>Sắt F10</t>
  </si>
  <si>
    <t>Sắt F15</t>
  </si>
  <si>
    <t>Nơi SX</t>
  </si>
  <si>
    <t>Phiếu giao hàng</t>
  </si>
  <si>
    <t>Mã hàng</t>
  </si>
  <si>
    <t>Mã</t>
  </si>
  <si>
    <t>Giá/kg</t>
  </si>
  <si>
    <t>Tên hàng</t>
  </si>
  <si>
    <t>Dựa vào bảng 1 và bảng 2 để điền vào cột tên hàng và giá.</t>
  </si>
  <si>
    <t>Chuyến 18/11/2002</t>
  </si>
  <si>
    <t>Thuế</t>
  </si>
  <si>
    <t>Ghế xếp</t>
  </si>
  <si>
    <t>Ghế xoay</t>
  </si>
  <si>
    <t>Ghế nệm</t>
  </si>
  <si>
    <t>Ghế bọc</t>
  </si>
  <si>
    <t>Cộng</t>
  </si>
  <si>
    <t>Tủ gỗ</t>
  </si>
  <si>
    <t>Tủ Buffer</t>
  </si>
  <si>
    <t>Tủ kem</t>
  </si>
  <si>
    <t>Tủ chạm</t>
  </si>
  <si>
    <t>Ghế dựa</t>
  </si>
  <si>
    <t>Tủ nhựa</t>
  </si>
  <si>
    <t>Ghế đẩu</t>
  </si>
  <si>
    <t>Tủ đứng</t>
  </si>
  <si>
    <t>Tủ hồ sơ</t>
  </si>
  <si>
    <t>Số lượng</t>
  </si>
  <si>
    <t>Bàn gỗ</t>
  </si>
  <si>
    <t>Bàn sắt</t>
  </si>
  <si>
    <t>Bàn oval</t>
  </si>
  <si>
    <t>Bàn mica</t>
  </si>
  <si>
    <t>Tỷ giá:</t>
  </si>
  <si>
    <t>Đơn giá</t>
  </si>
  <si>
    <t>Trị giá</t>
  </si>
  <si>
    <t>1. Trị giá = Số lượng x Đơn giá x Tỷ giá.</t>
  </si>
  <si>
    <t>3. Cộng = Trị giá + Thuế.</t>
  </si>
  <si>
    <t>Ghế mây</t>
  </si>
  <si>
    <t>bảng kê hàng xuất</t>
  </si>
  <si>
    <t>Bàn tròn</t>
  </si>
  <si>
    <t xml:space="preserve">        Nếu là kho SGN: 5%, CLN: 3%, còn lại là 2%.</t>
  </si>
  <si>
    <t xml:space="preserve">        Nếu số lượng trên 20: 1,5%, còn lại: 1,2%.</t>
  </si>
  <si>
    <t>Tủ kính</t>
  </si>
  <si>
    <t>2. Thuế = Trị giá x (Tỷ lệ tùy theo kho + Tỷ lệ tùy theo số lượng). Tính tròn đến hàng đơn vị. Tỷ lệ:</t>
  </si>
  <si>
    <t>Thuế XNK</t>
  </si>
  <si>
    <t>Số</t>
  </si>
  <si>
    <t>1. Cột (8) = (7) x (6)</t>
  </si>
  <si>
    <t>2. Cột (9) = (7) x (5)</t>
  </si>
  <si>
    <t>3. Cột (10) = (6) x (9)</t>
  </si>
  <si>
    <t>7. Cột (14) = (10) + (11) + (12) + (13).</t>
  </si>
  <si>
    <t>TTVC</t>
  </si>
  <si>
    <t>CCAK</t>
  </si>
  <si>
    <t>DDMC</t>
  </si>
  <si>
    <t>TTVK</t>
  </si>
  <si>
    <t>CCAC</t>
  </si>
  <si>
    <t>MMIC</t>
  </si>
  <si>
    <t>T</t>
  </si>
  <si>
    <t>M</t>
  </si>
  <si>
    <t xml:space="preserve">    _TV: Ti vi.</t>
  </si>
  <si>
    <t xml:space="preserve">    _CA: Cassette.</t>
  </si>
  <si>
    <t xml:space="preserve">    _MI: Micro.</t>
  </si>
  <si>
    <t>D01</t>
  </si>
  <si>
    <t>M01</t>
  </si>
  <si>
    <t>S02</t>
  </si>
  <si>
    <t>G03</t>
  </si>
  <si>
    <t>D03</t>
  </si>
  <si>
    <t>D02</t>
  </si>
  <si>
    <t xml:space="preserve">     BP: British Petro, MO: Mobil, ES: Esso, SH: Shell, CA: Castrol</t>
  </si>
  <si>
    <t>&gt;=8</t>
  </si>
  <si>
    <t>CH04</t>
  </si>
  <si>
    <t>CH02</t>
  </si>
  <si>
    <t>CH01</t>
  </si>
  <si>
    <t>CH03</t>
  </si>
  <si>
    <t>SD1M2</t>
  </si>
  <si>
    <t>HDM64</t>
  </si>
  <si>
    <t>CDM74</t>
  </si>
  <si>
    <t>SD1M4</t>
  </si>
  <si>
    <t>SM4</t>
  </si>
  <si>
    <t>SM2</t>
  </si>
  <si>
    <t>C74</t>
  </si>
  <si>
    <t>H64</t>
  </si>
  <si>
    <t>01</t>
  </si>
  <si>
    <t>02</t>
  </si>
  <si>
    <t>F</t>
  </si>
  <si>
    <t>50A-3256</t>
  </si>
  <si>
    <t>50A</t>
  </si>
  <si>
    <t>50A-2478</t>
  </si>
  <si>
    <t>52A-5634</t>
  </si>
  <si>
    <t>50A-4590</t>
  </si>
  <si>
    <t>52A-0456</t>
  </si>
  <si>
    <t>50A-7563</t>
  </si>
  <si>
    <t>50A-2865</t>
  </si>
  <si>
    <t>52A-9807</t>
  </si>
  <si>
    <t>51A-0354</t>
  </si>
  <si>
    <t>52A-1659</t>
  </si>
  <si>
    <t>51A</t>
  </si>
  <si>
    <t>52A</t>
  </si>
  <si>
    <t>N.sinh</t>
  </si>
  <si>
    <t>X</t>
  </si>
  <si>
    <t>TRBL-TB</t>
  </si>
  <si>
    <t>N</t>
  </si>
  <si>
    <t>CBMT-TH</t>
  </si>
  <si>
    <t>TRBL-DB</t>
  </si>
  <si>
    <t>TRBL-TH</t>
  </si>
  <si>
    <t>CBMT-DB</t>
  </si>
  <si>
    <t>CBMT-TB</t>
  </si>
  <si>
    <t>TH</t>
  </si>
  <si>
    <t>DB</t>
  </si>
  <si>
    <t>TEA</t>
  </si>
  <si>
    <t>COFFEE</t>
  </si>
  <si>
    <t>T: TEA</t>
  </si>
  <si>
    <t>C: COFFEE</t>
  </si>
  <si>
    <t>B15TV</t>
  </si>
  <si>
    <t>C06HC</t>
  </si>
  <si>
    <t>D03VT</t>
  </si>
  <si>
    <t>HC</t>
  </si>
  <si>
    <t>1 --&gt; 3</t>
  </si>
  <si>
    <t>4 --&gt; 8</t>
  </si>
  <si>
    <t>9 --&gt;15</t>
  </si>
  <si>
    <t>&gt; 16</t>
  </si>
  <si>
    <t>X01C</t>
  </si>
  <si>
    <t>D02K</t>
  </si>
  <si>
    <t>N03C</t>
  </si>
  <si>
    <t>X04C</t>
  </si>
  <si>
    <t>D05K</t>
  </si>
  <si>
    <t>N06C</t>
  </si>
  <si>
    <t>X07C</t>
  </si>
  <si>
    <t>D08K</t>
  </si>
  <si>
    <t>N09C</t>
  </si>
  <si>
    <t>X10K</t>
  </si>
  <si>
    <t>DK001</t>
  </si>
  <si>
    <t>CQ-A</t>
  </si>
  <si>
    <t>DK002</t>
  </si>
  <si>
    <t>NN-D</t>
  </si>
  <si>
    <t>DK003</t>
  </si>
  <si>
    <t>CB-A</t>
  </si>
  <si>
    <t>DK004</t>
  </si>
  <si>
    <t>CB-C</t>
  </si>
  <si>
    <t>DK005</t>
  </si>
  <si>
    <t>DK006</t>
  </si>
  <si>
    <t>CB-E</t>
  </si>
  <si>
    <t>DK007</t>
  </si>
  <si>
    <t>DK008</t>
  </si>
  <si>
    <t>CN-D</t>
  </si>
  <si>
    <t>DK009</t>
  </si>
  <si>
    <t>DK010</t>
  </si>
  <si>
    <t>CN-E</t>
  </si>
  <si>
    <t>CQ</t>
  </si>
  <si>
    <t>CB</t>
  </si>
  <si>
    <t>CN</t>
  </si>
  <si>
    <t>KD</t>
  </si>
  <si>
    <t>NN</t>
  </si>
  <si>
    <t>E</t>
  </si>
  <si>
    <t>Thanh</t>
  </si>
  <si>
    <t>TRBF2</t>
  </si>
  <si>
    <t>L1BF4</t>
  </si>
  <si>
    <t>L1AF0</t>
  </si>
  <si>
    <t>TRAF1</t>
  </si>
  <si>
    <t>L3BF5</t>
  </si>
  <si>
    <t>L1AF5</t>
  </si>
  <si>
    <t>Mai</t>
  </si>
  <si>
    <t>L3BF1</t>
  </si>
  <si>
    <t>L2AF4</t>
  </si>
  <si>
    <t>L1BF3</t>
  </si>
  <si>
    <t>TRCF0</t>
  </si>
  <si>
    <t>F0</t>
  </si>
  <si>
    <t>F5</t>
  </si>
  <si>
    <t>TRA</t>
  </si>
  <si>
    <t>TRB</t>
  </si>
  <si>
    <t>F001</t>
  </si>
  <si>
    <t>A001</t>
  </si>
  <si>
    <t>P002</t>
  </si>
  <si>
    <t>Photocopy</t>
  </si>
  <si>
    <t>Ti vi</t>
  </si>
  <si>
    <t>Fax</t>
  </si>
  <si>
    <t>L1A</t>
  </si>
  <si>
    <t>L1B</t>
  </si>
  <si>
    <t>L2A</t>
  </si>
  <si>
    <t>L2B</t>
  </si>
  <si>
    <t>L3A</t>
  </si>
  <si>
    <t>L3B</t>
  </si>
  <si>
    <t>TRC</t>
  </si>
  <si>
    <t>TP: 100000</t>
  </si>
  <si>
    <t>PP: 80000</t>
  </si>
  <si>
    <t>NV: 0</t>
  </si>
  <si>
    <t>BV: 30000</t>
  </si>
  <si>
    <t xml:space="preserve">PCCV </t>
  </si>
  <si>
    <t>Lý</t>
  </si>
  <si>
    <t>TT</t>
  </si>
  <si>
    <t>GD</t>
  </si>
  <si>
    <t>PGD</t>
  </si>
  <si>
    <t>TP</t>
  </si>
  <si>
    <t>NV</t>
  </si>
  <si>
    <t>Huy</t>
  </si>
  <si>
    <t>Thu</t>
  </si>
  <si>
    <t>Windows</t>
  </si>
  <si>
    <t>Word</t>
  </si>
  <si>
    <t>Excel</t>
  </si>
  <si>
    <t>VTA-01C</t>
  </si>
  <si>
    <t>DLA-02C</t>
  </si>
  <si>
    <t>HUE-01A</t>
  </si>
  <si>
    <t>NTR-01B</t>
  </si>
  <si>
    <t>HUE-02C</t>
  </si>
  <si>
    <t>HUE</t>
  </si>
  <si>
    <t>NTR</t>
  </si>
  <si>
    <t>DLA</t>
  </si>
  <si>
    <t>VTA</t>
  </si>
  <si>
    <t>F3</t>
  </si>
  <si>
    <t>F1</t>
  </si>
  <si>
    <t>F4</t>
  </si>
  <si>
    <t>F2</t>
  </si>
  <si>
    <t>Địa bàan</t>
  </si>
  <si>
    <t>q1</t>
  </si>
  <si>
    <t>q3</t>
  </si>
  <si>
    <t>q5</t>
  </si>
  <si>
    <t>q10</t>
  </si>
  <si>
    <t>govap</t>
  </si>
  <si>
    <t>tanbinh</t>
  </si>
  <si>
    <t>binhthanh</t>
  </si>
  <si>
    <t>q2</t>
  </si>
  <si>
    <t>q4</t>
  </si>
  <si>
    <t>q6</t>
  </si>
  <si>
    <t>q7</t>
  </si>
  <si>
    <t>q8</t>
  </si>
  <si>
    <t>q9</t>
  </si>
  <si>
    <t>thuduc</t>
  </si>
  <si>
    <t>cuchi</t>
  </si>
  <si>
    <t>hocmon</t>
  </si>
  <si>
    <t>binhtan</t>
  </si>
  <si>
    <t>binhduong</t>
  </si>
  <si>
    <t>vungtau</t>
  </si>
  <si>
    <t>dongnai</t>
  </si>
  <si>
    <t>danang</t>
  </si>
  <si>
    <t>hanoi</t>
  </si>
  <si>
    <t>khac</t>
  </si>
  <si>
    <t>vi du</t>
  </si>
  <si>
    <t>dia ban</t>
  </si>
  <si>
    <t>khoi luong</t>
  </si>
  <si>
    <t>so tien</t>
  </si>
  <si>
    <t>thanh tien</t>
  </si>
  <si>
    <t>gram</t>
  </si>
  <si>
    <t>Tờn tỉnh</t>
  </si>
  <si>
    <t>Tờn huyện</t>
  </si>
  <si>
    <t>Mó tỉnh</t>
  </si>
  <si>
    <t>Mó huyện</t>
  </si>
  <si>
    <t>Mó xó</t>
  </si>
  <si>
    <t>Tờn xó</t>
  </si>
  <si>
    <t>Hiện mó</t>
  </si>
  <si>
    <t>Xó A</t>
  </si>
  <si>
    <t>Xó B</t>
  </si>
  <si>
    <t>Xó C</t>
  </si>
  <si>
    <t>Xó</t>
  </si>
  <si>
    <t>Xó D</t>
  </si>
  <si>
    <t>Xó E</t>
  </si>
  <si>
    <t>Dựng Validation để chọn tờn Tỉnh/Huyện/Xó trong cột M</t>
  </si>
  <si>
    <t>Xó F</t>
  </si>
  <si>
    <t>Xó G</t>
  </si>
  <si>
    <t>Xó H</t>
  </si>
  <si>
    <t>Xó I</t>
  </si>
  <si>
    <t>Xó J</t>
  </si>
  <si>
    <t>Xó K</t>
  </si>
  <si>
    <t>Xó L</t>
  </si>
  <si>
    <t>Xó M</t>
  </si>
  <si>
    <t>Xó N</t>
  </si>
  <si>
    <t>Xó O</t>
  </si>
  <si>
    <t>Xó P</t>
  </si>
  <si>
    <t>Xó Q</t>
  </si>
  <si>
    <t>Xó R</t>
  </si>
  <si>
    <t>Xó S</t>
  </si>
  <si>
    <t>Xó T</t>
  </si>
  <si>
    <t>Xó U</t>
  </si>
  <si>
    <t>Xó V</t>
  </si>
  <si>
    <t>Xó W</t>
  </si>
  <si>
    <t>Xó X</t>
  </si>
  <si>
    <t>Xó Y</t>
  </si>
  <si>
    <t>Xó Z</t>
  </si>
  <si>
    <t>Xó a</t>
  </si>
  <si>
    <t>Xó b</t>
  </si>
  <si>
    <t>Xó c</t>
  </si>
  <si>
    <t>Xó d</t>
  </si>
  <si>
    <t>Xó e</t>
  </si>
  <si>
    <t>Xó f</t>
  </si>
  <si>
    <t>Xó g</t>
  </si>
  <si>
    <t>Xó h</t>
  </si>
  <si>
    <t>Xó i</t>
  </si>
  <si>
    <t>Xó j</t>
  </si>
  <si>
    <t>Xó k</t>
  </si>
  <si>
    <t>Xó l</t>
  </si>
  <si>
    <t>Xó m</t>
  </si>
  <si>
    <t>Xó n</t>
  </si>
  <si>
    <t>Xó o</t>
  </si>
  <si>
    <t>Khi đú mó tương ứng được điền vào cột N</t>
  </si>
  <si>
    <t>Tiền Giảm</t>
  </si>
  <si>
    <t>Tiền Phải Trả (USD)</t>
  </si>
  <si>
    <t>01-01-1999 đến 01-15-1999</t>
  </si>
  <si>
    <t>Ngày Đến</t>
  </si>
  <si>
    <t>Tổng số người ở trong ngày 15</t>
  </si>
  <si>
    <t>Số tiền thu được từ ngày</t>
  </si>
  <si>
    <t>Giá Thuê 1 Ngày</t>
  </si>
  <si>
    <t>Tên Khách</t>
  </si>
  <si>
    <t>Tiền Thuê</t>
  </si>
  <si>
    <t>Yêu cầu (Tự giải):</t>
  </si>
  <si>
    <t>3. Tiền phải trả = Tiềân thuê - Tiền giảm</t>
  </si>
  <si>
    <t>Bảng Giá Phòng (USD)</t>
  </si>
  <si>
    <t>Số Phòng</t>
  </si>
  <si>
    <t xml:space="preserve">2. Nếu khách ở vào ngày 15 được giảm giá trong ngày hôm đó 30% </t>
  </si>
  <si>
    <t>QUẢN LÝ KHÁCH SẠN THÀNH CÔNG</t>
  </si>
  <si>
    <t>1. Dựa vào ký tự đầu của Số phòng và bảng giá để tính cột Tiền thuê, biết rằng Tiền thuê = Số ngày * giá</t>
  </si>
  <si>
    <t>4. Tính tổng số người ở trong ngày 15</t>
  </si>
  <si>
    <t>5. Tính tổng số tiền thu được từ đầu tháng đến ngày 15.</t>
  </si>
  <si>
    <t>Thueỏ</t>
  </si>
  <si>
    <t>Leừ</t>
  </si>
  <si>
    <t>Maừ haừng sx</t>
  </si>
  <si>
    <t>JAPAN</t>
  </si>
  <si>
    <t>USA</t>
  </si>
  <si>
    <t>CHINA</t>
  </si>
  <si>
    <t>LCB</t>
  </si>
  <si>
    <t>NC</t>
  </si>
  <si>
    <t>Phan Thuý Thanh</t>
  </si>
  <si>
    <t>Kho</t>
  </si>
  <si>
    <t>B001</t>
  </si>
  <si>
    <t>C:\PROGRAM FILES\MICROSOFT OFFICE\OFFICE\xlstart\ÿÿÿÿÿ.</t>
  </si>
  <si>
    <t>XL</t>
  </si>
  <si>
    <t>B002</t>
  </si>
  <si>
    <t>B003</t>
  </si>
  <si>
    <t>B004</t>
  </si>
  <si>
    <t>B005</t>
  </si>
  <si>
    <t>Playku</t>
  </si>
  <si>
    <t>G001</t>
  </si>
  <si>
    <t>G002</t>
  </si>
  <si>
    <t>G003</t>
  </si>
  <si>
    <t>G004</t>
  </si>
  <si>
    <t>G005</t>
  </si>
  <si>
    <t>G006</t>
  </si>
  <si>
    <t>G007</t>
  </si>
  <si>
    <t>T001</t>
  </si>
  <si>
    <t>T002</t>
  </si>
  <si>
    <t>T003</t>
  </si>
  <si>
    <t>T004</t>
  </si>
  <si>
    <t>T005</t>
  </si>
  <si>
    <t>T006</t>
  </si>
  <si>
    <t>T007</t>
  </si>
  <si>
    <t>T008</t>
  </si>
  <si>
    <t>HMN</t>
  </si>
  <si>
    <t>SGN</t>
  </si>
  <si>
    <t>CLN</t>
  </si>
  <si>
    <t>TDC</t>
  </si>
  <si>
    <t>CCH</t>
  </si>
  <si>
    <t>Hoa</t>
  </si>
  <si>
    <t>Gia</t>
  </si>
  <si>
    <t>Trung</t>
  </si>
  <si>
    <t>Quý</t>
  </si>
  <si>
    <t>Long</t>
  </si>
  <si>
    <t>HN</t>
  </si>
  <si>
    <t>VL</t>
  </si>
  <si>
    <t>DL</t>
  </si>
  <si>
    <t>SB</t>
  </si>
  <si>
    <t>HU</t>
  </si>
  <si>
    <t>DN</t>
  </si>
  <si>
    <t>VT</t>
  </si>
  <si>
    <t>Bao</t>
  </si>
  <si>
    <t>Xe</t>
  </si>
  <si>
    <t>Kg</t>
  </si>
  <si>
    <t>STT</t>
  </si>
  <si>
    <t>Cao</t>
  </si>
  <si>
    <t>Sinh</t>
  </si>
  <si>
    <t>Trang</t>
  </si>
  <si>
    <t>Anh</t>
  </si>
  <si>
    <t>A</t>
  </si>
  <si>
    <t>B</t>
  </si>
  <si>
    <t>C</t>
  </si>
  <si>
    <t>D</t>
  </si>
  <si>
    <t>USD</t>
  </si>
  <si>
    <t>VND</t>
  </si>
  <si>
    <t>ML55</t>
  </si>
  <si>
    <t>TV04</t>
  </si>
  <si>
    <t>PT09</t>
  </si>
  <si>
    <t>VD11</t>
  </si>
  <si>
    <t>TV05</t>
  </si>
  <si>
    <t>VD08</t>
  </si>
  <si>
    <t>PT07</t>
  </si>
  <si>
    <t>SONY 21WS</t>
  </si>
  <si>
    <t>PHILCOML</t>
  </si>
  <si>
    <t>JVC 14WS</t>
  </si>
  <si>
    <t>RICOHFT 4215</t>
  </si>
  <si>
    <t>SLV - KR 9 PS</t>
  </si>
  <si>
    <t>SHARP 14 WS</t>
  </si>
  <si>
    <t>SINOK - SUNNY</t>
  </si>
  <si>
    <t>AHD 990</t>
  </si>
  <si>
    <t>CHIEC</t>
  </si>
  <si>
    <t>TV</t>
  </si>
  <si>
    <t>VD</t>
  </si>
  <si>
    <t>ML</t>
  </si>
  <si>
    <t>PT</t>
  </si>
  <si>
    <t>V01AD</t>
  </si>
  <si>
    <t>V02AD</t>
  </si>
  <si>
    <t>V03AD</t>
  </si>
  <si>
    <t>V04AD</t>
  </si>
  <si>
    <t>&lt;=30 Kg</t>
  </si>
  <si>
    <t>&gt;30-60 kg</t>
  </si>
  <si>
    <t>&gt;60 kg</t>
  </si>
  <si>
    <t>03</t>
  </si>
  <si>
    <t>04</t>
  </si>
  <si>
    <t>_(10) = (5) + (7) + (9)</t>
  </si>
  <si>
    <t>PCCV</t>
  </si>
  <si>
    <t>02A</t>
  </si>
  <si>
    <t>02C</t>
  </si>
  <si>
    <t>03A</t>
  </si>
  <si>
    <t>02B</t>
  </si>
  <si>
    <t>01C</t>
  </si>
  <si>
    <t>03B</t>
  </si>
  <si>
    <t>04A</t>
  </si>
  <si>
    <t>03C</t>
  </si>
  <si>
    <t>PP: 50.000</t>
  </si>
  <si>
    <t>TP: 60.000</t>
  </si>
  <si>
    <t>PP</t>
  </si>
  <si>
    <t>G01</t>
  </si>
  <si>
    <t>P01</t>
  </si>
  <si>
    <t>001/DK</t>
  </si>
  <si>
    <t>VKT</t>
  </si>
  <si>
    <t>001/BT</t>
  </si>
  <si>
    <t>QA</t>
  </si>
  <si>
    <t>002/BC</t>
  </si>
  <si>
    <t>004/TD</t>
  </si>
  <si>
    <t>MP</t>
  </si>
  <si>
    <t>004/PN</t>
  </si>
  <si>
    <t>002/DK</t>
  </si>
  <si>
    <t>002/TD</t>
  </si>
  <si>
    <t>003/BC</t>
  </si>
  <si>
    <t>002/BT</t>
  </si>
  <si>
    <t>003/TD</t>
  </si>
  <si>
    <t>TD</t>
  </si>
  <si>
    <t>BT</t>
  </si>
  <si>
    <t>BC</t>
  </si>
  <si>
    <t>DK</t>
  </si>
  <si>
    <t>Doanh thu</t>
  </si>
  <si>
    <t>IAC1</t>
  </si>
  <si>
    <t>EMU2</t>
  </si>
  <si>
    <t>ÿÿÿÿÿ</t>
  </si>
  <si>
    <t>FPS2</t>
  </si>
  <si>
    <t>SBA1</t>
  </si>
  <si>
    <t>SRE1</t>
  </si>
  <si>
    <t>GBM2</t>
  </si>
  <si>
    <t>PBI2</t>
  </si>
  <si>
    <t>I</t>
  </si>
  <si>
    <t>Italia</t>
  </si>
  <si>
    <t>MU</t>
  </si>
  <si>
    <t>Manchester</t>
  </si>
  <si>
    <t>G</t>
  </si>
  <si>
    <t>PS</t>
  </si>
  <si>
    <t>Paris SG</t>
  </si>
  <si>
    <t>S</t>
  </si>
  <si>
    <t>RE</t>
  </si>
  <si>
    <t>Real Madrit</t>
  </si>
  <si>
    <t>P</t>
  </si>
  <si>
    <t>BI</t>
  </si>
  <si>
    <t>Benfica</t>
  </si>
  <si>
    <t>AC</t>
  </si>
  <si>
    <t>AC Milan</t>
  </si>
  <si>
    <t>BA</t>
  </si>
  <si>
    <t>Barcelona</t>
  </si>
  <si>
    <t>BM</t>
  </si>
  <si>
    <t>B. Munich</t>
  </si>
  <si>
    <t>D058</t>
  </si>
  <si>
    <t>021X</t>
  </si>
  <si>
    <t>D091</t>
  </si>
  <si>
    <t>980X</t>
  </si>
  <si>
    <t>065X</t>
  </si>
  <si>
    <t>D801</t>
  </si>
  <si>
    <t>lcb</t>
  </si>
  <si>
    <t>PCGC</t>
  </si>
  <si>
    <t>hstl</t>
  </si>
  <si>
    <t>BLG:</t>
  </si>
  <si>
    <t>VIET NAM</t>
  </si>
  <si>
    <t>Nha Trang</t>
  </si>
  <si>
    <t>A01</t>
  </si>
  <si>
    <t>A02</t>
  </si>
  <si>
    <t>B03</t>
  </si>
  <si>
    <t>B01</t>
  </si>
  <si>
    <t>B04</t>
  </si>
  <si>
    <t>C01</t>
  </si>
  <si>
    <t>C02</t>
  </si>
  <si>
    <t>A03</t>
  </si>
  <si>
    <t>Nam</t>
  </si>
  <si>
    <t>Winword</t>
  </si>
  <si>
    <t>MO240</t>
  </si>
  <si>
    <t>CP100</t>
  </si>
  <si>
    <t>KB101</t>
  </si>
  <si>
    <t>CP105</t>
  </si>
  <si>
    <t>MO220</t>
  </si>
  <si>
    <t>CP090</t>
  </si>
  <si>
    <t>KB103</t>
  </si>
  <si>
    <t>MO110</t>
  </si>
  <si>
    <t>KB104</t>
  </si>
  <si>
    <t>CP116</t>
  </si>
  <si>
    <t>KB</t>
  </si>
  <si>
    <t>MO</t>
  </si>
  <si>
    <t>CP</t>
  </si>
  <si>
    <t>CPU</t>
  </si>
  <si>
    <t>Monitor</t>
  </si>
  <si>
    <t>Keyboard</t>
  </si>
  <si>
    <t>A1</t>
  </si>
  <si>
    <t>A2</t>
  </si>
  <si>
    <t>A3</t>
  </si>
  <si>
    <t>B3</t>
  </si>
  <si>
    <t>B4</t>
  </si>
  <si>
    <t>B5</t>
  </si>
  <si>
    <t>A4</t>
  </si>
  <si>
    <t>B1</t>
  </si>
  <si>
    <t>B2</t>
  </si>
  <si>
    <t>&gt;=100000</t>
  </si>
  <si>
    <t>Đa Kao</t>
  </si>
  <si>
    <t>Mặt hàng kinh doanh</t>
  </si>
  <si>
    <t>Mhàng</t>
  </si>
  <si>
    <t>Bến Thành</t>
  </si>
  <si>
    <t>Bà Chiểu</t>
  </si>
  <si>
    <t>Mã chợ</t>
  </si>
  <si>
    <t xml:space="preserve">    và Mã mặt hàng kinh doanh.</t>
  </si>
  <si>
    <t>Báo cáo Thuế Tháng 1</t>
  </si>
  <si>
    <t>Quần áo</t>
  </si>
  <si>
    <t>Tân Định</t>
  </si>
  <si>
    <t>Giầy dép</t>
  </si>
  <si>
    <t>Tên chợ</t>
  </si>
  <si>
    <t>Ngày hết hạn đóng thuế</t>
  </si>
  <si>
    <t>Ngày đóng thực tế</t>
  </si>
  <si>
    <t>Phú Nhuận</t>
  </si>
  <si>
    <t>Mã đăng ký kinh doanh</t>
  </si>
  <si>
    <t>1. Điền tên chợ và Tên mặt hàng dựa vào Bảng 1 và Bảng 2 theo Mã đăng ký kinh doanh</t>
  </si>
  <si>
    <t>3. Tiền phạt: Nếu ngày đóng thuế vượt quá hạn 3 ngày thì lấy số ngày quá hạn x 2%.</t>
  </si>
  <si>
    <t>5. Tính bảng thống kê.</t>
  </si>
  <si>
    <t>Loại DS</t>
  </si>
  <si>
    <t>Phụ trội</t>
  </si>
  <si>
    <t>3. Phụ trội:</t>
  </si>
  <si>
    <t>Chỉ số đầu</t>
  </si>
  <si>
    <t>Chỉ số cuối</t>
  </si>
  <si>
    <t xml:space="preserve">    =0 nếu chỉ số cuối - chỉ số đầu &lt;=50.</t>
  </si>
  <si>
    <t>2. Thành tiền = (Chỉ số cuối - Chỉ số đầu) x Hệ số.</t>
  </si>
  <si>
    <t xml:space="preserve">    = Thành tiền x 35% nếu chỉ số cuối - chỉ số đầu &gt;50, &lt;=100.</t>
  </si>
  <si>
    <t xml:space="preserve">    = Thành tiền x 100% nếu chỉ số cuối - chỉ số đầu &gt;100.</t>
  </si>
  <si>
    <t>4. Cộng = Phụ trội + Thành tiền.</t>
  </si>
  <si>
    <t>(Tháng 1/1999)</t>
  </si>
  <si>
    <t xml:space="preserve">    Nếu loại DS là KD thì hệ số = 300, là NN thì = 500, TT thì bằng 250, CN thì bằng 200.</t>
  </si>
  <si>
    <t>Bảng tính tiền điện</t>
  </si>
  <si>
    <t>1. Tính cột Hệ số theo yêu cầu sau:</t>
  </si>
  <si>
    <t>5. Sắp xếp bảng tính theo thứ tự tăng dần của cột Cộng.</t>
  </si>
  <si>
    <t>6. Trích các dòng có loại DS là KD.</t>
  </si>
  <si>
    <t>Xăng A92</t>
  </si>
  <si>
    <t>Dầu Diesel</t>
  </si>
  <si>
    <t>Tổng thu tiền dầu</t>
  </si>
  <si>
    <t>Tổng thu tiền nhớt</t>
  </si>
  <si>
    <t>4. Sắp xếp tăng dần theo cột Chứng từ.</t>
  </si>
  <si>
    <t>Ký tự cuối</t>
  </si>
  <si>
    <t>Mã VT</t>
  </si>
  <si>
    <t>Báo cáo xuất kho</t>
  </si>
  <si>
    <t>3. Thành tiền = Số lượng x Đơn giá.</t>
  </si>
  <si>
    <t>Tên vật tư</t>
  </si>
  <si>
    <t>Ký tự đầu</t>
  </si>
  <si>
    <t>1. Tên vật tư: Dựa vào ký tự đầu của cột Chứng từ và tra trong bảng phụ.</t>
  </si>
  <si>
    <t xml:space="preserve">2. Đơn giá: Dựa vào ký tự đầu của cột chứng từ và tra trong bảng phụ, nếu ký tự cuối của </t>
  </si>
  <si>
    <t xml:space="preserve">    chứng từ là C thì đơn giá được giảm 10%.</t>
  </si>
  <si>
    <t>Kết quả trích ra:</t>
  </si>
  <si>
    <t>5. Trích ra danh sách các vật tư có ký tự đầu là X và ký tự cuối là C.</t>
  </si>
  <si>
    <t>6. Tính bảng thống kê.</t>
  </si>
  <si>
    <t>Gấm</t>
  </si>
  <si>
    <t>Quế</t>
  </si>
  <si>
    <t>Diện UT</t>
  </si>
  <si>
    <t>Diện 2</t>
  </si>
  <si>
    <t>Diện 1</t>
  </si>
  <si>
    <t>Diện 3</t>
  </si>
  <si>
    <t>Lụa</t>
  </si>
  <si>
    <t>Kết quả kỳ thi tuyển lớp 10</t>
  </si>
  <si>
    <t>Điểm cộng</t>
  </si>
  <si>
    <t>Điểm UT</t>
  </si>
  <si>
    <t>Điểm Văn cao nhất:</t>
  </si>
  <si>
    <t>Điểm Toán cao nhất:</t>
  </si>
  <si>
    <t>3. Tổng = Văn + Toán + Điểm cộng + Điểm UT.</t>
  </si>
  <si>
    <t>Thuế NK ($)</t>
  </si>
  <si>
    <t>Đối tượng</t>
  </si>
  <si>
    <t>Đơn giá vốn ($)</t>
  </si>
  <si>
    <t>Đơn giá bán ($)</t>
  </si>
  <si>
    <t>_Nếu đối tượng 1: Thuế = 100% Đơn giỏ.</t>
  </si>
  <si>
    <t>_Nếu đối tượng 2: Thuế = 70% Đơn giỏ.</t>
  </si>
  <si>
    <t>_Nếu đối tượng 3: Thuế = 40% Đơn giỏ.</t>
  </si>
  <si>
    <t>Phớ VC ($)</t>
  </si>
  <si>
    <t>1. Tớnh Thuế NK:</t>
  </si>
  <si>
    <t>2. Tớnh phớ VC:</t>
  </si>
  <si>
    <t>_Nếu số lượng &lt;=100 thỡ phớ VC là 3% Đơn giỏ.</t>
  </si>
  <si>
    <t>_Nếu số lượng &gt;100 và &lt;=250 thỡ phớ VC là 2% Đơn giỏ.</t>
  </si>
  <si>
    <t>TỔNG HỢP HS GIỎI CÁC NĂM HỌC</t>
  </si>
  <si>
    <t>Nam/nữ</t>
  </si>
  <si>
    <t>Xếp loại học lực</t>
  </si>
  <si>
    <t>2008-2009</t>
  </si>
  <si>
    <t>2009-2010</t>
  </si>
  <si>
    <t>2010-2011</t>
  </si>
  <si>
    <t>2011-2012</t>
  </si>
  <si>
    <t>Nguyễn Văn A</t>
  </si>
  <si>
    <t>Trần thị B</t>
  </si>
  <si>
    <t>Lê thị C</t>
  </si>
  <si>
    <t>Bùi Văn D</t>
  </si>
  <si>
    <t>Nguyễn Thị E</t>
  </si>
  <si>
    <t>Trần Văn F</t>
  </si>
  <si>
    <t>Nguyễn Văn G</t>
  </si>
  <si>
    <t>* Tổng hợp 1</t>
  </si>
  <si>
    <t>_Nếu số lượng &gt;250 thỡ phớ VC là 1% Đơn giỏ.</t>
  </si>
  <si>
    <t>3. Đơn giỏ vốn = Đơn giỏ + Thuế NK + Phớ VC.</t>
  </si>
  <si>
    <t>Lói suất:</t>
  </si>
  <si>
    <t>Lói ($)</t>
  </si>
  <si>
    <t>4. Đơn giỏ bỏn = Đơn giỏ vốn + Đơn giỏ vốn x Lói suất.</t>
  </si>
  <si>
    <t>5. Lói = (Đơn giỏ bỏn - Đơn giỏ vốn) x Số lượng.</t>
  </si>
  <si>
    <t>6. Cộng tiền lói của những mặt hàng thuộc đối tượng 1 tại vị trớ D16.</t>
  </si>
  <si>
    <t>9. Vẽ đồ thị so sỏnh tiền lói giữa cỏc mặt hàng.</t>
  </si>
  <si>
    <t>7. Đưa ra danh sỏch những mặt hàng cú số lượng &gt;200.</t>
  </si>
  <si>
    <t>8. Thống kờ xem cú bao nhiờu mặt hàng tiền lói &gt;=100000 tại vị trớ G16.</t>
  </si>
  <si>
    <t>Thông tin về kỳ thi:</t>
  </si>
  <si>
    <t>5. Điền vào bảng thông tin.</t>
  </si>
  <si>
    <t>2. Diện UT và Điểm UT tra trong bảng phụ theo ký tự đầu của Mã số.</t>
  </si>
  <si>
    <t>1. Điểm cộng: Nếu XL là giỏi thì cộng 2, khá thì cộng 1.</t>
  </si>
  <si>
    <t>4. Kết quả: Tổng &gt;=13,25 thì Đỗ, ngược lại thì Trượt.</t>
  </si>
  <si>
    <t>Tổng số thí sinh:</t>
  </si>
  <si>
    <t>Tổng số thí sinh Đỗ:</t>
  </si>
  <si>
    <t>Tổng số thí sinh Trượt:</t>
  </si>
  <si>
    <t>6. Trích ra danh sách các thí sinh Đỗ.</t>
  </si>
  <si>
    <t xml:space="preserve">    sẽ được giảm 5% so với thành tiền.</t>
  </si>
  <si>
    <t>ĐGiá vốn</t>
  </si>
  <si>
    <t>ĐGiá bán</t>
  </si>
  <si>
    <t xml:space="preserve">    _DM: Đầu máy.</t>
  </si>
  <si>
    <t>1. Điền cột Tên hàng dựa theo ký tự thứ 2 và 3 của Mã hàng với tiêu chuẩn sau:</t>
  </si>
  <si>
    <t xml:space="preserve">    Dựa vào ký tự đầu của Mã hàng và tra trong bảng phụ, với những mã hàng có ký tự cuối là C</t>
  </si>
  <si>
    <t>Bảng Tính Giá Thành</t>
  </si>
  <si>
    <t>Phí VC</t>
  </si>
  <si>
    <t>4. Phí VC (vận chuyển) = Thành tiền x Phí VC tra trong bảng phụ theo ký tự đầu của Mã hàng.</t>
  </si>
  <si>
    <t>5. Đơn giá vốn trên từng cái = (Thành tiền + Thuế NK + Phí VC) / Số lượng.</t>
  </si>
  <si>
    <t>6. Đơn giá bán trên từng cái = (Thành tiền + Thuế NK + Phí VC) x 1,2 / Số lượng.</t>
  </si>
  <si>
    <t>Nhập-Xuất</t>
  </si>
  <si>
    <t xml:space="preserve">    cho phiếu xuất.</t>
  </si>
  <si>
    <t>Danh mục hàng</t>
  </si>
  <si>
    <t xml:space="preserve">    Bảng đơn giá.</t>
  </si>
  <si>
    <t>Bảng Nhập Xuất Hàng Hóa</t>
  </si>
  <si>
    <t>1. Tên hàng: Dựa vào 2 ký tự đầu của Mã hàng và tra trong Danh mục hàng.</t>
  </si>
  <si>
    <t xml:space="preserve">2. Đơn giá: Dựa vào 2 ký tự đầu của Mã hàng và điều kiện nhập hay xuất để tra trong </t>
  </si>
  <si>
    <t xml:space="preserve">3. Thành tiền = Số lượng x Đơn giá. Nếu số lượng &gt;10 thì giảm 2% trên trị giá thành tiền </t>
  </si>
  <si>
    <t>Tầng</t>
  </si>
  <si>
    <t>3. Sắp xếp mẫu tin theo thứ tự giảm dần của cột Thu nhập.</t>
  </si>
  <si>
    <t>Nghĩa</t>
  </si>
  <si>
    <t>Khối lượng</t>
  </si>
  <si>
    <t>Tên nhân viên</t>
  </si>
  <si>
    <t>Tên NV</t>
  </si>
  <si>
    <t>Bảng đơn giá công</t>
  </si>
  <si>
    <t>2. Thu nhập: Dựa vào số tầng lầu và khối lượng khuân vác để tra trong bảng đơn giá công.</t>
  </si>
  <si>
    <t>Tùng</t>
  </si>
  <si>
    <t>1. Tên nhân viên: Dựa vào ký tự 2, 3 của Mã NV và tra trong bảng 1.</t>
  </si>
  <si>
    <t>Bảng Tính Công</t>
  </si>
  <si>
    <t>Tuyến DL</t>
  </si>
  <si>
    <t>Tuyến</t>
  </si>
  <si>
    <t xml:space="preserve">        _ 2 ký tự kế cuối: Số chuyến.</t>
  </si>
  <si>
    <t>Phương tiện</t>
  </si>
  <si>
    <t>Khởi hành</t>
  </si>
  <si>
    <t>Tàu</t>
  </si>
  <si>
    <t>* Biết rằng Mã chuyến:</t>
  </si>
  <si>
    <t>CVỤ</t>
  </si>
  <si>
    <t>LƯƠNG</t>
  </si>
  <si>
    <t>PHỤ CẤP</t>
  </si>
  <si>
    <t>THƯỞNG</t>
  </si>
  <si>
    <t>TẠM ỨNG</t>
  </si>
  <si>
    <t>TỔ BÁN HÀNG</t>
  </si>
  <si>
    <t>BH</t>
  </si>
  <si>
    <t>HẠNH</t>
  </si>
  <si>
    <t>H.ANH</t>
  </si>
  <si>
    <t>THUY</t>
  </si>
  <si>
    <t>HONG</t>
  </si>
  <si>
    <t>A.ĐAO</t>
  </si>
  <si>
    <t>TỔ TIẾP THỊ</t>
  </si>
  <si>
    <t>ĐƯC</t>
  </si>
  <si>
    <t>HIỆP</t>
  </si>
  <si>
    <t>LÂM</t>
  </si>
  <si>
    <t>CHI</t>
  </si>
  <si>
    <t>THẢO</t>
  </si>
  <si>
    <t>HÀO</t>
  </si>
  <si>
    <t>KIỆT</t>
  </si>
  <si>
    <t>TIẾN</t>
  </si>
  <si>
    <t>HOANG</t>
  </si>
  <si>
    <t>TRI</t>
  </si>
  <si>
    <t>TK</t>
  </si>
  <si>
    <t>VIEN</t>
  </si>
  <si>
    <t>DUYEN</t>
  </si>
  <si>
    <t>TRANG</t>
  </si>
  <si>
    <t>QUỸ LƯƠNG</t>
  </si>
  <si>
    <t>BẢNG HỆ SỐ PHỤ CẤP</t>
  </si>
  <si>
    <t>TT/TP</t>
  </si>
  <si>
    <t>Các chuyến du lịch trong tháng 1</t>
  </si>
  <si>
    <t>Máy bay</t>
  </si>
  <si>
    <t>Kết thúc</t>
  </si>
  <si>
    <t>3 ký tự đầu</t>
  </si>
  <si>
    <t xml:space="preserve">        _ 3 ký tự đầu: Tuyến du lịch.</t>
  </si>
  <si>
    <t xml:space="preserve">        _ 1 ký tự cuối: Loại phương tiện (A: Máy bay, B: Tàu, C: Xe).</t>
  </si>
  <si>
    <t>1. Tuyến DL: Dựa vào 3 ký tự đầu của cột Mã chuyến và tra trong bảng phụ.</t>
  </si>
  <si>
    <t>3. Phương tiện: Dựa vào ký tự cuối của Mã chuyến.</t>
  </si>
  <si>
    <t xml:space="preserve">    Nếu cùng ngày khởi hành thì sắp theo thứ tự tăng của Mã chuyến.</t>
  </si>
  <si>
    <t>Phí ăn ở</t>
  </si>
  <si>
    <t>Phí P.tiện</t>
  </si>
  <si>
    <t>Chi phí (phương tiện)</t>
  </si>
  <si>
    <t>Chi phí ăn ở 1 ngày</t>
  </si>
  <si>
    <t>2. Phí ăn ở: Dựa vào 3 ký tự đầu của cột Mã chuyến và tra trong bảng phụ:</t>
  </si>
  <si>
    <t xml:space="preserve">            Chi phí ăn ở 1 ngày x Số ngày.</t>
  </si>
  <si>
    <t>4. Phí phương tiện: Tra trong bảng phụ.</t>
  </si>
  <si>
    <t>5. Tổng cộng: Tổng các chi phí.</t>
  </si>
  <si>
    <t>6. Sắp xếp bảng tính trên theo thứ tự tăng của ngày khởi hành.</t>
  </si>
  <si>
    <t>Bảng A</t>
  </si>
  <si>
    <t>Trần Nam</t>
  </si>
  <si>
    <t>Nguyễn An</t>
  </si>
  <si>
    <t>Bảng Chi Tiết Doanh Thu</t>
  </si>
  <si>
    <t>Tổng thu</t>
  </si>
  <si>
    <t>Số Km</t>
  </si>
  <si>
    <t>Đỗ Hậu</t>
  </si>
  <si>
    <t>Tài xế</t>
  </si>
  <si>
    <t>Mã xe</t>
  </si>
  <si>
    <t>4. Sắp xếp Mã xe theo thứ tự tăng dần.</t>
  </si>
  <si>
    <t>2. Thành tiền = Số Km x Đơn giá.</t>
  </si>
  <si>
    <t>Tên xe</t>
  </si>
  <si>
    <t>Lê Khanh</t>
  </si>
  <si>
    <t>1. Tên xe: Dựa vào Mã xe và tra trong bảng A.</t>
  </si>
  <si>
    <t>Trần Hùng</t>
  </si>
  <si>
    <t xml:space="preserve">    Nếu số Km &gt; 10 thì được giảm 30% tổng số tiền.</t>
  </si>
  <si>
    <t xml:space="preserve">    Nếu số Km &gt; 3 thì từ km 4 trở đi đơn giá được tính 1.500 cho 1/4 km (cho tất cả các loại xe).</t>
  </si>
  <si>
    <t>Muối</t>
  </si>
  <si>
    <t>Lãi</t>
  </si>
  <si>
    <t>Bảng lãi suất</t>
  </si>
  <si>
    <t>Lãi suất</t>
  </si>
  <si>
    <t>4. Lãi = Doanh thu x Lãi suất.</t>
  </si>
  <si>
    <t xml:space="preserve">    Đơn giá 10%.</t>
  </si>
  <si>
    <t>3. Doanh thu = Số lượng x Đơn giá.</t>
  </si>
  <si>
    <t>Bảng kê khai bán hàng qúy I</t>
  </si>
  <si>
    <t>1. Tên hàng: Dựa vào ký tự bên trái của Mã hàng và tra trong bảng phụ.</t>
  </si>
  <si>
    <t xml:space="preserve">2. Đơn giá: Được tra trong bảng phụ nhưng nếu Số lượng &gt;100 thì được giảm </t>
  </si>
  <si>
    <t>Vải Kate</t>
  </si>
  <si>
    <t>Tiền phạt</t>
  </si>
  <si>
    <t>Tiền thuế</t>
  </si>
  <si>
    <t>S thuế</t>
  </si>
  <si>
    <t>Vốn kinh doanh</t>
  </si>
  <si>
    <t>Thuế phải nộp</t>
  </si>
  <si>
    <t>4. Thuế phải nộp = Tiền thuế + Tiền phạt.</t>
  </si>
  <si>
    <t>Chợ</t>
  </si>
  <si>
    <t>Thực phẩm</t>
  </si>
  <si>
    <t>Tỷ suất thuế</t>
  </si>
  <si>
    <t>2. Tiền thuế = Vốn kinh doanh x Tỷ suất thuế.</t>
  </si>
  <si>
    <t>Mỹ phẩm</t>
  </si>
  <si>
    <t>Số lượng (kg)</t>
  </si>
  <si>
    <t>Đồng</t>
  </si>
  <si>
    <t>Đơn giá mỗi tháng (đồng/1kg)</t>
  </si>
  <si>
    <t xml:space="preserve">    theo bảng đơn giá.</t>
  </si>
  <si>
    <t>4. Thành tiền = (Số lượng x Đơn giá) - Tiền giảm.</t>
  </si>
  <si>
    <t>1. Dựa vào bảng đơn giá để điền cột Tên hàng theo cột Mã hàng.</t>
  </si>
  <si>
    <t>Bảng Theo Dõi Chi Tiết Bán Hàng</t>
  </si>
  <si>
    <t>Nhôm</t>
  </si>
  <si>
    <t>3. Tiền giảm: Nếu mua số lượng &gt; 100 thì được giảm giá 5% trên số lượng mua.</t>
  </si>
  <si>
    <t xml:space="preserve">2. Đơn giá phụ thuộc vào mã hàng và ngày bán trong tháng nào thì tính giá của tháng đó dựa </t>
  </si>
  <si>
    <t>Loại xe</t>
  </si>
  <si>
    <t>Miễn giảm</t>
  </si>
  <si>
    <t>Địa điểm</t>
  </si>
  <si>
    <t xml:space="preserve">Ngày </t>
  </si>
  <si>
    <t>1. Địa điểm: Dựa vào bảng phụ để điền vào cột Địa điểm.</t>
  </si>
  <si>
    <t>Mã chuyến</t>
  </si>
  <si>
    <t>2. Miễn giảm: Giảm 10% cho các chuyến đi du lịch Hà Nội.</t>
  </si>
  <si>
    <t>3. Thành tiền = Giá - Miễn giảm (Giá tra trong bảng phụ).</t>
  </si>
  <si>
    <t>Công ty du lịch Sài Gòn</t>
  </si>
  <si>
    <t>Tuổi trẻ</t>
  </si>
  <si>
    <t>Phụ nữ</t>
  </si>
  <si>
    <t>Ngày giao</t>
  </si>
  <si>
    <t xml:space="preserve">Cửa hàng sách báo tổng hợp </t>
  </si>
  <si>
    <t>Giá báo</t>
  </si>
  <si>
    <t>Tên báo</t>
  </si>
  <si>
    <t>Thanh niên</t>
  </si>
  <si>
    <t>1. Tên báo:</t>
  </si>
  <si>
    <t>Công an</t>
  </si>
  <si>
    <t>2 ký tự đầu của Mã hàng</t>
  </si>
  <si>
    <t xml:space="preserve">Dựa vào 2 ký tự đầu của Mã hàng, tra trong bảng phụ, nếu ký tự thứ 3-4 là NS tức </t>
  </si>
  <si>
    <t>2. Đơn giá: Dựa vào 2 ký tự đầu và ký tự 3-4 để tra trong bảng phụ.</t>
  </si>
  <si>
    <t>3. Số lượng: Nếu 2 ký tự cuối từ 01 đến 03 thì 100, 04 đến 05 thì 50.</t>
  </si>
  <si>
    <t>4. Thành tiền: Nếu số lượng = 100 thì giảm 5% giá, làm tròn đến hàng ngàn.</t>
  </si>
  <si>
    <t>nguyệt san, NB tức Nhật Báo. Ví dụ TTNS tức Tuổi trẻ nguyệt san.</t>
  </si>
  <si>
    <t>Đĩa cứng 420</t>
  </si>
  <si>
    <t>Chọn</t>
  </si>
  <si>
    <t>Tỉnh 1</t>
  </si>
  <si>
    <t>Huyện 11</t>
  </si>
  <si>
    <t>Tỉnh</t>
  </si>
  <si>
    <t>Tỉnh 2</t>
  </si>
  <si>
    <t>Huyện 12</t>
  </si>
  <si>
    <t>Huyện</t>
  </si>
  <si>
    <t>Huyện 23</t>
  </si>
  <si>
    <t>Tỉnh 3</t>
  </si>
  <si>
    <t>Huyện 13</t>
  </si>
  <si>
    <t>Tỉnh 4</t>
  </si>
  <si>
    <t>Huyện 21</t>
  </si>
  <si>
    <t>Huyện 22</t>
  </si>
  <si>
    <t>Huyện 24</t>
  </si>
  <si>
    <t>bảng hệ số thuế</t>
  </si>
  <si>
    <t>Mã thứ 2</t>
  </si>
  <si>
    <t>thuế=thành tiền x hệ số thuế</t>
  </si>
  <si>
    <t>Huyện 31</t>
  </si>
  <si>
    <t>Huyện 32</t>
  </si>
  <si>
    <t>Huyện 41</t>
  </si>
  <si>
    <t>Huyện 42</t>
  </si>
  <si>
    <t>Huyện 43</t>
  </si>
  <si>
    <t>Huyện 44</t>
  </si>
  <si>
    <t>Đĩa cứng 850</t>
  </si>
  <si>
    <t>Đĩa mềm 1.2</t>
  </si>
  <si>
    <t>Đĩa mềm 1.4</t>
  </si>
  <si>
    <t xml:space="preserve">Thành tiền </t>
  </si>
  <si>
    <t>(Tháng 4/1998)</t>
  </si>
  <si>
    <t>Bảng tồn kho tháng 3</t>
  </si>
  <si>
    <t>4. Thành tiền = Số lượng x Đơn giá.</t>
  </si>
  <si>
    <t>1. Dựa vào bảng tồn kho để điền vào cột Tên hàng.</t>
  </si>
  <si>
    <t>3. Đơn giá: Nếu bán từ 20 ngày trở về trước thì Đơn giá như trong bảng tồn kho, sau đó thì giảm 4%.</t>
  </si>
  <si>
    <t>Cửa Hàng Máy Tính</t>
  </si>
  <si>
    <t>Máy tính 486</t>
  </si>
  <si>
    <t>Máy tính 586</t>
  </si>
  <si>
    <t>2. Đơn vị tính: Dựa vào 2 ký tự đầu của mã hàng, nếu là PC hoặc HD thì Đơn vị tính là Cái,</t>
  </si>
  <si>
    <t xml:space="preserve">    còn FD thì Đơn vị tính là Hộp.</t>
  </si>
  <si>
    <t>SL CĐV</t>
  </si>
  <si>
    <t>Đức</t>
  </si>
  <si>
    <t>Bồ Đ Nha</t>
  </si>
  <si>
    <t>Mã CLB</t>
  </si>
  <si>
    <t>Lãi-Lỗ</t>
  </si>
  <si>
    <t>Mã nước</t>
  </si>
  <si>
    <t xml:space="preserve">    dần của Mã CLB.</t>
  </si>
  <si>
    <t>Pháp</t>
  </si>
  <si>
    <t xml:space="preserve">    giảm 5% giá, ngược lại tăng 5%.</t>
  </si>
  <si>
    <t>Mã câu lạc bộ</t>
  </si>
  <si>
    <t>Tây B Nha</t>
  </si>
  <si>
    <t>Giá vé</t>
  </si>
  <si>
    <t>3. Doanh thu = Số lượng CĐV x Giá vé.</t>
  </si>
  <si>
    <t>Tên CLB</t>
  </si>
  <si>
    <t>Tên nước</t>
  </si>
  <si>
    <t xml:space="preserve">    _CLB hạng 1 phải có Doanh thu &gt; 900.000 USD.</t>
  </si>
  <si>
    <t xml:space="preserve">    _CLB hạng 2 phải có Doanh thu &gt; 600.000 USD.</t>
  </si>
  <si>
    <t>1. Điền cột Tên CLB theo ký tự thứ 2 và 3 của Mã CLB và tra trong bảng Mã câu lạc bộ.</t>
  </si>
  <si>
    <t xml:space="preserve">    Điền Tên nước theo ký tự đầu tra trong bảng Mã nước.</t>
  </si>
  <si>
    <t>Báo Cáo Tình Hình Doanh Thu Các CLB Năm 1998</t>
  </si>
  <si>
    <t xml:space="preserve">2. Tính giá vé: Ký tự cuối của Mã CLB cho biết thứ hạng châu Âu. Nếu là hạng 1 thì </t>
  </si>
  <si>
    <t>4. Tính Lãi - Lỗ:</t>
  </si>
  <si>
    <t xml:space="preserve">5. Sắp xếp bảng tính theo thứ tự Số lượng CĐV giảm dần, nếu trùng thì theo thứ tự tăng </t>
  </si>
  <si>
    <t>Tủ lạnh</t>
  </si>
  <si>
    <t>Điện thoại</t>
  </si>
  <si>
    <t>Hàng nhập</t>
  </si>
  <si>
    <t>Hàng xuất</t>
  </si>
  <si>
    <t>_ 2% đối với mặt hàng loại A.</t>
  </si>
  <si>
    <t>_ 3% đối với mặt hàng loại B.</t>
  </si>
  <si>
    <t>_ 1% đối với mặt hàng loại C.</t>
  </si>
  <si>
    <t>2. Trị giá nhập = Đơn giá nhập x Số lượng nhập.</t>
  </si>
  <si>
    <t>3. Trị giá xuất = (Đơn giá nhập x Số lượng xuất) + Thuế.</t>
  </si>
  <si>
    <t>Bảng Theo Dõi Hàng Hóa</t>
  </si>
  <si>
    <t>Danh Mục Hàng Hóa</t>
  </si>
  <si>
    <t>1. Tên hàng dựa vào bảng Danh mục hàng hóa.</t>
  </si>
  <si>
    <t xml:space="preserve">    Thuế tính trên trị giá nhập với tỷ suất:</t>
  </si>
  <si>
    <t>Thuế NK</t>
  </si>
  <si>
    <t>3. Thuế nhập khẩu:</t>
  </si>
  <si>
    <t>Xuất</t>
  </si>
  <si>
    <t>Nhập</t>
  </si>
  <si>
    <t>Bảng chi tiết nhập xuất</t>
  </si>
  <si>
    <t>Bảng phụ</t>
  </si>
  <si>
    <t>2 ký tự cuối</t>
  </si>
  <si>
    <t>Thượng hạng</t>
  </si>
  <si>
    <t>Đặc biệt</t>
  </si>
  <si>
    <t>Tổng thành tiền</t>
  </si>
  <si>
    <t>Đơn giá xuất hàng (1kg)</t>
  </si>
  <si>
    <t>(Giảm 5% cho các hoá đơn xuất ngày 15/10/98)</t>
  </si>
  <si>
    <t>bảng Thống kê</t>
  </si>
  <si>
    <t>5. Thống kê tổng thành tiền của TEA khi xuất, COFFEE khi xuất, TEA khi nhập, COFFEE khi nhập.</t>
  </si>
  <si>
    <t>1. Dựa vào ký tự đầu của cột Mã để điền vào cột Tên theo quy định:</t>
  </si>
  <si>
    <t>2. Dựa vào bảng phụ và 2 ký tự cuối của cột Mã để điền vào cột Loại.</t>
  </si>
  <si>
    <t>Chú ý: Cột Loại HĐ cho biết hàng xuất hay nhập (N: Nhập, X: Xuất).</t>
  </si>
  <si>
    <t>3. Tính cột Đơn giá dựa theo bảng đơn giá xuất hàng. Biết rằng đơn giá nhập thấp hơn đơn giá xuất 15%.</t>
  </si>
  <si>
    <t>La Thanh Yến</t>
  </si>
  <si>
    <t xml:space="preserve">Nguyễn Trọng </t>
  </si>
  <si>
    <t>Bảng hệ số</t>
  </si>
  <si>
    <t>Lương cơ bản</t>
  </si>
  <si>
    <t>Hệ số lương</t>
  </si>
  <si>
    <t>A18ĐT</t>
  </si>
  <si>
    <t>C18ĐT</t>
  </si>
  <si>
    <t>B10ĐT</t>
  </si>
  <si>
    <t>ĐT</t>
  </si>
  <si>
    <t>Trần Hoàng Huy</t>
  </si>
  <si>
    <t>Đào tạo</t>
  </si>
  <si>
    <t>Tài vụ</t>
  </si>
  <si>
    <t>Mã loại</t>
  </si>
  <si>
    <t>Bảng mã</t>
  </si>
  <si>
    <t>Bảng lương tháng 01-1998</t>
  </si>
  <si>
    <t>Mã nhân viên</t>
  </si>
  <si>
    <t>Số năm công tác</t>
  </si>
  <si>
    <t>1. Dựa vào bảng mã, lập công thức điền vào cột Phòng.</t>
  </si>
  <si>
    <t>2. Lập công thức điền Mã loại là ký tự thứ nhất của Mã nhân viên.</t>
  </si>
  <si>
    <t>3. Lập công thức điền Số năm công tác là ký tự thứ 2 và 3 của Mã nhân viên.</t>
  </si>
  <si>
    <t>Phạm Gia Bình</t>
  </si>
  <si>
    <t>H chính</t>
  </si>
  <si>
    <t>4. Tính Hệ số lương theo Mã loại, Số năm công tác và tra theo bảng Hệ số.</t>
  </si>
  <si>
    <t>5. Tính Lương = Lương cơ bản x Hệ số lương x Ngày công.</t>
  </si>
  <si>
    <t>6. Trích ra danh sách những người có mã loại A hay B thuộc Phòng Đào tạo.</t>
  </si>
  <si>
    <t>Tiền ăn</t>
  </si>
  <si>
    <t>Tiền xe</t>
  </si>
  <si>
    <t>Tiền KS</t>
  </si>
  <si>
    <t>Bảng tổng kết</t>
  </si>
  <si>
    <t>Số lần</t>
  </si>
  <si>
    <t>Nơi du lịch</t>
  </si>
  <si>
    <t>Ngày về</t>
  </si>
  <si>
    <t>Vũng tàu</t>
  </si>
  <si>
    <t>_Tiền ăn = (Ngày đi - Ngày về) x Tiền ăn 1 ngày.</t>
  </si>
  <si>
    <t>_Tiền xe = (Ngày đi - Ngày về) x Tiền xe 1 ngày.</t>
  </si>
  <si>
    <t>Các chuyến du lịch ngắn ngày</t>
  </si>
  <si>
    <t>Tiền khách sạn</t>
  </si>
  <si>
    <t>Bảng đơn giá 1 ngày</t>
  </si>
  <si>
    <t>_Tiền khách sạn = (Ngày đi - Ngày về) x Tiền khách sạn 1 ngày.</t>
  </si>
  <si>
    <t>1. Tính cột Tiền ăn, Tiền khách sạn, Tiền xe theo bảng đơn giá.</t>
  </si>
  <si>
    <t>2. Tính Tổng cộng.</t>
  </si>
  <si>
    <t>3. Tính bảng tổng kết.</t>
  </si>
  <si>
    <t>Thắng</t>
  </si>
  <si>
    <t>Tuần</t>
  </si>
  <si>
    <t>Tấn</t>
  </si>
  <si>
    <t>Hồ</t>
  </si>
  <si>
    <t xml:space="preserve">Ăn </t>
  </si>
  <si>
    <t>Vương</t>
  </si>
  <si>
    <t>Đến</t>
  </si>
  <si>
    <t>Đi</t>
  </si>
  <si>
    <t>Mã số</t>
  </si>
  <si>
    <t xml:space="preserve">    của Mã số.</t>
  </si>
  <si>
    <t>Khách sạn Hải Yến</t>
  </si>
  <si>
    <t xml:space="preserve">Khách </t>
  </si>
  <si>
    <t>Bảng giá ăn/1 ngày</t>
  </si>
  <si>
    <t>Trâm</t>
  </si>
  <si>
    <t>Bảng giá phòng</t>
  </si>
  <si>
    <t xml:space="preserve">1. Tiền ăn = (Ngày đi - Ngày đến + 1) x Giá ăn 1 ngày trong bảng giá ăn theo 2 ký tự cuối </t>
  </si>
  <si>
    <t>2. Tính số tuần ở.</t>
  </si>
  <si>
    <t>3. Tính số ngày lẻ = (Ngày đi - ngày đến + 1)/7</t>
  </si>
  <si>
    <t>4. Tính giá Tuần và Ngày căn cứ vào 3 ký tự trái của Mã số và tra trong Bảng giá phòng.</t>
  </si>
  <si>
    <t xml:space="preserve">5. Tính tổng = Tiền ăn + Tiền ở theo tuần + Tiền ở theo ngày. Nếu tiền ở theo ngày lẻ vượt </t>
  </si>
  <si>
    <t xml:space="preserve">    quá giá 1 tuần thì chỉ tính theo giá 1 tuần.</t>
  </si>
  <si>
    <t>Bằng</t>
  </si>
  <si>
    <t>Loại hộ</t>
  </si>
  <si>
    <t>Vũ</t>
  </si>
  <si>
    <t>Bảng chi tiết tiền điện</t>
  </si>
  <si>
    <t>Trong định mức</t>
  </si>
  <si>
    <t>Bảng định mức</t>
  </si>
  <si>
    <t>Vượt định mức</t>
  </si>
  <si>
    <t>Điện kế</t>
  </si>
  <si>
    <t>Tiền trong Đ.Mức</t>
  </si>
  <si>
    <t>Tiền ngoài Đ.Mức</t>
  </si>
  <si>
    <t>Toàn</t>
  </si>
  <si>
    <t>5. Tiền phải trả = Tiền trong định mức + Tiền ngoài định mức.</t>
  </si>
  <si>
    <t>Bảng giá điện</t>
  </si>
  <si>
    <t xml:space="preserve">1. Trong định mức: Số mới - Số cũ. Nếu đáp số nhỏ hơn hay bằng định mức tra trong bảng </t>
  </si>
  <si>
    <t>3. Tiền trong định mức = Số trong định mức x Giá cho trong bảng giá.</t>
  </si>
  <si>
    <t>Đông</t>
  </si>
  <si>
    <t>2. Vượt định mức = Số mới - số cũ - Trong định mức. Nếu âm thì lấy 0.</t>
  </si>
  <si>
    <t>4. Tiền ngoài định mức = Số vượt định mức x Giá phạt là giá cao gấp đôi so với giá bình thường.</t>
  </si>
  <si>
    <t xml:space="preserve">    định mức thì kết quả chính là số đó, ngược lại phải lấy số định mức trong bảng.</t>
  </si>
  <si>
    <t>Tiền giảm</t>
  </si>
  <si>
    <t>TG thực hiện</t>
  </si>
  <si>
    <t>bảng quy định trọng tải</t>
  </si>
  <si>
    <t>Quy Nhơn</t>
  </si>
  <si>
    <t xml:space="preserve">    ngược lại cho bằng 0</t>
  </si>
  <si>
    <t>2. Thời gian thực hiện = Ngày đến - Ngày đi.</t>
  </si>
  <si>
    <t>Bảng đơn giá và thời gian quy định</t>
  </si>
  <si>
    <t>Lộ trình</t>
  </si>
  <si>
    <t>Bảng tính cước phí chuyên chở hàng tháng 12-1999</t>
  </si>
  <si>
    <t>Cước phí</t>
  </si>
  <si>
    <t>1. Cước phí = Số lượng x Đơn giá.</t>
  </si>
  <si>
    <t xml:space="preserve">  -  Nếu Số lượng ít hơn hoặc bằng Trọng tải cho phép của xe thì tính nguyên giá</t>
  </si>
  <si>
    <t xml:space="preserve">      ngược lại tính bằng 105 % giá</t>
  </si>
  <si>
    <t>3. Thưởng tính như sau:</t>
  </si>
  <si>
    <t xml:space="preserve">    Nếu Thời gian thực hiện nhỏ hơn thời gian quy định thì thưởng = 5% của cước phí </t>
  </si>
  <si>
    <t>Trần Minh</t>
  </si>
  <si>
    <t>Trần Thuý Hiền</t>
  </si>
  <si>
    <t>Nguyễn Lan Anh</t>
  </si>
  <si>
    <t>Nguyễn Năm</t>
  </si>
  <si>
    <t>Số NC</t>
  </si>
  <si>
    <t>Vũ Ngọc Quỳnh</t>
  </si>
  <si>
    <t>Trịnh Ngọc Lan</t>
  </si>
  <si>
    <t>Phạm Văn Sơn</t>
  </si>
  <si>
    <t>Số người</t>
  </si>
  <si>
    <t>Bảng mức khen thưởng</t>
  </si>
  <si>
    <t>Đinh Tuấn Anh</t>
  </si>
  <si>
    <t>Vũ Thu Hà</t>
  </si>
  <si>
    <t>Mã KT</t>
  </si>
  <si>
    <t>Nguyễn Lân</t>
  </si>
  <si>
    <t>Tên Nhân viên</t>
  </si>
  <si>
    <t>Lê Anh Đức</t>
  </si>
  <si>
    <t>Phạm Chuyên</t>
  </si>
  <si>
    <t>Lê Đức Việt</t>
  </si>
  <si>
    <t>Hoàng Văn Quý</t>
  </si>
  <si>
    <t>1. Tính Thưởng dựa vào bảng mức khen thưởng.</t>
  </si>
  <si>
    <t>Quản lý</t>
  </si>
  <si>
    <t>Hải</t>
  </si>
  <si>
    <t>Luật</t>
  </si>
  <si>
    <t>Tiếng Anh</t>
  </si>
  <si>
    <t>Học hệ</t>
  </si>
  <si>
    <t>Nơi học</t>
  </si>
  <si>
    <t>Điểm tổng</t>
  </si>
  <si>
    <t>Ngành</t>
  </si>
  <si>
    <t>Ngành Tiếng Anh</t>
  </si>
  <si>
    <t>Ngành Luật</t>
  </si>
  <si>
    <t>Toán Tin</t>
  </si>
  <si>
    <t>Ngành Toán Tin</t>
  </si>
  <si>
    <t>Duyên</t>
  </si>
  <si>
    <t>chỉ thi các môn Toán (hệ số 2), Anh (hệ số 1), Việt (hệ số 2).</t>
  </si>
  <si>
    <t>chỉ thi các môn Toán (hệ số 1), Anh (hệ số 2), Việt (hệ số 1).</t>
  </si>
  <si>
    <t>chỉ thi các môn Toán (hệ số 1), Anh (hệ số 1), Việt (hệ số 2).</t>
  </si>
  <si>
    <t>Hùng</t>
  </si>
  <si>
    <t>Cúc</t>
  </si>
  <si>
    <t>Ngành Quản lý</t>
  </si>
  <si>
    <t>chỉ thi các môn Toán (hệ số 2), Lý (hệ số 1), Hoá (hệ số 1).</t>
  </si>
  <si>
    <t>Chí</t>
  </si>
  <si>
    <t>1. Tính Điểm tổng cho mọi thí sinh, biết rằng:</t>
  </si>
  <si>
    <t>TLTS012</t>
  </si>
  <si>
    <t>TVSA002</t>
  </si>
  <si>
    <t>MGSA003</t>
  </si>
  <si>
    <t>TVSN014</t>
  </si>
  <si>
    <t>MGSA015</t>
  </si>
  <si>
    <t>TLSA005</t>
  </si>
  <si>
    <t>TVTS002</t>
  </si>
  <si>
    <t>TLSN012</t>
  </si>
  <si>
    <t>SN</t>
  </si>
  <si>
    <t>TS</t>
  </si>
  <si>
    <t>SA</t>
  </si>
  <si>
    <t>TL</t>
  </si>
  <si>
    <t>Sonny</t>
  </si>
  <si>
    <t>Toshiba</t>
  </si>
  <si>
    <t>Sanyo</t>
  </si>
  <si>
    <t>Tivi</t>
  </si>
  <si>
    <t>MG</t>
  </si>
  <si>
    <t>dkrt</t>
  </si>
  <si>
    <t>2. Điền chữ 4 năm cho các thí sinh có Điểm tổng từ 18 đến 23.</t>
  </si>
  <si>
    <t xml:space="preserve">                    5 năm cho các thí sinh có Điểm tổng trên 23.</t>
  </si>
  <si>
    <t xml:space="preserve">                   Trượt cho các thí sinh còn lại vào cột Học hệ.</t>
  </si>
  <si>
    <t>3. Điền chữ Mỹ cho thí sinh có Điểm tổng cao nhất.</t>
  </si>
  <si>
    <t xml:space="preserve">                    Pháp cho thí sinh có Điểm tổng cao thứ hai.</t>
  </si>
  <si>
    <t xml:space="preserve">                    Trong nước cho thí sinh Đỗ còn lại trong cột Nơi học.</t>
  </si>
  <si>
    <t>Phạm Trung</t>
  </si>
  <si>
    <t xml:space="preserve">Phạm Bạch </t>
  </si>
  <si>
    <t>Anh văn</t>
  </si>
  <si>
    <t>Trần Quang</t>
  </si>
  <si>
    <t>Nguyễn Trần</t>
  </si>
  <si>
    <t xml:space="preserve">Nguyễn Hải </t>
  </si>
  <si>
    <t>Nguyễn Thu</t>
  </si>
  <si>
    <t xml:space="preserve">Nguyễn Văn </t>
  </si>
  <si>
    <t>Nguyễn Diễm</t>
  </si>
  <si>
    <t>Tuyết</t>
  </si>
  <si>
    <t>Yến</t>
  </si>
  <si>
    <t>Lớp</t>
  </si>
  <si>
    <t xml:space="preserve">Vũ Tuấn </t>
  </si>
  <si>
    <t>K. Số nam học ở Mỹ:</t>
  </si>
  <si>
    <t>L. Số nữ học ở Mỹ:</t>
  </si>
  <si>
    <t>Vĩnh</t>
  </si>
  <si>
    <t xml:space="preserve">Mai Thị Thu </t>
  </si>
  <si>
    <t xml:space="preserve">Nguyễn Thị </t>
  </si>
  <si>
    <t>Trương Thị</t>
  </si>
  <si>
    <t xml:space="preserve">1. Xếp loại như sau: </t>
  </si>
  <si>
    <t>Từ 5 đến dưới 7: TB.</t>
  </si>
  <si>
    <t>2. Nơi học như sau:</t>
  </si>
  <si>
    <t>Hoàng Tuấn</t>
  </si>
  <si>
    <t xml:space="preserve">Đào Thị </t>
  </si>
  <si>
    <t>Trần Thành</t>
  </si>
  <si>
    <t>Thái</t>
  </si>
  <si>
    <t>Bách</t>
  </si>
  <si>
    <t>Từ 7 đến 8: Khá.</t>
  </si>
  <si>
    <t>Dưới 5: Kém.</t>
  </si>
  <si>
    <t>Uyên</t>
  </si>
  <si>
    <t>Lê</t>
  </si>
  <si>
    <t>Lê Thị Thu</t>
  </si>
  <si>
    <t>Quyên</t>
  </si>
  <si>
    <t>Tuyên</t>
  </si>
  <si>
    <t xml:space="preserve">Lê Việt </t>
  </si>
  <si>
    <t>Xuyên</t>
  </si>
  <si>
    <t>A. Tổng số sinh viên:</t>
  </si>
  <si>
    <t>G. Số sinh viên học khá, giỏi:</t>
  </si>
  <si>
    <t>B. Số sinh viên nam:</t>
  </si>
  <si>
    <t>H. Số sinh viên nữ học khá, giỏi:</t>
  </si>
  <si>
    <t>I. ĐTB của các sinh viên nam:</t>
  </si>
  <si>
    <t>E. Số sinh viên xếp loại kém:</t>
  </si>
  <si>
    <t>F. Số sinh viên nữ xếp loại kém:</t>
  </si>
  <si>
    <t>Trên 8: Giỏi.</t>
  </si>
  <si>
    <t>C. Số sinh viên có ĐTB dưới 5:</t>
  </si>
  <si>
    <t>D. Số sinh viên nữ có ĐTB dưới 5:</t>
  </si>
  <si>
    <t>J.  Số sinh viên có cả ba môn &gt;=8:</t>
  </si>
  <si>
    <t xml:space="preserve">    3 SV đạt ĐTB cao nhất và điểm Anh văn không dưới 8: ở Mỹ, còn lại là trong nước.</t>
  </si>
  <si>
    <t>3. Dùng công thức điền vào bảng thống kê.</t>
  </si>
  <si>
    <t xml:space="preserve">Lê Thị Tú </t>
  </si>
  <si>
    <t>Quản lý điểm sinh viên</t>
  </si>
  <si>
    <t>Đỗ Thuý</t>
  </si>
  <si>
    <t>Vải       : 14%</t>
  </si>
  <si>
    <t>Tổng hợp xuất khẩu quý 4/2000</t>
  </si>
  <si>
    <t>Lợi nhuận</t>
  </si>
  <si>
    <t>Sữa         : 5%</t>
  </si>
  <si>
    <t>Nơi đến</t>
  </si>
  <si>
    <t>Dưới 200: 5%</t>
  </si>
  <si>
    <t>Từ 200 đến dưới 500:  10 %</t>
  </si>
  <si>
    <t>Từ 500 đến dưới 1000: 15 %</t>
  </si>
  <si>
    <t>Đường  : 8.2%</t>
  </si>
  <si>
    <t>Ngày xuất</t>
  </si>
  <si>
    <t>Loại hàng</t>
  </si>
  <si>
    <t>1. Bảng lợi nhuận theo Loại hàng:</t>
  </si>
  <si>
    <t>Thái Lan</t>
  </si>
  <si>
    <t>Gạo      : 11% của Trị giá</t>
  </si>
  <si>
    <t>Từ 1000 trở lên:           20 %</t>
  </si>
  <si>
    <t>2. Thuế tính như sau  = Thuế suất x Lợi nhuận</t>
  </si>
  <si>
    <t>DOANH THU ĐẠI LÝ GẠO</t>
  </si>
  <si>
    <t>Mã phiếu</t>
  </si>
  <si>
    <t>Vùng SX</t>
  </si>
  <si>
    <t>Thành  tiền</t>
  </si>
  <si>
    <t>Khuyến mãi</t>
  </si>
  <si>
    <t>G01CT</t>
  </si>
  <si>
    <t>N01CT</t>
  </si>
  <si>
    <t>G02LA</t>
  </si>
  <si>
    <t>N01LA</t>
  </si>
  <si>
    <t>N02LA</t>
  </si>
  <si>
    <t>G01DT</t>
  </si>
  <si>
    <t>T01DT</t>
  </si>
  <si>
    <t>T02DT</t>
  </si>
  <si>
    <t>BẢNG 1</t>
  </si>
  <si>
    <t>BẢNG 2</t>
  </si>
  <si>
    <t>CT</t>
  </si>
  <si>
    <t>LA</t>
  </si>
  <si>
    <t>DT</t>
  </si>
  <si>
    <t>LOẠI 1</t>
  </si>
  <si>
    <t>LOẠI 2</t>
  </si>
  <si>
    <t>Long An</t>
  </si>
  <si>
    <t>Đồng Tháp</t>
  </si>
  <si>
    <t>Gạo thơm</t>
  </si>
  <si>
    <t>Nếp</t>
  </si>
  <si>
    <t>BẢNG THỐNG KÊ THÀNH TIỀN</t>
  </si>
  <si>
    <t>Mô tả:</t>
  </si>
  <si>
    <t>-        Kí tự  đầu của mã  phiếu cho biết Mã hàng</t>
  </si>
  <si>
    <t>-        Kí tự 2, 3 của Mã phiếu cho biết Loại hàng là Loại 1 (01) hay Loại 2 (02)</t>
  </si>
  <si>
    <t>-        2 kí tự cuối của Mã phiếu cho biết Mã vùng</t>
  </si>
  <si>
    <t>Yêu cầu:</t>
  </si>
  <si>
    <t>1.      Tên hàng: Gồm 2 phần là Tên và Loại. Biết rằng</t>
  </si>
  <si>
    <t>Tên : Dựa vào Mã hàng tra trong BẢNG 1 để có Tên hàng tương ứng</t>
  </si>
  <si>
    <t>Loại: Dựa vào Loại hàng để có giá trị hợp lý.</t>
  </si>
  <si>
    <t>Vd: Mã phiếu là “G01CT”  thì tên hàng là “Gạo thơm – Loại 1”</t>
  </si>
  <si>
    <t>2.      Vùng sản xuất: Dựa vào Mã vùng tra trong BẢNG 2</t>
  </si>
  <si>
    <t>3.      Đơn giá: Dựa vào Mã hàng tra trong BẢNG 1 kết hợp với Loại hàng để có giá trị hợp lý. Biết rằng:</t>
  </si>
  <si>
    <t>Nếu hàng được bán trong 15 ngày đầu tiên của tháng 01/05 thì đơn giá được giảm 3%.</t>
  </si>
  <si>
    <t>Nếu hàng được bán trong 15 ngày đầu tiên của tháng 02/05 thì đơn giá được giảm 4%</t>
  </si>
  <si>
    <t>4.      Thành tiền =Số lượng * Đơn giá. Biết  rằng</t>
  </si>
  <si>
    <t>Nếu mặt hàng là Gạo được bán từ ngày 01/02/05 đến 15/02/05 với Số lượng &gt;=50 thì Thành tiền được giảm 5%.</t>
  </si>
  <si>
    <t>Nếu mặt hàng là Nếp được bán với Số lượng &gt;=100 thì Thành tiền được giảm 4%</t>
  </si>
  <si>
    <t>5.      Khuyến mãi: Nếu hàng được sản xuất tại Long An và được bán với số lượng &gt;=50 thì ghi “Có qùa tặng”, còn ngược lại thì để trống.</t>
  </si>
  <si>
    <t>6.      Sắp xếp lại bảng tính theo thứ tự tăng dần của vùng sản xuất, nếu trùng thì sắp tăng dần theo tên hàng.</t>
  </si>
  <si>
    <t>7.      Rút trích thông tin của mặt hàng được bán số lượng từ  50 đến 100 và được sản xuất tại Long An và Đồng Tháp.</t>
  </si>
  <si>
    <t>8.      Lập BẢNG THỐNG KÊ THÀNH TIỀN theo mẫu trên. (Phải sử dụng kỹ thuật Data Table 2 biến)</t>
  </si>
  <si>
    <t>9.      Tạo cột Xếp hạng sau cột Khuyến mãi có trong bảng tính. Lập công thức xếp hạng cho các mặt hàng theo Thành tiền. Biết rằng Thành tiền cao nhất sẽ được xếp hạng 1</t>
  </si>
  <si>
    <t>Nếp - Loại 01</t>
  </si>
  <si>
    <t>Có quà tặng</t>
  </si>
  <si>
    <t>Nếp - Loại 02</t>
  </si>
  <si>
    <t>Tấm - Loại 01</t>
  </si>
  <si>
    <t/>
  </si>
  <si>
    <t xml:space="preserve">BÁN HÀNG GỖ - TRE - NỨA 2008 </t>
  </si>
  <si>
    <t>Phiếu hàng</t>
  </si>
  <si>
    <t>Tên hàng (dùng if)</t>
  </si>
  <si>
    <t>Tên hàng (dùng vlookup)</t>
  </si>
  <si>
    <t>Mã hiệu</t>
  </si>
  <si>
    <t>CE01_1405</t>
  </si>
  <si>
    <t>CE01_1011</t>
  </si>
  <si>
    <t>GM02_2005</t>
  </si>
  <si>
    <t>GM02_2206</t>
  </si>
  <si>
    <t>GT01_1512</t>
  </si>
  <si>
    <t>GT01_1210</t>
  </si>
  <si>
    <t>TN01_2012</t>
  </si>
  <si>
    <t>TN02_0908</t>
  </si>
  <si>
    <t>BẢN HiỆU</t>
  </si>
  <si>
    <t>CE</t>
  </si>
  <si>
    <t>GM</t>
  </si>
  <si>
    <t>Cót ép</t>
  </si>
  <si>
    <t>Giỏ mây</t>
  </si>
  <si>
    <t>tấm</t>
  </si>
  <si>
    <t>cái</t>
  </si>
  <si>
    <t>kg</t>
  </si>
  <si>
    <t>Giỏ tre đựng rau</t>
  </si>
  <si>
    <t>Tăm nhang</t>
  </si>
  <si>
    <t>BẢNG THỐNG KÊ THÀNH TiỀN TRONG THÁNG 5 VÀ THÁNG 11</t>
  </si>
  <si>
    <t>Tên hàng/Loại hàng</t>
  </si>
  <si>
    <t>RÚT TRÍCH ???</t>
  </si>
  <si>
    <t>Mô tả</t>
  </si>
  <si>
    <t>2 kí tự đầu của phiếu hàng là Mã hiệu</t>
  </si>
  <si>
    <t>2 kí tự 3,4 của phiếu hàng là Loại hàng. Các kí tự cuối 6,7,8,9 của phiếu hàng là Ngày tháng.</t>
  </si>
  <si>
    <t>Yêu cầu</t>
  </si>
  <si>
    <t>Tên hàng: dựa vào Mã hiệu tra trong Bảng Hiệu</t>
  </si>
  <si>
    <t>Đơn vị tính dựa vào Mã hiệu tra trong Bảng đơn giá loại 1</t>
  </si>
  <si>
    <t>Đơn giá dựa vào Mã hiệu trong Bảng đơn giá loại 1. Tuy nhiên, nếu  mặt hàng loại 2 thì giảm 10% so với đơn giá loại 1</t>
  </si>
  <si>
    <t>Thành tiền = số lượng * đơn giá. Nếu mặt hàng trong tháng 5 và tháng 12 lớn hơn 200 thì giảm 10%(số lượng * đơn giá)</t>
  </si>
  <si>
    <t>Sắp xếp bảng tính tăng dần theo tên hàng, nếu trùng nhau thì sắp xếp giảm dần theo số lượng.</t>
  </si>
  <si>
    <t>Ghi chú: "Giảm giá" cho những mặt hàng bán trong tháng 5 và tháng 12 với số lượng lớn hơn 200</t>
  </si>
  <si>
    <t>Lập thống kê theo mẫu trên.</t>
  </si>
  <si>
    <t>Rút trích những mặt hàng "Tăm nhang" và " Giỏ tre đựng rau" được bán từ tháng 4 đến tháng 10.</t>
  </si>
  <si>
    <t>8. Rút trích</t>
  </si>
  <si>
    <t>3. Tính tổng các nhóm số liệu theo nơi đến.</t>
  </si>
  <si>
    <t>Bảng Danh Mục</t>
  </si>
  <si>
    <t>SLượng</t>
  </si>
  <si>
    <t>Đĩa mềm 1.4Mb</t>
  </si>
  <si>
    <t>Đĩa mềm 1.2Mb</t>
  </si>
  <si>
    <t>Đĩa CD 740Mb</t>
  </si>
  <si>
    <t>Đĩa cứng 3.2Mb</t>
  </si>
  <si>
    <t>Đĩa mềm</t>
  </si>
  <si>
    <t>Đĩa CD</t>
  </si>
  <si>
    <t>Mã HĐ</t>
  </si>
  <si>
    <t xml:space="preserve">Báo Cáo Bán Hàng </t>
  </si>
  <si>
    <t>Cái</t>
  </si>
  <si>
    <t>Tổng số tiền bán được của các mặt hàng</t>
  </si>
  <si>
    <t xml:space="preserve">    hàng, đơn vị, đơn giá.</t>
  </si>
  <si>
    <t>Tên mặt hàng</t>
  </si>
  <si>
    <t xml:space="preserve">Thùng </t>
  </si>
  <si>
    <t>(Dùng hàm DSUM)</t>
  </si>
  <si>
    <t>(Dùng hàm SUMIF)</t>
  </si>
  <si>
    <t xml:space="preserve">1. Dựa vào ký tự đầu và 2 ký tự cuối của mã HĐ, tìm trong bảng danh mục để lấy tên mặt </t>
  </si>
  <si>
    <t>2. Tính thành tiền.</t>
  </si>
  <si>
    <t>3. Tính tổng số tiền bán được của các mặt hàng: Đĩa mềm, đĩa cứng, đĩa CD.</t>
  </si>
  <si>
    <t>Loại VLXD</t>
  </si>
  <si>
    <t>Gạch men</t>
  </si>
  <si>
    <t>Loại 1</t>
  </si>
  <si>
    <t>Loại 2</t>
  </si>
  <si>
    <t>Bảng phụ 1</t>
  </si>
  <si>
    <t>Bảng phụ 2</t>
  </si>
  <si>
    <t>Ký tự thứ nhất</t>
  </si>
  <si>
    <t>Ký tự 2 &amp; 3</t>
  </si>
  <si>
    <t>Chất lượng</t>
  </si>
  <si>
    <t>Bảng tổng kết cuối  ngày</t>
  </si>
  <si>
    <t>Ngày ..../...../ 200...</t>
  </si>
  <si>
    <t>Mã mặt hàng</t>
  </si>
  <si>
    <t>Thành tiền = Số lượng x Đơn giá</t>
  </si>
  <si>
    <t>Cửa hàng vật liệu xây dựng ABC</t>
  </si>
  <si>
    <t>(Giảm 2% cho các mặt hàng có giá thành lớn hơn 1.000.000)</t>
  </si>
  <si>
    <t>Đơn vị tính</t>
  </si>
  <si>
    <t>1. Dựa vào bảng phụ 1 và bảng phụ 2 để điền tên mặt hàng. Ví dụ: A01 --&gt; Gạch men loại 1.</t>
  </si>
  <si>
    <t>2. Dựa vào bảng phụ 1 để điền vào cột đơn vị tính.</t>
  </si>
  <si>
    <t>3. Dựa vào bảng đơn giá và bảng phụ 2 để tính đơn giá.</t>
  </si>
  <si>
    <t>4. Tính cột thành tiền theo yêu cầu sau:</t>
  </si>
  <si>
    <t>5. Trích ra danh sách của tất cả các mặt hàng loại một.</t>
  </si>
  <si>
    <t>Đặng Hoài Thu</t>
  </si>
  <si>
    <t>2. Căn cứ vào ĐTB và thang chia điểm sau để xếp loại:</t>
  </si>
  <si>
    <t>Mã SV</t>
  </si>
  <si>
    <t>Nguyễn Khánh</t>
  </si>
  <si>
    <t>Từ 7 đến 8.4: Khá</t>
  </si>
  <si>
    <t>Nguyễn Ngọc Vân</t>
  </si>
  <si>
    <t>Đỗ Thanh Ngân</t>
  </si>
  <si>
    <t>Dưới 5: Kém</t>
  </si>
  <si>
    <t>Lê Quốc Doanh</t>
  </si>
  <si>
    <t>Từ 8.5 trở lên: Giỏi</t>
  </si>
  <si>
    <t>3. Học bổng 100 nếu điểm TB từ 7 trở lên và không có môn nào dưới 5.</t>
  </si>
  <si>
    <t>Lê Quang Hùng</t>
  </si>
  <si>
    <t>Dương Tú Anh</t>
  </si>
  <si>
    <t>Trần Thanh Bình</t>
  </si>
  <si>
    <t>Phạm Văn Bình</t>
  </si>
  <si>
    <t>Tạ Bích Loan</t>
  </si>
  <si>
    <t>1. Tính điểm trung bình (hệ số Toán là 2, Tin là 3).</t>
  </si>
  <si>
    <t>Bộ vi XL</t>
  </si>
  <si>
    <t>Bộ nhớ RAM</t>
  </si>
  <si>
    <t>_Từ 100 đến 199: 1% của Tiền.</t>
  </si>
  <si>
    <t>_Từ 200 đến 299: 2% của Tiền.</t>
  </si>
  <si>
    <t>Đĩa cứng</t>
  </si>
  <si>
    <t>Thưởng tháng 8</t>
  </si>
  <si>
    <t>_Từ 300 trở lên: 5% của Tiền.</t>
  </si>
  <si>
    <t>_Nếu Tiền dưới 100: Không.</t>
  </si>
  <si>
    <t xml:space="preserve">Thưởng tính theo quy định sau: </t>
  </si>
  <si>
    <t>Tuấn</t>
  </si>
  <si>
    <t>Số TT</t>
  </si>
  <si>
    <t>Số tuần ở</t>
  </si>
  <si>
    <t>Số ngày lẻ ở</t>
  </si>
  <si>
    <t>Đơn giá tuần</t>
  </si>
  <si>
    <t>Đơn giá ngày</t>
  </si>
  <si>
    <t>Mã phòng</t>
  </si>
  <si>
    <t>Loại phòng</t>
  </si>
  <si>
    <t>2. Điền đơn giá tuần và ngày cho mỗi khách biết rằng trong Mã phòng</t>
  </si>
  <si>
    <t xml:space="preserve">    chữ cái chỉ Loại phòng, con số chỉ Tầng.</t>
  </si>
  <si>
    <t>Bích</t>
  </si>
  <si>
    <t>1. Tính số tuần và số ngày ở của mỗi khách.</t>
  </si>
  <si>
    <t>3. Tính số tiền phải thu được của khách ở từng loại phòng.</t>
  </si>
  <si>
    <t>Số HS</t>
  </si>
  <si>
    <t>ĐTB cao nhất</t>
  </si>
  <si>
    <t>2. Xếp thứ theo Điểm TB.</t>
  </si>
  <si>
    <t>3. Xếp loại căn cứ vào Điểm TB như sau:</t>
  </si>
  <si>
    <t>- Từ 5 đến 6.4 là TB</t>
  </si>
  <si>
    <t>4. Học bổng căn cứ vào xếp thứ:</t>
  </si>
  <si>
    <t xml:space="preserve"> - Từ  thứ 1 đến thứ 3 là 100.</t>
  </si>
  <si>
    <t xml:space="preserve"> - Từ  thứ 4 đến thứ 6 là 50.</t>
  </si>
  <si>
    <t xml:space="preserve">          Hệ số Toán là 2, hệ số Tin là 3, hệ số Anh là 1.</t>
  </si>
  <si>
    <t>- Từ 6.5 đến 7.9 là Khá</t>
  </si>
  <si>
    <t>- Dưới 5 là Kém</t>
  </si>
  <si>
    <t>Chuyên cần</t>
  </si>
  <si>
    <t>Loại chuyên cần</t>
  </si>
  <si>
    <t>ĐTB được cộng thêm</t>
  </si>
  <si>
    <t>- Từ 8 trở lên là Giỏi</t>
  </si>
  <si>
    <t>5. Sắp xếp lại danh sách trên theo Xếp thứ giảm dần.</t>
  </si>
  <si>
    <t xml:space="preserve"> - Các học sinh còn lại không được học bổng.</t>
  </si>
  <si>
    <t>Những người cùng thứ bậc xếp người có điểm Tin cao hơn lên trước.</t>
  </si>
  <si>
    <t>1. Điểm TB lấy 1 số thập phân và tính như sau:</t>
  </si>
  <si>
    <t>Ngoại tệ</t>
  </si>
  <si>
    <t>Loại tiền cần đổi ra</t>
  </si>
  <si>
    <t>Số tiền đổi ra được</t>
  </si>
  <si>
    <t>Loại HĐ</t>
  </si>
  <si>
    <t>VNĐ</t>
  </si>
  <si>
    <t>Loại hoá đơn</t>
  </si>
  <si>
    <t>Số lượng hoá đơn</t>
  </si>
  <si>
    <t>1. Tỷ giá: 14000 VNĐ = 1 USD, 10000 VNĐ = 1 DM, 6000 VNĐ =  1 FR.</t>
  </si>
  <si>
    <t>2. Dùng công thức điền vào bảng thống kê.</t>
  </si>
  <si>
    <t>Vải</t>
  </si>
  <si>
    <t xml:space="preserve">   - Dưới 30 ngày thưởng 2% Thành tiền.</t>
  </si>
  <si>
    <t xml:space="preserve">   - Từ 30 ngày đến 89 ngày thưởng 1% Thành tiền.</t>
  </si>
  <si>
    <t>1. Thuế: Mã A là 1%, B là 5 %, C là 7 %, D là 10 % Thành tiền.</t>
  </si>
  <si>
    <t>3. Giá thành = Thành tiền + Thuế + Thưởng.</t>
  </si>
  <si>
    <t>2. Thưởng cho nhân viên bán hàng theo thời gian lưu kho như sau:</t>
  </si>
  <si>
    <t xml:space="preserve">   - Các trường hợp khác không được thưởng.</t>
  </si>
  <si>
    <t>Tiền nhập</t>
  </si>
  <si>
    <t>- Kẹo: 3% Tiền nhập</t>
  </si>
  <si>
    <t>- Mứt: 1%  Tiền nhập</t>
  </si>
  <si>
    <t>Tiền bán</t>
  </si>
  <si>
    <t>Tháng</t>
  </si>
  <si>
    <t>- Bánh: 2% Tiền nhập</t>
  </si>
  <si>
    <t>3. Sắp xếp Cửa hàng tăng dần, cùng Cửa hàng sắp xếp Tiền bán giảm dần.</t>
  </si>
  <si>
    <t>4. Dùng công thức điền vào bảng thống kê.</t>
  </si>
  <si>
    <t>Phụ phí</t>
  </si>
  <si>
    <t>1. Phụ phí của các mặt hàng như sau:</t>
  </si>
  <si>
    <t>2. Tiền bán = Tiền nhập + Phụ phí.</t>
  </si>
  <si>
    <t>Đơn giá ngày lẻ</t>
  </si>
  <si>
    <t>Bảng kê tiền thuê phòng tháng 11-12/1998</t>
  </si>
  <si>
    <t>Tiền tính theo ngày lẻ</t>
  </si>
  <si>
    <t>1. Tính số tuần và số ngày lẻ ở của mỗi khách.</t>
  </si>
  <si>
    <t>2. Điền vào các cột Tiền tính theo tuần và theo số ngày lẻ theo cách sau:</t>
  </si>
  <si>
    <t>- Tiền tính theo tuần = Số tuần x Đơn giá tuần.</t>
  </si>
  <si>
    <t>- Tiền tính theo ngày lẻ = Số ngày lẻ x Đơn giá ngày lẻ.</t>
  </si>
  <si>
    <t>3. Thành tiền = Tiền tính theo tuần + Tiền tính theo ngày lẻ.</t>
  </si>
  <si>
    <t>Thu nhập</t>
  </si>
  <si>
    <t>Quỳnh</t>
  </si>
  <si>
    <t>3. Thu nhập = Lương + PCCV.</t>
  </si>
  <si>
    <t>GĐ: 200000</t>
  </si>
  <si>
    <t>PGĐ: 150000</t>
  </si>
  <si>
    <t>Tiền 1 ngày</t>
  </si>
  <si>
    <t>Số ngày LV</t>
  </si>
  <si>
    <t>2. Lương = Tiền 1 ngày x Số ngày LV.</t>
  </si>
  <si>
    <t>Mã CV</t>
  </si>
  <si>
    <t>Bảng lương tháng 12 - 1998</t>
  </si>
  <si>
    <t xml:space="preserve">    Nếu Số ngày LV cao hơn Ngày công chuẩn (25 ngày) thì mỗi ngày vượt trội</t>
  </si>
  <si>
    <t>1. Tính PCCV như sau:</t>
  </si>
  <si>
    <t xml:space="preserve"> tính bằng 2 ngày LV</t>
  </si>
  <si>
    <t>Kết quả thi cuối kỳ lớp Tin học</t>
  </si>
  <si>
    <t>Tổng điểm</t>
  </si>
  <si>
    <t xml:space="preserve">      Từ 17 đến 18.9: Giỏi.</t>
  </si>
  <si>
    <t>Đạo đức</t>
  </si>
  <si>
    <t xml:space="preserve">      Trừ Tổng điểm đi 1 cho học sinh đạt Đạo đức D.</t>
  </si>
  <si>
    <t>2. Căn cứ vào Tổng điểm để xếp loại học sinh như sau:</t>
  </si>
  <si>
    <t xml:space="preserve">      Tổng điểm = Toán + Tin.</t>
  </si>
  <si>
    <t xml:space="preserve">      Từ 14 đến 16.9: Khá.</t>
  </si>
  <si>
    <t xml:space="preserve">      Dưới 10: Kém.</t>
  </si>
  <si>
    <t xml:space="preserve">      Cộng thêm 1 điểm vào Tổng điểm cho học sinh đạt Đạo đức A.</t>
  </si>
  <si>
    <t xml:space="preserve">      Cộng thêm 0.5 điểm vào Tổng điểm cho học sinh đạt Đạo đức B.</t>
  </si>
  <si>
    <t xml:space="preserve">      Các loại Đạo đức khác giữ nguyên Tổng điểm.</t>
  </si>
  <si>
    <t xml:space="preserve">      Từ 19 trở lên: Xuất sắc.</t>
  </si>
  <si>
    <t>BẢNG TÍNH TIỀN ĐIỆN THÁNG 10 NĂM 2002</t>
  </si>
  <si>
    <t>Định Mức</t>
  </si>
  <si>
    <t>Chỉ Số Cũ</t>
  </si>
  <si>
    <t>Chỉ Số Mới</t>
  </si>
  <si>
    <t>Tiền Trong Định Mức</t>
  </si>
  <si>
    <t>Số điện vượt</t>
  </si>
  <si>
    <t>Tiền Vượt Định Mức</t>
  </si>
  <si>
    <t>Tiền Phải Trả</t>
  </si>
  <si>
    <t>KD001</t>
  </si>
  <si>
    <t>KD002</t>
  </si>
  <si>
    <t>SX001</t>
  </si>
  <si>
    <t>KD003</t>
  </si>
  <si>
    <t>SX003</t>
  </si>
  <si>
    <t>TD001</t>
  </si>
  <si>
    <t>TD003</t>
  </si>
  <si>
    <t>SX</t>
  </si>
  <si>
    <t>HTSD</t>
  </si>
  <si>
    <t>Loại2</t>
  </si>
  <si>
    <t>Loại 3</t>
  </si>
  <si>
    <t>HT</t>
  </si>
  <si>
    <t>Sản Xuất</t>
  </si>
  <si>
    <t>Sinh Hoạt</t>
  </si>
  <si>
    <t>Kinh Doanh</t>
  </si>
  <si>
    <t>ĐM</t>
  </si>
  <si>
    <t>1.Tạo và điền đầy đủ dữ liệu cho bảng sau:</t>
  </si>
  <si>
    <t>BẢNG 3</t>
  </si>
  <si>
    <t>Tổng Tiền</t>
  </si>
  <si>
    <t>3. Học bổng 100 nếu Tổng điểm từ 14 trở lên và không có môn nào dưới 5.</t>
  </si>
  <si>
    <t xml:space="preserve">      Từ 10 đến 13.9: Trung bình.</t>
  </si>
  <si>
    <t>1. Tính Tổng điểm như sau:</t>
  </si>
  <si>
    <t>Số xe</t>
  </si>
  <si>
    <t xml:space="preserve">Thời gian </t>
  </si>
  <si>
    <t>Ngọc Minh</t>
  </si>
  <si>
    <t>Nguyễn Hồng</t>
  </si>
  <si>
    <t>Hồ Thanh</t>
  </si>
  <si>
    <t>Tổng</t>
  </si>
  <si>
    <t>Lợi</t>
  </si>
  <si>
    <t>Phạm Hữu</t>
  </si>
  <si>
    <t>kết quả thi học kỳ II năm học 2003</t>
  </si>
  <si>
    <t xml:space="preserve">Phạm Mỹ </t>
  </si>
  <si>
    <t>Hồ Sỹ</t>
  </si>
  <si>
    <t>Họ đệm</t>
  </si>
  <si>
    <t>Lĩnh</t>
  </si>
  <si>
    <t>Phước</t>
  </si>
  <si>
    <t>Đỗ Quang</t>
  </si>
  <si>
    <t xml:space="preserve">Đặng Văn </t>
  </si>
  <si>
    <t>Hà</t>
  </si>
  <si>
    <t xml:space="preserve">Đào Trọng </t>
  </si>
  <si>
    <t>5. Sắp xếp lại danh sách theo điểm Tổng giảm dần.</t>
  </si>
  <si>
    <t>Nhân</t>
  </si>
  <si>
    <t>Lâm</t>
  </si>
  <si>
    <t>Tên</t>
  </si>
  <si>
    <t>Hòa</t>
  </si>
  <si>
    <t>_Kết quả là Yếu với những người còn lại.</t>
  </si>
  <si>
    <t>4. Đưa ra một bảng mới của tất cả những người bị trượt 2 trong 5 môn.</t>
  </si>
  <si>
    <t>Nguyễn Phú</t>
  </si>
  <si>
    <t>Số đơn vị học trình</t>
  </si>
  <si>
    <t>DANH SÁCH HÀNG CÔNG TY HỒNG NGỌC</t>
  </si>
  <si>
    <t>MÃ HÀNG</t>
  </si>
  <si>
    <t>NGÀY BÁN</t>
  </si>
  <si>
    <t>NGÀY NHẬP</t>
  </si>
  <si>
    <t>THÀNH TIỀN</t>
  </si>
  <si>
    <t>THUẾ</t>
  </si>
  <si>
    <t>TỔNG CỘNG</t>
  </si>
  <si>
    <t>20.01.2006</t>
  </si>
  <si>
    <t>01.01.2006</t>
  </si>
  <si>
    <t>12.01.2006</t>
  </si>
  <si>
    <t>02.01.2006</t>
  </si>
  <si>
    <t>10.03.2006</t>
  </si>
  <si>
    <t>15.01.2006</t>
  </si>
  <si>
    <t>C3</t>
  </si>
  <si>
    <t>14.05.2006</t>
  </si>
  <si>
    <t>01.02.2005</t>
  </si>
  <si>
    <t>10.06.2006</t>
  </si>
  <si>
    <t>15.02.2006</t>
  </si>
  <si>
    <t>10.08.2006</t>
  </si>
  <si>
    <t>11.07.2006</t>
  </si>
  <si>
    <t>BẢNG 1: BẢNG GIÁ CÁC MẶT HÀNG</t>
  </si>
  <si>
    <t>BẢNG 2: TỔNG HỢP THEO TÊN HÀNG</t>
  </si>
  <si>
    <t>LOẠI HÀNG</t>
  </si>
  <si>
    <t>ĐƠN GIÁ</t>
  </si>
  <si>
    <t>TỔNG TIỀN</t>
  </si>
  <si>
    <t>RƯỢU</t>
  </si>
  <si>
    <t>BIA</t>
  </si>
  <si>
    <t>CỒN</t>
  </si>
  <si>
    <t>Tbình</t>
  </si>
  <si>
    <t>Vũ Bình</t>
  </si>
  <si>
    <t>Vũ Đình</t>
  </si>
  <si>
    <t>_Kết quả là Giỏi với những người có điểm trung bình &gt;=7.</t>
  </si>
  <si>
    <t>_Kết quả là Khá với những người có điểm trung bình &gt;=6 và &lt;7.</t>
  </si>
  <si>
    <t>_Kết quả là Trung bình với những người có điểm trung bình &gt;=5 và &lt;6.</t>
  </si>
  <si>
    <t>Đỗ Trí</t>
  </si>
  <si>
    <t>1. Tính điểm tổng các môn học (có tính đến số đơn vị học trình).</t>
  </si>
  <si>
    <t>2. Tính điểm trung bình các môn học.</t>
  </si>
  <si>
    <t>3. Tính kết quả biết:</t>
  </si>
  <si>
    <t>T.trả</t>
  </si>
  <si>
    <t>Sản xuất</t>
  </si>
  <si>
    <t>Bảng tham chiếu</t>
  </si>
  <si>
    <t>4. Cột (10):</t>
  </si>
  <si>
    <t>Số mới</t>
  </si>
  <si>
    <t>Số cũ</t>
  </si>
  <si>
    <t>Bảng tỷ lệ</t>
  </si>
  <si>
    <t>Nguyễn Thu Hương</t>
  </si>
  <si>
    <t>MĐSD</t>
  </si>
  <si>
    <t>Đ.mức</t>
  </si>
  <si>
    <t>Trần Như Điệp</t>
  </si>
  <si>
    <t>Mai Hoàng Lan</t>
  </si>
  <si>
    <t>Nguyễn Thu Hà</t>
  </si>
  <si>
    <t>Hoàng Hải Phong</t>
  </si>
  <si>
    <t>Hoàng Đức Tuấn</t>
  </si>
  <si>
    <t>Trần Thanh Hà</t>
  </si>
  <si>
    <t>Mã hộ</t>
  </si>
  <si>
    <t>Đ.giá</t>
  </si>
  <si>
    <t>Tiêu thụ</t>
  </si>
  <si>
    <t>Lê Ngọc Quỳnh</t>
  </si>
  <si>
    <t>Lê Văn Thịnh</t>
  </si>
  <si>
    <t>2. Tiêu thụ = Số mới - Số cũ.</t>
  </si>
  <si>
    <t>_Nếu Tiêu thụ &lt;=Đ.mức: T.trả = Tiêu thụ x Đơn giá.</t>
  </si>
  <si>
    <t>_Nếu Tiêu thụ &gt;Đ.mức: T.trả = (Đ.mức x Đơn giá) + (Số vượt định mức x Tỷ lệ x Đơn giá).</t>
  </si>
  <si>
    <t>Tiêu dùng</t>
  </si>
  <si>
    <t>1. Cột MĐSD: Căn cứ vào ký tự đầu tiên của mã hộ và bảng tham chiếu.</t>
  </si>
  <si>
    <t>3. Cột (8), (9): Căn cứ vào ký tự và bảng giá.</t>
  </si>
  <si>
    <t>Phạm Thanh Bình</t>
  </si>
  <si>
    <t>Bảng tính tiền điện tháng 10/2002</t>
  </si>
  <si>
    <t>Chiết khấu</t>
  </si>
  <si>
    <t>1. Số ngày = Ngày đi - Ngày đến.</t>
  </si>
  <si>
    <t>BảNG thanh toán tiền khách sạn</t>
  </si>
  <si>
    <t>Bảng đơn giá</t>
  </si>
  <si>
    <t>Tên khách</t>
  </si>
  <si>
    <t>3. Tiền thuê = Số ngày x Giá.</t>
  </si>
  <si>
    <t>4. Chiết khấu 5% tiền thuê cho những người ở trên 30 ngày.</t>
  </si>
  <si>
    <t>Phí PV</t>
  </si>
  <si>
    <t>2. Điền cột giá và phí phục vụ dựa vào bảng đơn giá.</t>
  </si>
  <si>
    <t>5. Tính cột Tổng cộng.</t>
  </si>
  <si>
    <t>Xuất sắc</t>
  </si>
  <si>
    <t>Xếp loại</t>
  </si>
  <si>
    <t>Giỏi</t>
  </si>
  <si>
    <t>từ ngày</t>
  </si>
  <si>
    <t>đến ngày</t>
  </si>
  <si>
    <t>Mặt hàng cần tính là :</t>
  </si>
  <si>
    <t>gạch 5x20</t>
  </si>
  <si>
    <t>Nghiệp vụ</t>
  </si>
  <si>
    <t>Định mức theo :</t>
  </si>
  <si>
    <t>N1</t>
  </si>
  <si>
    <t>Nhập mua hàng</t>
  </si>
  <si>
    <t>ĐVT 1</t>
  </si>
  <si>
    <t>ĐVT2</t>
  </si>
  <si>
    <t>N2</t>
  </si>
  <si>
    <t>Nhập hoàn trả</t>
  </si>
  <si>
    <t>m2</t>
  </si>
  <si>
    <t>viên</t>
  </si>
  <si>
    <t>xi măng</t>
  </si>
  <si>
    <t>Phiếu</t>
  </si>
  <si>
    <t>Tên hàng hóa</t>
  </si>
  <si>
    <t>Số lượng theo ĐVT2</t>
  </si>
  <si>
    <t>Số lượng theo ĐVT1</t>
  </si>
  <si>
    <t>mong anh/chị giúp mình Tính tổng số lượng của từng mặt hàng theo từng ĐVT (1 và 2) biết :</t>
  </si>
  <si>
    <t xml:space="preserve">   '-   Số lượng này nằm trong khoảng thời gian từ ngày 1/10 đến ngày 15/11</t>
  </si>
  <si>
    <t xml:space="preserve">   '-   Số lượng này bao gồm cả N1 và N2</t>
  </si>
  <si>
    <t>SL theo ĐVT1</t>
  </si>
  <si>
    <t>SL theo ĐVT2</t>
  </si>
  <si>
    <t>Ngaứy</t>
  </si>
  <si>
    <t>Thaứnh Tieàn</t>
  </si>
  <si>
    <t>maừ maởt haứng</t>
  </si>
  <si>
    <t>Maởt haứng Tivi</t>
  </si>
  <si>
    <t>Chửựng tửứ</t>
  </si>
  <si>
    <t>ẹụn giaự</t>
  </si>
  <si>
    <t>Giaự baựn</t>
  </si>
  <si>
    <t>Maựy Giaởt</t>
  </si>
  <si>
    <t>Doanh thu baựn haứng tửứ ngaứy 15/10/2001 -&gt; 01/11/2001</t>
  </si>
  <si>
    <t>Maựy Giaởt Sanyo</t>
  </si>
  <si>
    <t>Baỷng 1</t>
  </si>
  <si>
    <t>Baỷng 2</t>
  </si>
  <si>
    <t>SOÅ THEO DOếI BAÙN HAỉNG</t>
  </si>
  <si>
    <t>Teõn saỷn phaồm</t>
  </si>
  <si>
    <t>Teõn</t>
  </si>
  <si>
    <t>Teõn haừng sx</t>
  </si>
  <si>
    <t>Baỷng thoỏng keõ</t>
  </si>
  <si>
    <t>Soỏ lửụùng</t>
  </si>
  <si>
    <t>Tuỷ Laùnh</t>
  </si>
  <si>
    <t>Maởt haứng tuỷ laùnh</t>
  </si>
  <si>
    <t>Sú</t>
  </si>
  <si>
    <t>Hết Hạn</t>
  </si>
  <si>
    <t>BẢNG LOẠI XE</t>
  </si>
  <si>
    <t>Số Lượng</t>
  </si>
  <si>
    <t>TG Bảo Hành</t>
  </si>
  <si>
    <t>Hãng Sản Xuất</t>
  </si>
  <si>
    <t>Nhãn Hiệu</t>
  </si>
  <si>
    <t>Mã Loại</t>
  </si>
  <si>
    <t>TG Bảo Hành (Tháng)</t>
  </si>
  <si>
    <t>SL Bán</t>
  </si>
  <si>
    <t>Số Lần Mua Bán</t>
  </si>
  <si>
    <t>Phân Khối (CC)</t>
  </si>
  <si>
    <t>Mã Phân Khối</t>
  </si>
  <si>
    <t>Số Phân Khối</t>
  </si>
  <si>
    <t>Phân Khối</t>
  </si>
  <si>
    <t>Loại Phân Khối</t>
  </si>
  <si>
    <t>Yêu cầu: Tự giải</t>
  </si>
  <si>
    <t>Mã Hóa Đơn</t>
  </si>
  <si>
    <t>BẢNG NHÃN HIỆU</t>
  </si>
  <si>
    <t>BẢNG CHI TIẾT MUA XE GẮN MÁY</t>
  </si>
  <si>
    <t>BẢNG PHÂN KHỐI</t>
  </si>
  <si>
    <t>BẢNG THỐNG KÊ SỐ LƯỢNG XE</t>
  </si>
  <si>
    <t>Lượng xe trung bình các loại mua, bán vào các ngày cuối tuần:</t>
  </si>
  <si>
    <t>Lượng xe trung bình các loại mua, bán vào các ngày còn lại:</t>
  </si>
  <si>
    <t>Tính giá trị cho các ô trống ?</t>
  </si>
  <si>
    <t>THỐNG KÊ TÌNH HÌNH MUA BÁN XE THEO LOẠI PHÂN KHỐI</t>
  </si>
  <si>
    <t>YấU CẦU:</t>
  </si>
  <si>
    <t>Giỏ Định Mức</t>
  </si>
  <si>
    <t>7.Điền giỏ trị cho bảng 3.</t>
  </si>
  <si>
    <t>BẢNG 2:Giỏ Điện Trong Định Mức</t>
  </si>
  <si>
    <t>Điện Tiờu Thụ</t>
  </si>
  <si>
    <t>3.Điền dữ liệu vào cột điện tiờu thụ = chỉ số mới - chỉ số cũ</t>
  </si>
  <si>
    <t>bằng định mức * giỏ ĐM nếu điện tiờu thụ &gt;=định mức</t>
  </si>
  <si>
    <t>Hỡnh Thức Sử Dụng</t>
  </si>
  <si>
    <t xml:space="preserve">Loại Hỡnh </t>
  </si>
  <si>
    <t>5.Tớnh tiền vượt định mức như sau:</t>
  </si>
  <si>
    <t>Nếu số điện vượt &lt;50 thỡ tớnh số điện vượt * 150</t>
  </si>
  <si>
    <t>Nếu 50&lt;=số điện vượt &lt;150 thỡ tớnh bằng số điện vượt * 250</t>
  </si>
  <si>
    <t>Nếu số điện vượt &gt;=150 thỡ tớnh bằng số điện vượt * 300</t>
  </si>
  <si>
    <t>6.tớnh tiền phải trả =tiền định mức + tiền vượt</t>
  </si>
  <si>
    <t>4.Tớnh tiền trong định mức như sau:bằng điện tiờu thụ * giỏ ĐM nếu điện tiờu thụ &lt; định mức</t>
  </si>
  <si>
    <t>Nếu số điện vượt &gt;150 thỡ tớnh bằng số điện vượt * 300</t>
  </si>
  <si>
    <t>Mó Hộ Sử Dụng Điện</t>
  </si>
  <si>
    <t>Mó</t>
  </si>
  <si>
    <t>2.Điền dữ liệu vào cột hỡnh thức sử dụng dựa vào 2 ký tự đầu của mó hộ sử dụng và bảng 1.</t>
  </si>
  <si>
    <t>(Giỏ định mức dựa vào ký tự cuối của mó hộ sử dụng,hỡnh thức sử dụng và bảng 2)</t>
  </si>
  <si>
    <t>TấN</t>
  </si>
  <si>
    <t>CềN LẠI</t>
  </si>
  <si>
    <t>Thỏng 10/2010</t>
  </si>
  <si>
    <t>Bảng lương nhõn viờn</t>
  </si>
  <si>
    <t>TỔ THƯ Kí</t>
  </si>
  <si>
    <t>Đơn giỏ</t>
  </si>
  <si>
    <t>Trị giỏ</t>
  </si>
  <si>
    <t>Giỏ</t>
  </si>
  <si>
    <t>Bảng kờ bỏn Gas cho đại lý</t>
  </si>
  <si>
    <t>Tờn gas</t>
  </si>
  <si>
    <t>Tờn</t>
  </si>
  <si>
    <t>Yờu cầu :</t>
  </si>
  <si>
    <t>Bỡnh dương 12kg</t>
  </si>
  <si>
    <t>Đơn vị tớnh</t>
  </si>
  <si>
    <t>1/ Nhập và trỡnh bày bảng tớnh theo mẫu trờn.</t>
  </si>
  <si>
    <t>6/ Trị giỏ = Đơn giỏ * Số lượng, Biết rằng kể từ Ngày 24/06/2002 trở về sau hay Số lượng ớt hơn 4000 thỡ giữ nguyờn giỏ, ngược lại giảm giỏ 10%.</t>
  </si>
  <si>
    <t>Thời gian:  30 phỳt</t>
  </si>
  <si>
    <t>Mó gas</t>
  </si>
  <si>
    <t>2/ Sắp xếp Bảng kờ thao thứ tự cột Mó gas tăng dần,</t>
  </si>
  <si>
    <t xml:space="preserve">    nếu cựng Mó gas thỡ theo thứ tự cột Ngày giảm dần.</t>
  </si>
  <si>
    <t xml:space="preserve">3/ Tờn Gas: Nếu Mó gas là “elf” thỡ Tờn Gas là “Elf 6kg”, ngược lại tớnh dựa vào Mó gas    </t>
  </si>
  <si>
    <t>5/ Đơn giỏ: Nếu Mó gas là “elf” thỡ 20000,  ngược lại tớnh dựa vào mó gas và Bảng 1.</t>
  </si>
  <si>
    <t>4/ Đơn vị tớnh: Nếu 2 ký tự trỏi của Mó gas là “45” hay “48” thỡ ghi là “kg”, ngược lại ghi là “ bỡnh”.</t>
  </si>
  <si>
    <t>7/ Thờm cột Tặng phẩm: nếu gas của Việt Nam (ký tự phải Mó gas là “vn”) thỡ Tặng phẩm là “ Bỡnh Thủ” Nếu gas của Uni (ký tự phải Mó gas là “u”) thỡ Tặng phẩm là “Áo”, cũn lại Tặng phẩm là “Lịch”</t>
  </si>
  <si>
    <t>Thueoû</t>
  </si>
  <si>
    <t>Teoõn</t>
  </si>
  <si>
    <t>Tuû laïnh</t>
  </si>
  <si>
    <t>Suù</t>
  </si>
  <si>
    <t>Leöø</t>
  </si>
  <si>
    <t>Maöø haöøng sx</t>
  </si>
  <si>
    <t>Teoõn haöøng sx</t>
  </si>
  <si>
    <t>Sooû löûuïuøng</t>
  </si>
  <si>
    <t>Ngaöùy</t>
  </si>
  <si>
    <t>Thaöùnh Tieaøn</t>
  </si>
  <si>
    <t>maöø maôût haöùng</t>
  </si>
  <si>
    <t>Maôût haöùng Tivi</t>
  </si>
  <si>
    <t>Chöûöïng töûöù</t>
  </si>
  <si>
    <t>eïuïn giaöï</t>
  </si>
  <si>
    <t>Giaöï baöïn</t>
  </si>
  <si>
    <t>Maöïy Giaôût</t>
  </si>
  <si>
    <t>Doanh thu baöïn haöùng töûöù ngaöùy 15/10/2001 -&gt; 01/11/2001</t>
  </si>
  <si>
    <t>Maöïy Giaôût Sanyo</t>
  </si>
  <si>
    <t>Teoõn sayûn phaoàm</t>
  </si>
  <si>
    <t>Bayûng 1</t>
  </si>
  <si>
    <t>Bayûng 2</t>
  </si>
  <si>
    <t>Tuyû Lauønh</t>
  </si>
  <si>
    <t>Bayûng thooûng keoõ</t>
  </si>
  <si>
    <t>Maôût haöùng tuyû lauønh</t>
  </si>
  <si>
    <t>SOÅ THEO DOeáI BAUØN HAæNG</t>
  </si>
  <si>
    <t>H10019M</t>
  </si>
  <si>
    <t>S11458B</t>
  </si>
  <si>
    <t>Y15468B</t>
  </si>
  <si>
    <t>S15425B</t>
  </si>
  <si>
    <t>K15125M</t>
  </si>
  <si>
    <t>S12568B</t>
  </si>
  <si>
    <t>S15689B</t>
  </si>
  <si>
    <t>Y15125M</t>
  </si>
  <si>
    <t>H15488B</t>
  </si>
  <si>
    <t>K10542B</t>
  </si>
  <si>
    <t>H10025M</t>
  </si>
  <si>
    <t>Y11402B</t>
  </si>
  <si>
    <t>S11856B</t>
  </si>
  <si>
    <t>H11256B</t>
  </si>
  <si>
    <t>K15239M</t>
  </si>
  <si>
    <t>S12876M</t>
  </si>
  <si>
    <t>H12812B</t>
  </si>
  <si>
    <t>H11582B</t>
  </si>
  <si>
    <t>Y11639B</t>
  </si>
  <si>
    <t>H15148M</t>
  </si>
  <si>
    <t>H</t>
  </si>
  <si>
    <t>Honda</t>
  </si>
  <si>
    <t>Suzuki</t>
  </si>
  <si>
    <t>Y</t>
  </si>
  <si>
    <t>Yamaha</t>
  </si>
  <si>
    <t>K</t>
  </si>
  <si>
    <t>Kawasaki</t>
  </si>
  <si>
    <t>Dream</t>
  </si>
  <si>
    <t>Wave</t>
  </si>
  <si>
    <t>Spacy</t>
  </si>
  <si>
    <t>@</t>
  </si>
  <si>
    <t>Viva</t>
  </si>
  <si>
    <t>Fx</t>
  </si>
  <si>
    <t>Avenis</t>
  </si>
  <si>
    <t>Sirius</t>
  </si>
  <si>
    <t>Nouvo</t>
  </si>
  <si>
    <t>Majesty</t>
  </si>
  <si>
    <t>Max II</t>
  </si>
  <si>
    <t>SL Mua</t>
  </si>
  <si>
    <t>?</t>
  </si>
  <si>
    <t>Học bổng</t>
  </si>
  <si>
    <t>3. Xếp loại và Học bổng theo thang điểm sau :</t>
  </si>
  <si>
    <t>Khánh</t>
  </si>
  <si>
    <t>Khá</t>
  </si>
  <si>
    <t>4. Sắp xếp lại danh sách theo xếp thứ: xếp thứ 1 đứng trước rồi đến xếp thứ 2</t>
  </si>
  <si>
    <t>Vân</t>
  </si>
  <si>
    <t>Ngân</t>
  </si>
  <si>
    <t>Kém</t>
  </si>
  <si>
    <t>1. Tuổi tính đến ngày Hiện tại (đủ 365 ngày mới tính là 1 tuổi).</t>
  </si>
  <si>
    <t>2. Điểm trung bình tính như sau: Toán hệ số 2, Tin hệ số 3.</t>
  </si>
  <si>
    <t>Quảng</t>
  </si>
  <si>
    <t>Số hộ</t>
  </si>
  <si>
    <t>Chủ hộ</t>
  </si>
  <si>
    <t>Tiền điện</t>
  </si>
  <si>
    <t xml:space="preserve">    Hộ Sản xuất : 2000 đ/số.</t>
  </si>
  <si>
    <t xml:space="preserve">    Hộ Kinh doanh : 800 đ/số.</t>
  </si>
  <si>
    <t>Chỉ số sau</t>
  </si>
  <si>
    <t>Chỉ số trước</t>
  </si>
  <si>
    <t xml:space="preserve">    Hộ Sản xuất : 20000 đ/tháng.</t>
  </si>
  <si>
    <t xml:space="preserve">    Hộ Kinh doanh : 10000 đ/tháng.</t>
  </si>
  <si>
    <t xml:space="preserve">2. Giá điện: </t>
  </si>
  <si>
    <t>Điện tiêu thụ</t>
  </si>
  <si>
    <t>Tiền công tơ</t>
  </si>
  <si>
    <t>3. Tổng số tiền = Tiền điện + Tiền công tơ.</t>
  </si>
  <si>
    <t xml:space="preserve">    Hộ Tiêu dùng : 5000 đ/tháng.</t>
  </si>
  <si>
    <t xml:space="preserve">    Hộ Tiêu dùng : 500 đ/số.</t>
  </si>
  <si>
    <t>Hình thức sử dụng</t>
  </si>
  <si>
    <t>1. Tiền công tơ tính như sau:</t>
  </si>
  <si>
    <t>Nhớt</t>
  </si>
  <si>
    <t xml:space="preserve">     X: Xăng, D: Dầu, N: Nhớt</t>
  </si>
  <si>
    <t xml:space="preserve">     Xăng: 4500, Dầu: 1400, Nhớt: 2500</t>
  </si>
  <si>
    <t>Hệ số thuế với Xăng: 3%, Dầu: 2.5 %, Nhớt: 2 %</t>
  </si>
  <si>
    <t xml:space="preserve">     TN: Trong nước</t>
  </si>
  <si>
    <t>Hãng SX</t>
  </si>
  <si>
    <t>3. Đơn giá của các Mã hàng như sau:</t>
  </si>
  <si>
    <t>Bảng thống kê nhiên liệu 6 tháng cuối năm 1999</t>
  </si>
  <si>
    <t>Bảng thống kê</t>
  </si>
  <si>
    <t>5. Thành tiền = Nguyên giá + Thuế.</t>
  </si>
  <si>
    <t>6. Điền kết quả vào bảng thống kê.</t>
  </si>
  <si>
    <t xml:space="preserve">     trong đó: Nguyên giá = Đơn giá x Số lượng</t>
  </si>
  <si>
    <t>1. Điền cột Tên hàng căn cứ vào ký tự đầu của Mã hàng:</t>
  </si>
  <si>
    <t>2. Điền cột Hãng SX căn cứ vào 2 ký tự cuối của Mã hàng:</t>
  </si>
  <si>
    <t>4. Đối với Hãng SX là nước ngoài thì Thuế = Nguyên giá x Hệ số thuế</t>
  </si>
  <si>
    <t xml:space="preserve">     Các mặt hàng do trong nước SX thì không đánh thuế</t>
  </si>
  <si>
    <t>Vải hoa</t>
  </si>
  <si>
    <t>Giấy</t>
  </si>
  <si>
    <t>Bảng hệ số thuế</t>
  </si>
  <si>
    <t>Ngày nhập</t>
  </si>
  <si>
    <t>3. Thuế = Hệ số thuế x Thành tiền.</t>
  </si>
  <si>
    <t>Mã đầu</t>
  </si>
  <si>
    <t>Mã thứ</t>
  </si>
  <si>
    <t>Ngày bán</t>
  </si>
  <si>
    <t>Giá thành</t>
  </si>
  <si>
    <t>2. Thành tiền = Số lượng x Đơn giá.</t>
  </si>
  <si>
    <t>4. Giá thành = Thành tiền + Thuế.</t>
  </si>
  <si>
    <t>Nhận xét</t>
  </si>
  <si>
    <t>1.  Nếu thời gian lưu kho &lt;=30 ghi nhận xét : Bán chạy</t>
  </si>
  <si>
    <t xml:space="preserve">   - Nếu 30 &lt;thời gian lưu kho &lt;=90 ghi nhận xét : Bán được</t>
  </si>
  <si>
    <t xml:space="preserve">   - Nếu thời gian lưu kho &gt;90 ghi nhận xét : Bán chậm</t>
  </si>
  <si>
    <t>Vải bông</t>
  </si>
  <si>
    <t>Bìa</t>
  </si>
  <si>
    <t>Sản phẩm</t>
  </si>
  <si>
    <t>Kẹo</t>
  </si>
  <si>
    <t>Số 1</t>
  </si>
  <si>
    <t>Số 2</t>
  </si>
  <si>
    <t>10 % của Tiền</t>
  </si>
  <si>
    <t xml:space="preserve">  5 % của Tiền</t>
  </si>
  <si>
    <t>Mứt</t>
  </si>
  <si>
    <t>Cửa hàng</t>
  </si>
  <si>
    <t>Bánh</t>
  </si>
  <si>
    <t>Số lần bán</t>
  </si>
  <si>
    <t>XĂNG</t>
  </si>
  <si>
    <t>TÊN HÀNG</t>
  </si>
  <si>
    <t>SỐ LƯỢNG</t>
  </si>
  <si>
    <t>SL</t>
  </si>
  <si>
    <t>bảng thống kê</t>
  </si>
  <si>
    <t>Dùng công thức điền vào bảng thống kê.</t>
  </si>
  <si>
    <t xml:space="preserve">Tiền thưởng tính theo quy định sau : </t>
  </si>
  <si>
    <t>Từ 5 đến 6.9: TB</t>
  </si>
  <si>
    <t>Dầu lửa</t>
  </si>
  <si>
    <t>Sữa</t>
  </si>
  <si>
    <t>Tỷ lệ</t>
  </si>
  <si>
    <t>Đường</t>
  </si>
  <si>
    <t>tổng thành tiền</t>
  </si>
  <si>
    <t>Thuốc lá</t>
  </si>
  <si>
    <t>_Thành tiền = Đơn giá x Số lượng.</t>
  </si>
  <si>
    <t>_Tỷ lệ = Cộng tt của từng mặt hàng so với tổng thành tiền của tất cả các mặt hàng.</t>
  </si>
  <si>
    <t>_Tỷ lệ = Tổng thành tiền của từng loại so với tổng thành tiền của tất cả các loại.</t>
  </si>
  <si>
    <t>Tư nhân</t>
  </si>
  <si>
    <t>Trừ sâu</t>
  </si>
  <si>
    <t>_Tổng thành tiền của Quốc doanh, Tập thể, Tư nhân.</t>
  </si>
  <si>
    <t>bảng thống kê phân bố hàng hoá</t>
  </si>
  <si>
    <t>Cà phê</t>
  </si>
  <si>
    <t>Phân bón</t>
  </si>
  <si>
    <t>1. Tính toán số liệu trên các cột: (5), (7), (9) như sau:</t>
  </si>
  <si>
    <t>2. Tính toán số liệu trên các dòng (12), (13) như sau:</t>
  </si>
  <si>
    <t>Nguyễn Tam Thanh</t>
  </si>
  <si>
    <t>Phan Thiếu Hiệp</t>
  </si>
  <si>
    <t>Hệ số</t>
  </si>
  <si>
    <t>Vũ Thanh Hiền</t>
  </si>
  <si>
    <t>Tiền lĩnh</t>
  </si>
  <si>
    <t>Phan Thiếu Dương</t>
  </si>
  <si>
    <t>4. Tiền lĩnh = Lương + PCCV.</t>
  </si>
  <si>
    <t>GĐ</t>
  </si>
  <si>
    <t>PGĐ</t>
  </si>
  <si>
    <t>GĐ: 100.000</t>
  </si>
  <si>
    <t>PGĐ: 80.000</t>
  </si>
  <si>
    <t>2. Điền vào cột PCCV dựa vào cột Chức vụ. Nếu:</t>
  </si>
  <si>
    <t>Mã NV</t>
  </si>
  <si>
    <t>bảng thanh toán lương</t>
  </si>
  <si>
    <t>Phan Cát Thanh</t>
  </si>
  <si>
    <t>Nguyễn Văn Tâm</t>
  </si>
  <si>
    <t>Phan Nam Trân</t>
  </si>
  <si>
    <t>Lê Thành Nhân</t>
  </si>
  <si>
    <t>Lê Vi Ngân</t>
  </si>
  <si>
    <t>Phòng</t>
  </si>
  <si>
    <t>1. Căn cứ vào Mã NV để điền tên Phòng</t>
  </si>
  <si>
    <t>_Mã NV có ký tự A là Kế hoạch.</t>
  </si>
  <si>
    <t>_Mã NV có ký tự C là Kế toán.</t>
  </si>
  <si>
    <t>_Mã NV có ký tự G là Giám đốc.</t>
  </si>
  <si>
    <t>_Mã NV có ký tự P là Phó Giám đốc.</t>
  </si>
  <si>
    <t>Nguyễn Bình Dương</t>
  </si>
  <si>
    <t>_Mã NV có ký tự B là Hành chính.</t>
  </si>
  <si>
    <t>3. Tính Lương = 290000 x Hệ số.</t>
  </si>
  <si>
    <t>5. Tính Tổng cộng.</t>
  </si>
  <si>
    <t>loại</t>
  </si>
  <si>
    <t>pcấp con</t>
  </si>
  <si>
    <t>_Nếu Loại C phạt 50000.</t>
  </si>
  <si>
    <t>Trần Hồng Loan</t>
  </si>
  <si>
    <t>số con</t>
  </si>
  <si>
    <t>1. Cột Loại:</t>
  </si>
  <si>
    <t>4. Cột Pcấp con:</t>
  </si>
  <si>
    <t>thưởng</t>
  </si>
  <si>
    <t>3. Cột Thưởng:</t>
  </si>
  <si>
    <t>_Nếu Loại A thưởng 150000.</t>
  </si>
  <si>
    <t>5. Cột Tiền lĩnh = Lương + Thưởng + Pcấp con.</t>
  </si>
  <si>
    <t>Phan Cao Đăng</t>
  </si>
  <si>
    <t>PHÍ PV</t>
  </si>
  <si>
    <t>TIỀN THUÊ</t>
  </si>
  <si>
    <t>NHỚT</t>
  </si>
  <si>
    <t>THỜI GIAN LƯU KHO</t>
  </si>
  <si>
    <t>MÃ ĐẦU</t>
  </si>
  <si>
    <t>SỐ TUẦN Ở</t>
  </si>
  <si>
    <t>SỐ NGÀY Ở</t>
  </si>
  <si>
    <t>TIỀN TÍNH THEO TUẦN</t>
  </si>
  <si>
    <t>ĐỖ</t>
  </si>
  <si>
    <t>Mụn      : Micrsoft Excel</t>
  </si>
  <si>
    <t>Max</t>
  </si>
  <si>
    <t>Min</t>
  </si>
  <si>
    <t>Yeu</t>
  </si>
  <si>
    <t>BP</t>
  </si>
  <si>
    <t>ES</t>
  </si>
  <si>
    <t>SH</t>
  </si>
  <si>
    <t>British Petro</t>
  </si>
  <si>
    <t>Mobil</t>
  </si>
  <si>
    <t>Esso</t>
  </si>
  <si>
    <t>Shell</t>
  </si>
  <si>
    <t>Castrol</t>
  </si>
  <si>
    <t>Trong nuoc</t>
  </si>
  <si>
    <t>So ngay</t>
  </si>
  <si>
    <t>Kem</t>
  </si>
  <si>
    <t>Kha</t>
  </si>
  <si>
    <t>Gioi</t>
  </si>
  <si>
    <t>VN</t>
  </si>
  <si>
    <t xml:space="preserve"> Loại 1</t>
  </si>
  <si>
    <t xml:space="preserve"> Loại 2</t>
  </si>
  <si>
    <t>18</t>
  </si>
  <si>
    <t>10</t>
  </si>
  <si>
    <t>NB</t>
  </si>
  <si>
    <t>NS</t>
  </si>
  <si>
    <t>Passed</t>
  </si>
  <si>
    <t>Ngày di</t>
  </si>
</sst>
</file>

<file path=xl/styles.xml><?xml version="1.0" encoding="utf-8"?>
<styleSheet xmlns="http://schemas.openxmlformats.org/spreadsheetml/2006/main" xmlns:mc="http://schemas.openxmlformats.org/markup-compatibility/2006" xmlns:x14ac="http://schemas.microsoft.com/office/spreadsheetml/2009/9/ac" mc:Ignorable="x14ac">
  <numFmts count="35">
    <numFmt numFmtId="5" formatCode="&quot;$&quot;#,##0_);\(&quot;$&quot;#,##0\)"/>
    <numFmt numFmtId="44" formatCode="_(&quot;$&quot;* #,##0.00_);_(&quot;$&quot;* \(#,##0.00\);_(&quot;$&quot;* &quot;-&quot;??_);_(@_)"/>
    <numFmt numFmtId="43" formatCode="_(* #,##0.00_);_(* \(#,##0.00\);_(* &quot;-&quot;??_);_(@_)"/>
    <numFmt numFmtId="164" formatCode="0.0"/>
    <numFmt numFmtId="165" formatCode="&quot;$&quot;#,##0"/>
    <numFmt numFmtId="166" formatCode="_(* #,##0_);_(* \(#,##0\);_(* &quot;-&quot;??_);_(@_)"/>
    <numFmt numFmtId="167" formatCode="&quot;$&quot;\ \ #"/>
    <numFmt numFmtId="168" formatCode="[$VND]\ #,##0"/>
    <numFmt numFmtId="169" formatCode="#,##0.0"/>
    <numFmt numFmtId="170" formatCode="#,##0\ [$VND]\ "/>
    <numFmt numFmtId="171" formatCode="0_);\(0\)"/>
    <numFmt numFmtId="172" formatCode="&quot;$&quot;#,##0.00"/>
    <numFmt numFmtId="173" formatCode="0.0;[Red]0.0"/>
    <numFmt numFmtId="174" formatCode="_(&quot;$&quot;* #,##0_);_(&quot;$&quot;* \(#,##0\);_(&quot;$&quot;* &quot;-&quot;??_);_(@_)"/>
    <numFmt numFmtId="175" formatCode="m/d"/>
    <numFmt numFmtId="176" formatCode="#,##0\ \®\å\n\g"/>
    <numFmt numFmtId="177" formatCode="#,##0\ \§"/>
    <numFmt numFmtId="178" formatCode="#,##0\ \®"/>
    <numFmt numFmtId="179" formatCode="##0\ \®\å\n\g"/>
    <numFmt numFmtId="180" formatCode="[$USD]\ #,##0.0"/>
    <numFmt numFmtId="181" formatCode="dd/mm"/>
    <numFmt numFmtId="182" formatCode="#,##0\ [$USD]"/>
    <numFmt numFmtId="183" formatCode="##0.0\ [$USD]"/>
    <numFmt numFmtId="184" formatCode="#,##0\ [$USD]\ "/>
    <numFmt numFmtId="185" formatCode="#,##0\ [$®ång]"/>
    <numFmt numFmtId="186" formatCode="#,###\ [$®]"/>
    <numFmt numFmtId="187" formatCode="&quot;\&quot;#,##0;[Red]&quot;\&quot;\-#,##0"/>
    <numFmt numFmtId="188" formatCode="&quot;\&quot;#,##0.00;[Red]&quot;\&quot;\-#,##0.00"/>
    <numFmt numFmtId="189" formatCode="\$#,##0\ ;\(\$#,##0\)"/>
    <numFmt numFmtId="190" formatCode="&quot;\&quot;#,##0;[Red]&quot;\&quot;&quot;\&quot;\-#,##0"/>
    <numFmt numFmtId="191" formatCode="&quot;\&quot;#,##0.00;[Red]&quot;\&quot;&quot;\&quot;&quot;\&quot;&quot;\&quot;&quot;\&quot;&quot;\&quot;\-#,##0.00"/>
    <numFmt numFmtId="192" formatCode="#,###&quot;VND&quot;"/>
    <numFmt numFmtId="193" formatCode="#,##0&quot;USD&quot;"/>
    <numFmt numFmtId="194" formatCode="[$-409]d\-mmm\-yy;@"/>
    <numFmt numFmtId="195" formatCode="&quot;$&quot;#,##0.0_);\(&quot;$&quot;#,##0.0\)"/>
  </numFmts>
  <fonts count="60">
    <font>
      <sz val="12"/>
      <name val=".VnTime"/>
    </font>
    <font>
      <sz val="12"/>
      <name val=".VnTime"/>
    </font>
    <font>
      <sz val="10"/>
      <name val="Arial"/>
      <family val="2"/>
    </font>
    <font>
      <b/>
      <sz val="18"/>
      <name val="Arial"/>
      <family val="2"/>
    </font>
    <font>
      <b/>
      <sz val="12"/>
      <name val="Arial"/>
      <family val="2"/>
    </font>
    <font>
      <u/>
      <sz val="9"/>
      <color indexed="12"/>
      <name val=".VnTime"/>
    </font>
    <font>
      <sz val="14"/>
      <name val="뼻뮝"/>
      <family val="3"/>
      <charset val="129"/>
    </font>
    <font>
      <sz val="12"/>
      <name val="뼻뮝"/>
      <family val="1"/>
      <charset val="129"/>
    </font>
    <font>
      <sz val="12"/>
      <name val="바탕체"/>
      <family val="1"/>
      <charset val="129"/>
    </font>
    <font>
      <sz val="10"/>
      <name val="굴림체"/>
      <family val="3"/>
      <charset val="129"/>
    </font>
    <font>
      <sz val="10"/>
      <name val="돋움"/>
      <family val="3"/>
      <charset val="129"/>
    </font>
    <font>
      <b/>
      <sz val="10"/>
      <color indexed="10"/>
      <name val="Arial"/>
      <family val="2"/>
    </font>
    <font>
      <b/>
      <sz val="10"/>
      <color indexed="8"/>
      <name val="Arial"/>
      <family val="2"/>
    </font>
    <font>
      <sz val="8"/>
      <color indexed="81"/>
      <name val="Tahoma"/>
    </font>
    <font>
      <b/>
      <sz val="8"/>
      <color indexed="81"/>
      <name val="Tahoma"/>
    </font>
    <font>
      <b/>
      <sz val="14"/>
      <name val="Times New Roman"/>
      <family val="1"/>
    </font>
    <font>
      <sz val="12"/>
      <name val="Times New Roman"/>
      <family val="1"/>
    </font>
    <font>
      <b/>
      <sz val="12"/>
      <name val="Times New Roman"/>
      <family val="1"/>
    </font>
    <font>
      <i/>
      <sz val="12"/>
      <color indexed="10"/>
      <name val="Times New Roman"/>
      <family val="1"/>
    </font>
    <font>
      <sz val="12"/>
      <color indexed="10"/>
      <name val="Times New Roman"/>
      <family val="1"/>
    </font>
    <font>
      <b/>
      <sz val="10"/>
      <name val="Times New Roman"/>
      <family val="1"/>
    </font>
    <font>
      <b/>
      <i/>
      <sz val="12"/>
      <color indexed="10"/>
      <name val="Times New Roman"/>
      <family val="1"/>
    </font>
    <font>
      <sz val="12"/>
      <color indexed="12"/>
      <name val="Times New Roman"/>
      <family val="1"/>
    </font>
    <font>
      <sz val="14"/>
      <name val="Times New Roman"/>
      <family val="1"/>
    </font>
    <font>
      <sz val="11"/>
      <name val="Times New Roman"/>
      <family val="1"/>
    </font>
    <font>
      <sz val="10"/>
      <color indexed="12"/>
      <name val="Times New Roman"/>
      <family val="1"/>
    </font>
    <font>
      <sz val="10"/>
      <name val="Times New Roman"/>
      <family val="1"/>
    </font>
    <font>
      <i/>
      <sz val="12"/>
      <name val="Times New Roman"/>
      <family val="1"/>
    </font>
    <font>
      <b/>
      <i/>
      <u/>
      <sz val="12"/>
      <name val="Times New Roman"/>
      <family val="1"/>
    </font>
    <font>
      <sz val="12"/>
      <color indexed="8"/>
      <name val="Times New Roman"/>
      <family val="1"/>
    </font>
    <font>
      <b/>
      <u/>
      <sz val="12"/>
      <color indexed="12"/>
      <name val="Times New Roman"/>
      <family val="1"/>
    </font>
    <font>
      <b/>
      <sz val="12"/>
      <color indexed="10"/>
      <name val="Times New Roman"/>
      <family val="1"/>
    </font>
    <font>
      <b/>
      <sz val="12"/>
      <color indexed="12"/>
      <name val="Times New Roman"/>
      <family val="1"/>
    </font>
    <font>
      <i/>
      <sz val="11"/>
      <color indexed="10"/>
      <name val="Times New Roman"/>
      <family val="1"/>
    </font>
    <font>
      <sz val="11"/>
      <color indexed="12"/>
      <name val="Times New Roman"/>
      <family val="1"/>
    </font>
    <font>
      <sz val="11"/>
      <color indexed="10"/>
      <name val="Times New Roman"/>
      <family val="1"/>
    </font>
    <font>
      <b/>
      <sz val="11"/>
      <name val="Times New Roman"/>
      <family val="1"/>
    </font>
    <font>
      <b/>
      <sz val="12"/>
      <color indexed="8"/>
      <name val="Times New Roman"/>
      <family val="1"/>
    </font>
    <font>
      <i/>
      <sz val="12"/>
      <color indexed="8"/>
      <name val="Times New Roman"/>
      <family val="1"/>
    </font>
    <font>
      <b/>
      <sz val="9"/>
      <name val="Times New Roman"/>
      <family val="1"/>
    </font>
    <font>
      <u/>
      <sz val="12"/>
      <name val="Times New Roman"/>
      <family val="1"/>
    </font>
    <font>
      <sz val="8"/>
      <name val=".VnTime"/>
    </font>
    <font>
      <b/>
      <sz val="11"/>
      <color indexed="10"/>
      <name val="Times New Roman"/>
      <family val="1"/>
    </font>
    <font>
      <b/>
      <sz val="10"/>
      <name val="Arial"/>
      <family val="2"/>
    </font>
    <font>
      <sz val="10"/>
      <color indexed="17"/>
      <name val="Arial Unicode MS"/>
    </font>
    <font>
      <sz val="12"/>
      <name val="VNI-Times"/>
    </font>
    <font>
      <b/>
      <sz val="11"/>
      <name val="Arial"/>
      <family val="2"/>
    </font>
    <font>
      <b/>
      <sz val="11"/>
      <color indexed="60"/>
      <name val="Arial"/>
    </font>
    <font>
      <b/>
      <sz val="14"/>
      <name val=".VnTime"/>
    </font>
    <font>
      <sz val="10"/>
      <color indexed="18"/>
      <name val="Arial Unicode MS"/>
    </font>
    <font>
      <sz val="10"/>
      <color indexed="10"/>
      <name val="Arial Unicode MS"/>
    </font>
    <font>
      <b/>
      <u/>
      <sz val="12"/>
      <name val="Times New Roman"/>
      <family val="1"/>
    </font>
    <font>
      <b/>
      <sz val="14"/>
      <color indexed="10"/>
      <name val="Times New Roman"/>
      <family val="1"/>
    </font>
    <font>
      <sz val="11"/>
      <color indexed="8"/>
      <name val="Times New Roman"/>
      <family val="1"/>
    </font>
    <font>
      <b/>
      <sz val="11"/>
      <color indexed="12"/>
      <name val="Times New Roman"/>
      <family val="1"/>
    </font>
    <font>
      <b/>
      <sz val="11"/>
      <color indexed="8"/>
      <name val="Times New Roman"/>
      <family val="1"/>
    </font>
    <font>
      <sz val="10"/>
      <color indexed="10"/>
      <name val="Times New Roman"/>
      <family val="1"/>
    </font>
    <font>
      <b/>
      <sz val="11"/>
      <color indexed="8"/>
      <name val="Calibri"/>
      <family val="2"/>
    </font>
    <font>
      <b/>
      <u/>
      <sz val="11"/>
      <color indexed="8"/>
      <name val="Calibri"/>
      <family val="2"/>
    </font>
    <font>
      <sz val="12"/>
      <color rgb="FFFF0000"/>
      <name val="Times New Roman"/>
      <family val="1"/>
    </font>
  </fonts>
  <fills count="1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8"/>
        <bgColor indexed="64"/>
      </patternFill>
    </fill>
    <fill>
      <patternFill patternType="solid">
        <fgColor indexed="13"/>
        <bgColor indexed="64"/>
      </patternFill>
    </fill>
    <fill>
      <patternFill patternType="solid">
        <fgColor indexed="9"/>
        <bgColor indexed="64"/>
      </patternFill>
    </fill>
    <fill>
      <patternFill patternType="solid">
        <fgColor indexed="4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11"/>
        <bgColor indexed="64"/>
      </patternFill>
    </fill>
    <fill>
      <patternFill patternType="solid">
        <fgColor rgb="FFFFFF00"/>
        <bgColor indexed="64"/>
      </patternFill>
    </fill>
  </fills>
  <borders count="89">
    <border>
      <left/>
      <right/>
      <top/>
      <bottom/>
      <diagonal/>
    </border>
    <border>
      <left/>
      <right/>
      <top style="double">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top style="double">
        <color indexed="64"/>
      </top>
      <bottom style="double">
        <color indexed="64"/>
      </bottom>
      <diagonal/>
    </border>
    <border>
      <left style="double">
        <color indexed="64"/>
      </left>
      <right/>
      <top style="double">
        <color indexed="64"/>
      </top>
      <bottom style="thin">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double">
        <color indexed="64"/>
      </left>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ashed">
        <color indexed="64"/>
      </left>
      <right style="dashed">
        <color indexed="64"/>
      </right>
      <top style="dashed">
        <color indexed="64"/>
      </top>
      <bottom style="dashed">
        <color indexed="64"/>
      </bottom>
      <diagonal/>
    </border>
    <border>
      <left style="double">
        <color indexed="64"/>
      </left>
      <right style="thin">
        <color indexed="64"/>
      </right>
      <top style="double">
        <color indexed="64"/>
      </top>
      <bottom style="dashed">
        <color indexed="64"/>
      </bottom>
      <diagonal/>
    </border>
    <border>
      <left style="double">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double">
        <color indexed="64"/>
      </right>
      <top style="dashed">
        <color indexed="64"/>
      </top>
      <bottom style="dashed">
        <color indexed="64"/>
      </bottom>
      <diagonal/>
    </border>
    <border>
      <left/>
      <right/>
      <top style="dashed">
        <color indexed="64"/>
      </top>
      <bottom style="dashed">
        <color indexed="64"/>
      </bottom>
      <diagonal/>
    </border>
    <border>
      <left style="double">
        <color indexed="64"/>
      </left>
      <right style="thin">
        <color indexed="64"/>
      </right>
      <top style="dashed">
        <color indexed="64"/>
      </top>
      <bottom style="double">
        <color indexed="64"/>
      </bottom>
      <diagonal/>
    </border>
    <border>
      <left style="thin">
        <color indexed="64"/>
      </left>
      <right style="thin">
        <color indexed="64"/>
      </right>
      <top style="dashed">
        <color indexed="64"/>
      </top>
      <bottom style="double">
        <color indexed="64"/>
      </bottom>
      <diagonal/>
    </border>
    <border>
      <left style="thin">
        <color indexed="64"/>
      </left>
      <right style="double">
        <color indexed="64"/>
      </right>
      <top style="dashed">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top/>
      <bottom style="thin">
        <color indexed="64"/>
      </bottom>
      <diagonal/>
    </border>
    <border>
      <left/>
      <right/>
      <top/>
      <bottom style="double">
        <color indexed="64"/>
      </bottom>
      <diagonal/>
    </border>
    <border>
      <left style="double">
        <color indexed="64"/>
      </left>
      <right style="double">
        <color indexed="64"/>
      </right>
      <top style="double">
        <color indexed="64"/>
      </top>
      <bottom style="double">
        <color indexed="64"/>
      </bottom>
      <diagonal/>
    </border>
    <border>
      <left/>
      <right style="thin">
        <color indexed="64"/>
      </right>
      <top style="double">
        <color indexed="64"/>
      </top>
      <bottom style="double">
        <color indexed="64"/>
      </bottom>
      <diagonal/>
    </border>
    <border>
      <left style="double">
        <color indexed="64"/>
      </left>
      <right style="double">
        <color indexed="64"/>
      </right>
      <top/>
      <bottom style="thin">
        <color indexed="64"/>
      </bottom>
      <diagonal/>
    </border>
    <border>
      <left/>
      <right style="thin">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style="double">
        <color indexed="64"/>
      </right>
      <top style="double">
        <color indexed="64"/>
      </top>
      <bottom/>
      <diagonal/>
    </border>
    <border>
      <left style="dashed">
        <color indexed="64"/>
      </left>
      <right style="dashed">
        <color indexed="64"/>
      </right>
      <top style="dashed">
        <color indexed="64"/>
      </top>
      <bottom/>
      <diagonal/>
    </border>
    <border>
      <left style="dashed">
        <color indexed="64"/>
      </left>
      <right/>
      <top style="dashed">
        <color indexed="64"/>
      </top>
      <bottom style="dashed">
        <color indexed="64"/>
      </bottom>
      <diagonal/>
    </border>
    <border>
      <left style="thin">
        <color indexed="64"/>
      </left>
      <right/>
      <top/>
      <bottom style="thin">
        <color indexed="64"/>
      </bottom>
      <diagonal/>
    </border>
    <border>
      <left/>
      <right style="thin">
        <color indexed="64"/>
      </right>
      <top style="thin">
        <color indexed="64"/>
      </top>
      <bottom/>
      <diagonal/>
    </border>
    <border>
      <left style="medium">
        <color indexed="18"/>
      </left>
      <right style="medium">
        <color indexed="18"/>
      </right>
      <top style="medium">
        <color indexed="18"/>
      </top>
      <bottom style="medium">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8"/>
      </right>
      <top style="thin">
        <color indexed="18"/>
      </top>
      <bottom/>
      <diagonal/>
    </border>
    <border>
      <left style="thin">
        <color indexed="18"/>
      </left>
      <right/>
      <top style="thin">
        <color indexed="18"/>
      </top>
      <bottom style="thin">
        <color indexed="18"/>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
      <left/>
      <right/>
      <top style="double">
        <color indexed="64"/>
      </top>
      <bottom style="double">
        <color indexed="64"/>
      </bottom>
      <diagonal/>
    </border>
    <border>
      <left/>
      <right style="double">
        <color indexed="64"/>
      </right>
      <top style="double">
        <color indexed="64"/>
      </top>
      <bottom style="thin">
        <color indexed="64"/>
      </bottom>
      <diagonal/>
    </border>
    <border>
      <left/>
      <right style="double">
        <color indexed="64"/>
      </right>
      <top style="double">
        <color indexed="64"/>
      </top>
      <bottom style="double">
        <color indexed="64"/>
      </bottom>
      <diagonal/>
    </border>
    <border>
      <left style="thin">
        <color indexed="64"/>
      </left>
      <right/>
      <top style="double">
        <color indexed="64"/>
      </top>
      <bottom style="double">
        <color indexed="64"/>
      </bottom>
      <diagonal/>
    </border>
    <border>
      <left/>
      <right style="double">
        <color indexed="64"/>
      </right>
      <top style="thin">
        <color indexed="64"/>
      </top>
      <bottom style="double">
        <color indexed="64"/>
      </bottom>
      <diagonal/>
    </border>
    <border>
      <left/>
      <right style="double">
        <color indexed="64"/>
      </right>
      <top style="thin">
        <color indexed="64"/>
      </top>
      <bottom style="thin">
        <color indexed="64"/>
      </bottom>
      <diagonal/>
    </border>
    <border>
      <left style="double">
        <color indexed="64"/>
      </left>
      <right style="thin">
        <color indexed="64"/>
      </right>
      <top/>
      <bottom/>
      <diagonal/>
    </border>
  </borders>
  <cellStyleXfs count="24">
    <xf numFmtId="0" fontId="0" fillId="0" borderId="0"/>
    <xf numFmtId="43" fontId="1" fillId="0" borderId="0" applyFont="0" applyFill="0" applyBorder="0" applyAlignment="0" applyProtection="0"/>
    <xf numFmtId="3" fontId="2" fillId="0" borderId="0" applyFont="0" applyFill="0" applyBorder="0" applyAlignment="0" applyProtection="0"/>
    <xf numFmtId="44" fontId="1" fillId="0" borderId="0" applyFont="0" applyFill="0" applyBorder="0" applyAlignment="0" applyProtection="0"/>
    <xf numFmtId="189" fontId="2" fillId="0" borderId="0" applyFont="0" applyFill="0" applyBorder="0" applyAlignment="0" applyProtection="0"/>
    <xf numFmtId="0" fontId="2" fillId="0" borderId="0" applyFont="0" applyFill="0" applyBorder="0" applyAlignment="0" applyProtection="0"/>
    <xf numFmtId="2"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alignment vertical="top"/>
      <protection locked="0"/>
    </xf>
    <xf numFmtId="0" fontId="45" fillId="0" borderId="0"/>
    <xf numFmtId="0" fontId="2" fillId="0" borderId="1" applyNumberFormat="0" applyFont="0" applyFill="0" applyAlignment="0" applyProtection="0"/>
    <xf numFmtId="40" fontId="6" fillId="0" borderId="0" applyFont="0" applyFill="0" applyBorder="0" applyAlignment="0" applyProtection="0"/>
    <xf numFmtId="38"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10" fontId="2" fillId="0" borderId="0" applyFont="0" applyFill="0" applyBorder="0" applyAlignment="0" applyProtection="0"/>
    <xf numFmtId="0" fontId="7" fillId="0" borderId="0"/>
    <xf numFmtId="190" fontId="2" fillId="0" borderId="0" applyFont="0" applyFill="0" applyBorder="0" applyAlignment="0" applyProtection="0"/>
    <xf numFmtId="191" fontId="2" fillId="0" borderId="0" applyFont="0" applyFill="0" applyBorder="0" applyAlignment="0" applyProtection="0"/>
    <xf numFmtId="188" fontId="8" fillId="0" borderId="0" applyFont="0" applyFill="0" applyBorder="0" applyAlignment="0" applyProtection="0"/>
    <xf numFmtId="187" fontId="8" fillId="0" borderId="0" applyFont="0" applyFill="0" applyBorder="0" applyAlignment="0" applyProtection="0"/>
    <xf numFmtId="0" fontId="9" fillId="0" borderId="0"/>
    <xf numFmtId="0" fontId="2" fillId="0" borderId="0"/>
  </cellStyleXfs>
  <cellXfs count="1124">
    <xf numFmtId="0" fontId="0" fillId="0" borderId="0" xfId="0"/>
    <xf numFmtId="0" fontId="10" fillId="2" borderId="0" xfId="23" applyFont="1" applyFill="1"/>
    <xf numFmtId="0" fontId="2" fillId="0" borderId="0" xfId="23"/>
    <xf numFmtId="0" fontId="2" fillId="2" borderId="0" xfId="23" applyFill="1"/>
    <xf numFmtId="0" fontId="2" fillId="3" borderId="2" xfId="23" applyFill="1" applyBorder="1"/>
    <xf numFmtId="0" fontId="11" fillId="4" borderId="3" xfId="23" applyFont="1" applyFill="1" applyBorder="1" applyAlignment="1">
      <alignment horizontal="center"/>
    </xf>
    <xf numFmtId="0" fontId="12" fillId="5" borderId="4" xfId="23" applyFont="1" applyFill="1" applyBorder="1" applyAlignment="1">
      <alignment horizontal="center"/>
    </xf>
    <xf numFmtId="0" fontId="11" fillId="4" borderId="4" xfId="23" applyFont="1" applyFill="1" applyBorder="1" applyAlignment="1">
      <alignment horizontal="center"/>
    </xf>
    <xf numFmtId="0" fontId="11" fillId="4" borderId="5" xfId="23" applyFont="1" applyFill="1" applyBorder="1" applyAlignment="1">
      <alignment horizontal="center"/>
    </xf>
    <xf numFmtId="0" fontId="2" fillId="3" borderId="6" xfId="23" applyFill="1" applyBorder="1"/>
    <xf numFmtId="0" fontId="2" fillId="3" borderId="7" xfId="23" applyFill="1" applyBorder="1"/>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17" fillId="0" borderId="10"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vertical="center"/>
    </xf>
    <xf numFmtId="0" fontId="16" fillId="0" borderId="12" xfId="0" applyFont="1" applyBorder="1" applyAlignment="1">
      <alignment horizontal="center" vertical="center"/>
    </xf>
    <xf numFmtId="3" fontId="18" fillId="0" borderId="12" xfId="0" applyNumberFormat="1" applyFont="1" applyBorder="1" applyAlignment="1">
      <alignment vertical="center"/>
    </xf>
    <xf numFmtId="3" fontId="19" fillId="0" borderId="13" xfId="0" applyNumberFormat="1" applyFont="1" applyBorder="1" applyAlignment="1">
      <alignment vertical="center"/>
    </xf>
    <xf numFmtId="3" fontId="16" fillId="0" borderId="0" xfId="0" applyNumberFormat="1" applyFont="1" applyAlignment="1">
      <alignment vertical="center"/>
    </xf>
    <xf numFmtId="0" fontId="16" fillId="0" borderId="14" xfId="0" applyFont="1" applyBorder="1" applyAlignment="1">
      <alignment horizontal="center" vertical="center"/>
    </xf>
    <xf numFmtId="0" fontId="16" fillId="0" borderId="15" xfId="0" applyFont="1" applyBorder="1" applyAlignment="1">
      <alignment vertical="center"/>
    </xf>
    <xf numFmtId="0" fontId="16" fillId="0" borderId="15" xfId="0" applyFont="1" applyBorder="1" applyAlignment="1">
      <alignment horizontal="center" vertical="center"/>
    </xf>
    <xf numFmtId="0" fontId="22" fillId="0" borderId="0" xfId="0" applyFont="1" applyAlignment="1">
      <alignment vertical="center"/>
    </xf>
    <xf numFmtId="0" fontId="16" fillId="0" borderId="0" xfId="0" applyFont="1"/>
    <xf numFmtId="0" fontId="17" fillId="0" borderId="15" xfId="0" applyFont="1" applyBorder="1" applyAlignment="1">
      <alignment horizontal="center"/>
    </xf>
    <xf numFmtId="0" fontId="16" fillId="0" borderId="15" xfId="0" applyFont="1" applyBorder="1" applyAlignment="1">
      <alignment horizontal="center"/>
    </xf>
    <xf numFmtId="0" fontId="16" fillId="0" borderId="15" xfId="0" applyFont="1" applyBorder="1"/>
    <xf numFmtId="2" fontId="18" fillId="0" borderId="15" xfId="0" applyNumberFormat="1" applyFont="1" applyBorder="1"/>
    <xf numFmtId="0" fontId="18" fillId="0" borderId="15" xfId="0" applyFont="1" applyBorder="1"/>
    <xf numFmtId="0" fontId="22" fillId="0" borderId="0" xfId="0" applyFont="1"/>
    <xf numFmtId="0" fontId="17" fillId="0" borderId="0" xfId="0" applyFont="1" applyAlignment="1">
      <alignment horizontal="center" vertical="center"/>
    </xf>
    <xf numFmtId="0" fontId="17" fillId="0" borderId="18" xfId="0" applyFont="1" applyBorder="1" applyAlignment="1">
      <alignment horizontal="center" vertical="center" wrapText="1"/>
    </xf>
    <xf numFmtId="0" fontId="17" fillId="0" borderId="19" xfId="0" applyFont="1" applyBorder="1" applyAlignment="1">
      <alignment horizontal="center" vertical="center" wrapText="1"/>
    </xf>
    <xf numFmtId="0" fontId="17" fillId="0" borderId="20"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4" xfId="0" applyFont="1" applyBorder="1" applyAlignment="1">
      <alignment horizontal="center" vertical="center" wrapText="1"/>
    </xf>
    <xf numFmtId="0" fontId="16" fillId="0" borderId="11" xfId="0" applyFont="1" applyBorder="1" applyAlignment="1">
      <alignment horizontal="center"/>
    </xf>
    <xf numFmtId="0" fontId="16" fillId="0" borderId="12" xfId="0" applyFont="1" applyBorder="1"/>
    <xf numFmtId="3" fontId="16" fillId="0" borderId="12" xfId="0" applyNumberFormat="1" applyFont="1" applyBorder="1"/>
    <xf numFmtId="0" fontId="18" fillId="0" borderId="13" xfId="0" applyFont="1" applyBorder="1"/>
    <xf numFmtId="3" fontId="18" fillId="0" borderId="21" xfId="0" applyNumberFormat="1" applyFont="1" applyBorder="1"/>
    <xf numFmtId="0" fontId="18" fillId="0" borderId="17" xfId="0" applyFont="1" applyBorder="1"/>
    <xf numFmtId="0" fontId="16" fillId="0" borderId="14" xfId="0" applyFont="1" applyBorder="1" applyAlignment="1">
      <alignment horizontal="center"/>
    </xf>
    <xf numFmtId="3" fontId="16" fillId="0" borderId="15" xfId="0" applyNumberFormat="1" applyFont="1" applyBorder="1"/>
    <xf numFmtId="0" fontId="16" fillId="0" borderId="21" xfId="0" applyFont="1" applyBorder="1" applyAlignment="1">
      <alignment horizontal="center"/>
    </xf>
    <xf numFmtId="0" fontId="16" fillId="0" borderId="16" xfId="0" applyFont="1" applyBorder="1"/>
    <xf numFmtId="3" fontId="16" fillId="0" borderId="16" xfId="0" applyNumberFormat="1" applyFont="1" applyBorder="1"/>
    <xf numFmtId="14" fontId="16" fillId="0" borderId="15" xfId="0" applyNumberFormat="1" applyFont="1" applyBorder="1" applyAlignment="1">
      <alignment horizontal="center"/>
    </xf>
    <xf numFmtId="167" fontId="16" fillId="0" borderId="15" xfId="1" applyNumberFormat="1" applyFont="1" applyBorder="1"/>
    <xf numFmtId="0" fontId="17" fillId="0" borderId="15" xfId="0" applyFont="1" applyBorder="1"/>
    <xf numFmtId="1" fontId="18" fillId="0" borderId="15" xfId="0" applyNumberFormat="1" applyFont="1" applyBorder="1"/>
    <xf numFmtId="0" fontId="16" fillId="0" borderId="22" xfId="0" applyFont="1" applyBorder="1"/>
    <xf numFmtId="0" fontId="16" fillId="0" borderId="23" xfId="0" applyFont="1" applyBorder="1"/>
    <xf numFmtId="182" fontId="18" fillId="0" borderId="15" xfId="0" applyNumberFormat="1" applyFont="1" applyBorder="1"/>
    <xf numFmtId="0" fontId="16" fillId="0" borderId="24" xfId="0" applyFont="1" applyBorder="1"/>
    <xf numFmtId="0" fontId="16" fillId="0" borderId="0" xfId="0" applyFont="1" applyBorder="1"/>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6" fillId="0" borderId="11" xfId="0" applyFont="1" applyBorder="1"/>
    <xf numFmtId="0" fontId="16" fillId="0" borderId="12" xfId="0" applyFont="1" applyBorder="1" applyAlignment="1">
      <alignment horizontal="center"/>
    </xf>
    <xf numFmtId="0" fontId="16" fillId="0" borderId="14" xfId="0" applyFont="1" applyBorder="1"/>
    <xf numFmtId="0" fontId="16" fillId="0" borderId="21" xfId="0" applyFont="1" applyBorder="1"/>
    <xf numFmtId="0" fontId="16" fillId="0" borderId="16" xfId="0" applyFont="1" applyBorder="1" applyAlignment="1">
      <alignment horizontal="center"/>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xf numFmtId="0" fontId="16" fillId="0" borderId="0" xfId="0" applyFont="1" applyAlignment="1">
      <alignment vertical="center" wrapText="1"/>
    </xf>
    <xf numFmtId="0" fontId="18" fillId="0" borderId="12" xfId="0" applyFont="1" applyBorder="1" applyAlignment="1">
      <alignment vertical="center"/>
    </xf>
    <xf numFmtId="3" fontId="18" fillId="0" borderId="13" xfId="0" applyNumberFormat="1" applyFont="1" applyBorder="1" applyAlignment="1">
      <alignment vertical="center"/>
    </xf>
    <xf numFmtId="0" fontId="16" fillId="0" borderId="21" xfId="0" applyFont="1" applyBorder="1" applyAlignment="1">
      <alignment horizontal="center" vertical="center"/>
    </xf>
    <xf numFmtId="0" fontId="16" fillId="0" borderId="16" xfId="0" applyFont="1" applyBorder="1" applyAlignment="1">
      <alignment vertical="center"/>
    </xf>
    <xf numFmtId="0" fontId="20" fillId="0" borderId="0" xfId="0" applyFont="1" applyAlignment="1">
      <alignment horizontal="center" vertical="center"/>
    </xf>
    <xf numFmtId="0" fontId="17" fillId="0" borderId="10" xfId="0" applyFont="1" applyBorder="1" applyAlignment="1">
      <alignment vertical="center"/>
    </xf>
    <xf numFmtId="0" fontId="16" fillId="0" borderId="11" xfId="0" applyFont="1" applyBorder="1" applyAlignment="1">
      <alignment vertical="center"/>
    </xf>
    <xf numFmtId="0" fontId="16" fillId="0" borderId="13" xfId="0" applyFont="1" applyBorder="1" applyAlignment="1">
      <alignment vertical="center"/>
    </xf>
    <xf numFmtId="186" fontId="16" fillId="0" borderId="16" xfId="0" applyNumberFormat="1" applyFont="1" applyBorder="1" applyAlignment="1">
      <alignment vertical="center"/>
    </xf>
    <xf numFmtId="186" fontId="16" fillId="0" borderId="17" xfId="0" applyNumberFormat="1" applyFont="1" applyBorder="1" applyAlignment="1">
      <alignment vertical="center"/>
    </xf>
    <xf numFmtId="0" fontId="16" fillId="0" borderId="14" xfId="0" applyFont="1" applyBorder="1" applyAlignment="1">
      <alignment vertical="center"/>
    </xf>
    <xf numFmtId="0" fontId="16" fillId="0" borderId="25" xfId="0" applyFont="1" applyBorder="1" applyAlignment="1">
      <alignment vertical="center"/>
    </xf>
    <xf numFmtId="0" fontId="16" fillId="0" borderId="21" xfId="0" applyFont="1" applyBorder="1" applyAlignment="1">
      <alignment vertical="center"/>
    </xf>
    <xf numFmtId="0" fontId="16" fillId="0" borderId="17" xfId="0" applyFont="1" applyBorder="1" applyAlignment="1">
      <alignment vertical="center"/>
    </xf>
    <xf numFmtId="0" fontId="17" fillId="0" borderId="0" xfId="0" applyFont="1" applyBorder="1" applyAlignment="1">
      <alignment horizontal="center" vertical="center"/>
    </xf>
    <xf numFmtId="168" fontId="16" fillId="0" borderId="0" xfId="0" applyNumberFormat="1" applyFont="1" applyBorder="1" applyAlignment="1">
      <alignment vertical="center"/>
    </xf>
    <xf numFmtId="0" fontId="17" fillId="0" borderId="19" xfId="0" applyFont="1" applyBorder="1" applyAlignment="1">
      <alignment horizontal="right" vertical="center"/>
    </xf>
    <xf numFmtId="0" fontId="15" fillId="0" borderId="19" xfId="0" applyFont="1" applyBorder="1" applyAlignment="1">
      <alignment horizontal="center" vertical="center"/>
    </xf>
    <xf numFmtId="0" fontId="16" fillId="0" borderId="19" xfId="0" applyFont="1" applyBorder="1" applyAlignment="1">
      <alignment vertical="center"/>
    </xf>
    <xf numFmtId="0" fontId="16" fillId="0" borderId="20" xfId="0" applyFont="1" applyBorder="1" applyAlignment="1">
      <alignment vertical="center"/>
    </xf>
    <xf numFmtId="3" fontId="18" fillId="0" borderId="12" xfId="0" applyNumberFormat="1" applyFont="1" applyBorder="1" applyAlignment="1">
      <alignment horizontal="right" vertical="center"/>
    </xf>
    <xf numFmtId="3" fontId="18" fillId="0" borderId="13" xfId="0" applyNumberFormat="1" applyFont="1" applyBorder="1" applyAlignment="1">
      <alignment horizontal="right" vertical="center"/>
    </xf>
    <xf numFmtId="0" fontId="16" fillId="0" borderId="26" xfId="0" applyFont="1" applyBorder="1" applyAlignment="1">
      <alignment horizontal="center" vertical="center"/>
    </xf>
    <xf numFmtId="0" fontId="16" fillId="0" borderId="6" xfId="0" applyFont="1" applyBorder="1" applyAlignment="1">
      <alignment horizontal="center" vertical="center"/>
    </xf>
    <xf numFmtId="0" fontId="16" fillId="0" borderId="6" xfId="0" applyFont="1" applyBorder="1" applyAlignment="1">
      <alignment vertical="center"/>
    </xf>
    <xf numFmtId="3" fontId="21" fillId="0" borderId="9" xfId="0" applyNumberFormat="1" applyFont="1" applyBorder="1" applyAlignment="1">
      <alignment horizontal="right" vertical="center"/>
    </xf>
    <xf numFmtId="3" fontId="21" fillId="0" borderId="10" xfId="0" applyNumberFormat="1" applyFont="1" applyBorder="1" applyAlignment="1">
      <alignment horizontal="right" vertical="center"/>
    </xf>
    <xf numFmtId="0" fontId="16" fillId="0" borderId="0" xfId="0" applyFont="1" applyAlignment="1">
      <alignment horizontal="center" vertical="center"/>
    </xf>
    <xf numFmtId="0" fontId="22" fillId="0" borderId="0" xfId="0" applyFont="1" applyAlignment="1">
      <alignment horizontal="left" vertical="center"/>
    </xf>
    <xf numFmtId="0" fontId="22" fillId="0" borderId="0" xfId="0" applyFont="1" applyAlignment="1">
      <alignment horizontal="center" vertical="center"/>
    </xf>
    <xf numFmtId="0" fontId="16" fillId="0" borderId="0" xfId="0" applyFont="1" applyAlignment="1">
      <alignment horizontal="left" vertical="center"/>
    </xf>
    <xf numFmtId="0" fontId="17" fillId="0" borderId="0" xfId="0" applyFont="1" applyAlignment="1">
      <alignment horizontal="center" vertical="center" wrapText="1"/>
    </xf>
    <xf numFmtId="0" fontId="17" fillId="0" borderId="15" xfId="0" applyFont="1" applyBorder="1" applyAlignment="1">
      <alignment horizontal="center" vertical="center" wrapText="1"/>
    </xf>
    <xf numFmtId="171" fontId="16" fillId="0" borderId="21" xfId="0" applyNumberFormat="1" applyFont="1" applyBorder="1" applyAlignment="1">
      <alignment horizontal="center" vertical="center"/>
    </xf>
    <xf numFmtId="171" fontId="16" fillId="0" borderId="16" xfId="0" applyNumberFormat="1" applyFont="1" applyBorder="1" applyAlignment="1">
      <alignment horizontal="center" vertical="center"/>
    </xf>
    <xf numFmtId="171" fontId="16" fillId="0" borderId="17" xfId="0" applyNumberFormat="1" applyFont="1" applyBorder="1" applyAlignment="1">
      <alignment horizontal="center" vertical="center"/>
    </xf>
    <xf numFmtId="14" fontId="16" fillId="0" borderId="12" xfId="0" applyNumberFormat="1" applyFont="1" applyBorder="1" applyAlignment="1">
      <alignment vertical="center"/>
    </xf>
    <xf numFmtId="0" fontId="24" fillId="0" borderId="12" xfId="0" applyFont="1" applyBorder="1" applyAlignment="1">
      <alignment vertical="center"/>
    </xf>
    <xf numFmtId="3" fontId="16" fillId="0" borderId="12" xfId="0" applyNumberFormat="1" applyFont="1" applyBorder="1" applyAlignment="1">
      <alignment horizontal="center" vertical="center"/>
    </xf>
    <xf numFmtId="9" fontId="18" fillId="0" borderId="12" xfId="0" applyNumberFormat="1" applyFont="1" applyBorder="1" applyAlignment="1">
      <alignment vertical="center"/>
    </xf>
    <xf numFmtId="14" fontId="16" fillId="0" borderId="15" xfId="0" applyNumberFormat="1" applyFont="1" applyBorder="1" applyAlignment="1">
      <alignment vertical="center"/>
    </xf>
    <xf numFmtId="0" fontId="24" fillId="0" borderId="15" xfId="0" applyFont="1" applyBorder="1" applyAlignment="1">
      <alignment vertical="center"/>
    </xf>
    <xf numFmtId="3" fontId="16" fillId="0" borderId="15" xfId="0" applyNumberFormat="1" applyFont="1" applyBorder="1" applyAlignment="1">
      <alignment horizontal="center" vertical="center"/>
    </xf>
    <xf numFmtId="0" fontId="16" fillId="0" borderId="26" xfId="0" applyFont="1" applyBorder="1" applyAlignment="1">
      <alignment vertical="center"/>
    </xf>
    <xf numFmtId="14" fontId="16" fillId="0" borderId="6" xfId="0" applyNumberFormat="1" applyFont="1" applyBorder="1" applyAlignment="1">
      <alignment vertical="center"/>
    </xf>
    <xf numFmtId="0" fontId="24" fillId="0" borderId="6" xfId="0" applyFont="1" applyBorder="1" applyAlignment="1">
      <alignment vertical="center"/>
    </xf>
    <xf numFmtId="3" fontId="16" fillId="0" borderId="6" xfId="0" applyNumberFormat="1" applyFont="1" applyBorder="1" applyAlignment="1">
      <alignment horizontal="center" vertical="center"/>
    </xf>
    <xf numFmtId="0" fontId="17" fillId="0" borderId="27" xfId="0" applyFont="1" applyBorder="1" applyAlignment="1">
      <alignment vertical="center"/>
    </xf>
    <xf numFmtId="0" fontId="16" fillId="0" borderId="28" xfId="0" applyFont="1" applyBorder="1" applyAlignment="1">
      <alignment vertical="center"/>
    </xf>
    <xf numFmtId="0" fontId="17" fillId="0" borderId="29" xfId="0" applyFont="1" applyBorder="1" applyAlignment="1">
      <alignment horizontal="center" vertical="center" wrapText="1"/>
    </xf>
    <xf numFmtId="0" fontId="17" fillId="0" borderId="30" xfId="0" applyFont="1" applyBorder="1" applyAlignment="1">
      <alignment horizontal="center" vertical="center" wrapText="1"/>
    </xf>
    <xf numFmtId="0" fontId="16" fillId="0" borderId="31" xfId="0" applyFont="1" applyBorder="1" applyAlignment="1">
      <alignment vertical="center"/>
    </xf>
    <xf numFmtId="9" fontId="16" fillId="0" borderId="13" xfId="0" applyNumberFormat="1" applyFont="1" applyBorder="1" applyAlignment="1">
      <alignment horizontal="center" vertical="center"/>
    </xf>
    <xf numFmtId="0" fontId="16" fillId="0" borderId="32" xfId="0" applyFont="1" applyBorder="1" applyAlignment="1">
      <alignment vertical="center"/>
    </xf>
    <xf numFmtId="9" fontId="16" fillId="0" borderId="25" xfId="0" applyNumberFormat="1" applyFont="1" applyBorder="1" applyAlignment="1">
      <alignment horizontal="center" vertical="center"/>
    </xf>
    <xf numFmtId="0" fontId="16" fillId="0" borderId="33" xfId="0" applyFont="1" applyBorder="1" applyAlignment="1">
      <alignment vertical="center"/>
    </xf>
    <xf numFmtId="0" fontId="16" fillId="0" borderId="34" xfId="0" applyFont="1" applyBorder="1" applyAlignment="1">
      <alignment vertical="center"/>
    </xf>
    <xf numFmtId="9" fontId="16" fillId="0" borderId="17" xfId="0" applyNumberFormat="1" applyFont="1" applyBorder="1" applyAlignment="1">
      <alignment horizontal="center" vertical="center"/>
    </xf>
    <xf numFmtId="0" fontId="17" fillId="0" borderId="0" xfId="0" applyFont="1" applyAlignment="1">
      <alignment vertical="center"/>
    </xf>
    <xf numFmtId="0" fontId="26" fillId="0" borderId="15" xfId="0" applyFont="1" applyBorder="1" applyAlignment="1">
      <alignment vertical="center"/>
    </xf>
    <xf numFmtId="0" fontId="26" fillId="0" borderId="0" xfId="0" applyFont="1" applyAlignment="1">
      <alignment vertical="center"/>
    </xf>
    <xf numFmtId="0" fontId="26" fillId="0" borderId="15" xfId="0" applyFont="1" applyBorder="1" applyAlignment="1">
      <alignment horizontal="center" vertical="center" wrapText="1"/>
    </xf>
    <xf numFmtId="0" fontId="26" fillId="0" borderId="0" xfId="0" applyFont="1" applyAlignment="1">
      <alignment horizontal="center" vertical="center" wrapText="1"/>
    </xf>
    <xf numFmtId="0" fontId="21" fillId="0" borderId="15" xfId="0" applyFont="1" applyBorder="1" applyAlignment="1">
      <alignment horizontal="center" vertical="center"/>
    </xf>
    <xf numFmtId="3" fontId="21" fillId="0" borderId="15" xfId="1" applyNumberFormat="1" applyFont="1" applyBorder="1" applyAlignment="1">
      <alignment horizontal="right" vertical="center"/>
    </xf>
    <xf numFmtId="3" fontId="21" fillId="0" borderId="15" xfId="0" applyNumberFormat="1" applyFont="1" applyBorder="1" applyAlignment="1">
      <alignment horizontal="center" vertical="center"/>
    </xf>
    <xf numFmtId="3" fontId="21" fillId="0" borderId="15" xfId="0" applyNumberFormat="1" applyFont="1" applyBorder="1" applyAlignment="1">
      <alignment vertical="center"/>
    </xf>
    <xf numFmtId="3" fontId="18" fillId="0" borderId="15" xfId="0" applyNumberFormat="1" applyFont="1" applyBorder="1" applyAlignment="1">
      <alignment horizontal="right" vertical="center"/>
    </xf>
    <xf numFmtId="3" fontId="18" fillId="0" borderId="15" xfId="0" applyNumberFormat="1" applyFont="1" applyBorder="1" applyAlignment="1">
      <alignment vertical="center"/>
    </xf>
    <xf numFmtId="3" fontId="16" fillId="0" borderId="15" xfId="0" applyNumberFormat="1" applyFont="1" applyBorder="1" applyAlignment="1">
      <alignment vertical="center"/>
    </xf>
    <xf numFmtId="185" fontId="16" fillId="0" borderId="12" xfId="0" applyNumberFormat="1" applyFont="1" applyBorder="1" applyAlignment="1">
      <alignment vertical="center"/>
    </xf>
    <xf numFmtId="185" fontId="16" fillId="0" borderId="13" xfId="0" applyNumberFormat="1" applyFont="1" applyBorder="1" applyAlignment="1">
      <alignment vertical="center"/>
    </xf>
    <xf numFmtId="185" fontId="16" fillId="0" borderId="15" xfId="0" applyNumberFormat="1" applyFont="1" applyBorder="1" applyAlignment="1">
      <alignment vertical="center"/>
    </xf>
    <xf numFmtId="185" fontId="16" fillId="0" borderId="25" xfId="0" applyNumberFormat="1" applyFont="1" applyBorder="1" applyAlignment="1">
      <alignment vertical="center"/>
    </xf>
    <xf numFmtId="185" fontId="16" fillId="0" borderId="16" xfId="0" applyNumberFormat="1" applyFont="1" applyBorder="1" applyAlignment="1">
      <alignment vertical="center"/>
    </xf>
    <xf numFmtId="185" fontId="16" fillId="0" borderId="17" xfId="0" applyNumberFormat="1" applyFont="1" applyBorder="1" applyAlignment="1">
      <alignment vertical="center"/>
    </xf>
    <xf numFmtId="0" fontId="16" fillId="0" borderId="16" xfId="0" applyFont="1" applyBorder="1" applyAlignment="1">
      <alignment horizontal="center" vertical="center"/>
    </xf>
    <xf numFmtId="3" fontId="16" fillId="0" borderId="12" xfId="0" applyNumberFormat="1" applyFont="1" applyBorder="1" applyAlignment="1">
      <alignment vertical="center"/>
    </xf>
    <xf numFmtId="3" fontId="16" fillId="0" borderId="6" xfId="0" applyNumberFormat="1" applyFont="1" applyBorder="1" applyAlignment="1">
      <alignment vertical="center"/>
    </xf>
    <xf numFmtId="0" fontId="20" fillId="0" borderId="8" xfId="0" applyFont="1" applyBorder="1" applyAlignment="1">
      <alignment horizontal="center" vertical="center"/>
    </xf>
    <xf numFmtId="0" fontId="20" fillId="0" borderId="9" xfId="0" applyFont="1" applyBorder="1" applyAlignment="1">
      <alignment horizontal="center" vertical="center"/>
    </xf>
    <xf numFmtId="3" fontId="21" fillId="0" borderId="9" xfId="0" applyNumberFormat="1" applyFont="1" applyBorder="1" applyAlignment="1">
      <alignment vertical="center"/>
    </xf>
    <xf numFmtId="3" fontId="21" fillId="0" borderId="10" xfId="0" applyNumberFormat="1" applyFont="1" applyBorder="1" applyAlignment="1">
      <alignment vertical="center"/>
    </xf>
    <xf numFmtId="1" fontId="16" fillId="0" borderId="15" xfId="0" applyNumberFormat="1" applyFont="1" applyBorder="1" applyAlignment="1">
      <alignment vertical="center"/>
    </xf>
    <xf numFmtId="3" fontId="21" fillId="0" borderId="19" xfId="0" applyNumberFormat="1" applyFont="1" applyBorder="1" applyAlignment="1">
      <alignment horizontal="center" vertical="center"/>
    </xf>
    <xf numFmtId="169" fontId="16" fillId="0" borderId="12" xfId="0" applyNumberFormat="1" applyFont="1" applyBorder="1" applyAlignment="1">
      <alignment horizontal="center" vertical="center"/>
    </xf>
    <xf numFmtId="2" fontId="18" fillId="0" borderId="12" xfId="0" applyNumberFormat="1" applyFont="1" applyBorder="1" applyAlignment="1">
      <alignment horizontal="center" vertical="center"/>
    </xf>
    <xf numFmtId="0" fontId="18" fillId="0" borderId="13" xfId="0" applyFont="1" applyBorder="1" applyAlignment="1">
      <alignment horizontal="center" vertical="center"/>
    </xf>
    <xf numFmtId="169" fontId="16" fillId="0" borderId="15" xfId="0" applyNumberFormat="1" applyFont="1" applyBorder="1" applyAlignment="1">
      <alignment horizontal="center" vertical="center"/>
    </xf>
    <xf numFmtId="169" fontId="16" fillId="0" borderId="16" xfId="0" applyNumberFormat="1" applyFont="1" applyBorder="1" applyAlignment="1">
      <alignment horizontal="center" vertical="center"/>
    </xf>
    <xf numFmtId="3" fontId="16" fillId="0" borderId="16" xfId="0" applyNumberFormat="1" applyFont="1" applyBorder="1" applyAlignment="1">
      <alignment horizontal="center" vertical="center"/>
    </xf>
    <xf numFmtId="0" fontId="16" fillId="0" borderId="18" xfId="0" applyFont="1" applyBorder="1" applyAlignment="1">
      <alignment horizontal="center" vertical="center"/>
    </xf>
    <xf numFmtId="0" fontId="16" fillId="0" borderId="35" xfId="0" applyFont="1" applyBorder="1" applyAlignment="1">
      <alignment vertical="center"/>
    </xf>
    <xf numFmtId="0" fontId="16" fillId="0" borderId="36" xfId="0" applyFont="1" applyBorder="1" applyAlignment="1">
      <alignment vertical="center"/>
    </xf>
    <xf numFmtId="0" fontId="16" fillId="0" borderId="19" xfId="0" applyFont="1" applyBorder="1" applyAlignment="1">
      <alignment horizontal="center" vertical="center"/>
    </xf>
    <xf numFmtId="14" fontId="16" fillId="0" borderId="19" xfId="0" applyNumberFormat="1" applyFont="1" applyBorder="1" applyAlignment="1">
      <alignment vertical="center"/>
    </xf>
    <xf numFmtId="1" fontId="18" fillId="0" borderId="19" xfId="0" applyNumberFormat="1" applyFont="1" applyBorder="1" applyAlignment="1">
      <alignment horizontal="center" vertical="center"/>
    </xf>
    <xf numFmtId="165" fontId="18" fillId="0" borderId="19" xfId="0" applyNumberFormat="1" applyFont="1" applyBorder="1" applyAlignment="1">
      <alignment horizontal="center" vertical="center"/>
    </xf>
    <xf numFmtId="185" fontId="18" fillId="0" borderId="20" xfId="0" applyNumberFormat="1" applyFont="1" applyBorder="1" applyAlignment="1">
      <alignment vertical="center"/>
    </xf>
    <xf numFmtId="0" fontId="16" fillId="0" borderId="37" xfId="0" applyFont="1" applyBorder="1" applyAlignment="1">
      <alignment vertical="center"/>
    </xf>
    <xf numFmtId="0" fontId="16" fillId="0" borderId="38" xfId="0" applyFont="1" applyBorder="1" applyAlignment="1">
      <alignment vertical="center"/>
    </xf>
    <xf numFmtId="0" fontId="16" fillId="0" borderId="39" xfId="0" applyFont="1" applyBorder="1" applyAlignment="1">
      <alignment vertical="center"/>
    </xf>
    <xf numFmtId="0" fontId="16" fillId="0" borderId="40" xfId="0" applyFont="1" applyBorder="1" applyAlignment="1">
      <alignment vertical="center"/>
    </xf>
    <xf numFmtId="14" fontId="16" fillId="0" borderId="16" xfId="0" applyNumberFormat="1" applyFont="1" applyBorder="1" applyAlignment="1">
      <alignment vertical="center"/>
    </xf>
    <xf numFmtId="165" fontId="16" fillId="0" borderId="15" xfId="0" applyNumberFormat="1" applyFont="1" applyBorder="1" applyAlignment="1">
      <alignment vertical="center"/>
    </xf>
    <xf numFmtId="170" fontId="16" fillId="0" borderId="15" xfId="0" applyNumberFormat="1" applyFont="1" applyBorder="1" applyAlignment="1">
      <alignment vertical="center"/>
    </xf>
    <xf numFmtId="0" fontId="17" fillId="0" borderId="15" xfId="0" applyFont="1" applyBorder="1" applyAlignment="1">
      <alignment horizontal="center" vertical="center"/>
    </xf>
    <xf numFmtId="171" fontId="16" fillId="0" borderId="19" xfId="0" applyNumberFormat="1" applyFont="1" applyBorder="1" applyAlignment="1">
      <alignment vertical="center"/>
    </xf>
    <xf numFmtId="3" fontId="21" fillId="0" borderId="19" xfId="0" applyNumberFormat="1" applyFont="1" applyBorder="1" applyAlignment="1">
      <alignment vertical="center"/>
    </xf>
    <xf numFmtId="3" fontId="19" fillId="0" borderId="19" xfId="0" applyNumberFormat="1" applyFont="1" applyBorder="1" applyAlignment="1">
      <alignment vertical="center"/>
    </xf>
    <xf numFmtId="9" fontId="18" fillId="0" borderId="20" xfId="0" applyNumberFormat="1" applyFont="1" applyBorder="1" applyAlignment="1">
      <alignment vertical="center"/>
    </xf>
    <xf numFmtId="171" fontId="16" fillId="0" borderId="16" xfId="0" applyNumberFormat="1" applyFont="1" applyBorder="1" applyAlignment="1">
      <alignment vertical="center"/>
    </xf>
    <xf numFmtId="10" fontId="18" fillId="0" borderId="16" xfId="0" applyNumberFormat="1" applyFont="1" applyBorder="1" applyAlignment="1">
      <alignment vertical="center"/>
    </xf>
    <xf numFmtId="0" fontId="25" fillId="0" borderId="0" xfId="0" applyFont="1" applyAlignment="1">
      <alignment vertical="center"/>
    </xf>
    <xf numFmtId="0" fontId="20" fillId="0" borderId="8" xfId="0" applyFont="1" applyBorder="1" applyAlignment="1">
      <alignment horizontal="center"/>
    </xf>
    <xf numFmtId="0" fontId="20" fillId="0" borderId="9" xfId="0" applyFont="1" applyBorder="1" applyAlignment="1">
      <alignment horizontal="center"/>
    </xf>
    <xf numFmtId="0" fontId="20" fillId="0" borderId="10" xfId="0" applyFont="1" applyBorder="1" applyAlignment="1">
      <alignment horizontal="center"/>
    </xf>
    <xf numFmtId="0" fontId="26" fillId="0" borderId="0" xfId="0" applyFont="1"/>
    <xf numFmtId="0" fontId="16" fillId="0" borderId="12" xfId="0" applyFont="1" applyFill="1" applyBorder="1"/>
    <xf numFmtId="0" fontId="18" fillId="0" borderId="12" xfId="0" applyFont="1" applyBorder="1"/>
    <xf numFmtId="3" fontId="18" fillId="0" borderId="13" xfId="0" applyNumberFormat="1" applyFont="1" applyBorder="1"/>
    <xf numFmtId="0" fontId="16" fillId="0" borderId="15" xfId="0" applyFont="1" applyFill="1" applyBorder="1"/>
    <xf numFmtId="0" fontId="16" fillId="0" borderId="26" xfId="0" applyFont="1" applyBorder="1" applyAlignment="1">
      <alignment horizontal="center"/>
    </xf>
    <xf numFmtId="0" fontId="16" fillId="0" borderId="6" xfId="0" applyFont="1" applyBorder="1"/>
    <xf numFmtId="0" fontId="16" fillId="0" borderId="6" xfId="0" applyFont="1" applyFill="1" applyBorder="1"/>
    <xf numFmtId="0" fontId="16" fillId="0" borderId="6" xfId="0" applyFont="1" applyBorder="1" applyAlignment="1">
      <alignment horizontal="center"/>
    </xf>
    <xf numFmtId="0" fontId="20" fillId="0" borderId="8" xfId="0" applyFont="1" applyBorder="1" applyAlignment="1">
      <alignment horizontal="center" vertical="center" wrapText="1"/>
    </xf>
    <xf numFmtId="0" fontId="20" fillId="0" borderId="9" xfId="0" applyFont="1" applyBorder="1" applyAlignment="1">
      <alignment horizontal="center" vertical="center" wrapText="1"/>
    </xf>
    <xf numFmtId="0" fontId="25" fillId="0" borderId="0" xfId="0" applyFont="1"/>
    <xf numFmtId="0" fontId="20" fillId="0" borderId="10" xfId="0" applyFont="1" applyBorder="1" applyAlignment="1">
      <alignment horizontal="center" vertical="center" wrapText="1"/>
    </xf>
    <xf numFmtId="0" fontId="16" fillId="0" borderId="12" xfId="0" applyFont="1" applyFill="1" applyBorder="1" applyAlignment="1">
      <alignment vertical="center"/>
    </xf>
    <xf numFmtId="0" fontId="16" fillId="0" borderId="15" xfId="0" applyFont="1" applyFill="1" applyBorder="1" applyAlignment="1">
      <alignment vertical="center"/>
    </xf>
    <xf numFmtId="0" fontId="16" fillId="0" borderId="6" xfId="0" applyFont="1" applyFill="1" applyBorder="1" applyAlignment="1">
      <alignment vertical="center"/>
    </xf>
    <xf numFmtId="3" fontId="16" fillId="0" borderId="12" xfId="0" applyNumberFormat="1" applyFont="1" applyBorder="1" applyAlignment="1">
      <alignment horizontal="center"/>
    </xf>
    <xf numFmtId="3" fontId="16" fillId="0" borderId="15" xfId="0" applyNumberFormat="1" applyFont="1" applyBorder="1" applyAlignment="1">
      <alignment horizontal="center"/>
    </xf>
    <xf numFmtId="3" fontId="18" fillId="0" borderId="25" xfId="0" applyNumberFormat="1" applyFont="1" applyBorder="1" applyAlignment="1">
      <alignment vertical="center"/>
    </xf>
    <xf numFmtId="3" fontId="16" fillId="0" borderId="6" xfId="0" applyNumberFormat="1" applyFont="1" applyBorder="1" applyAlignment="1">
      <alignment horizontal="center"/>
    </xf>
    <xf numFmtId="3" fontId="18" fillId="0" borderId="9" xfId="0" applyNumberFormat="1" applyFont="1" applyBorder="1" applyAlignment="1">
      <alignment vertical="center"/>
    </xf>
    <xf numFmtId="0" fontId="16" fillId="0" borderId="6" xfId="0" applyFont="1" applyBorder="1" applyAlignment="1">
      <alignment horizontal="right" vertical="center"/>
    </xf>
    <xf numFmtId="3" fontId="16" fillId="0" borderId="6" xfId="0" applyNumberFormat="1" applyFont="1" applyBorder="1" applyAlignment="1">
      <alignment horizontal="right" vertical="center"/>
    </xf>
    <xf numFmtId="0" fontId="20" fillId="0" borderId="10" xfId="0" applyFont="1" applyBorder="1" applyAlignment="1">
      <alignment horizontal="center" vertical="center"/>
    </xf>
    <xf numFmtId="2" fontId="16" fillId="0" borderId="12" xfId="0" applyNumberFormat="1" applyFont="1" applyBorder="1" applyAlignment="1">
      <alignment horizontal="center" vertical="center"/>
    </xf>
    <xf numFmtId="0" fontId="18" fillId="0" borderId="12" xfId="0" applyFont="1" applyBorder="1" applyAlignment="1">
      <alignment horizontal="center" vertical="center"/>
    </xf>
    <xf numFmtId="2" fontId="16" fillId="0" borderId="15" xfId="0" applyNumberFormat="1" applyFont="1" applyBorder="1" applyAlignment="1">
      <alignment horizontal="center" vertical="center"/>
    </xf>
    <xf numFmtId="2" fontId="16" fillId="0" borderId="6" xfId="0" applyNumberFormat="1" applyFont="1" applyBorder="1" applyAlignment="1">
      <alignment horizontal="center" vertical="center"/>
    </xf>
    <xf numFmtId="3" fontId="18" fillId="0" borderId="12" xfId="0" applyNumberFormat="1" applyFont="1" applyBorder="1" applyAlignment="1">
      <alignment horizontal="center" vertical="center"/>
    </xf>
    <xf numFmtId="1" fontId="16" fillId="0" borderId="0" xfId="0" applyNumberFormat="1" applyFont="1" applyAlignment="1">
      <alignment vertical="center"/>
    </xf>
    <xf numFmtId="0" fontId="17" fillId="0" borderId="41" xfId="0" applyFont="1" applyBorder="1" applyAlignment="1">
      <alignment horizontal="center" vertical="center"/>
    </xf>
    <xf numFmtId="3" fontId="16" fillId="0" borderId="41" xfId="0" applyNumberFormat="1" applyFont="1" applyBorder="1" applyAlignment="1">
      <alignment horizontal="center" vertical="center"/>
    </xf>
    <xf numFmtId="0" fontId="16" fillId="0" borderId="0" xfId="0" applyFont="1" applyBorder="1" applyAlignment="1">
      <alignment vertical="center"/>
    </xf>
    <xf numFmtId="0" fontId="18" fillId="0" borderId="13" xfId="0" applyFont="1" applyBorder="1" applyAlignment="1">
      <alignment vertical="center"/>
    </xf>
    <xf numFmtId="0" fontId="15" fillId="0" borderId="0" xfId="0" applyFont="1" applyAlignment="1">
      <alignment vertical="center"/>
    </xf>
    <xf numFmtId="10" fontId="16" fillId="0" borderId="6" xfId="0" applyNumberFormat="1" applyFont="1" applyBorder="1" applyAlignment="1">
      <alignment vertical="center"/>
    </xf>
    <xf numFmtId="0" fontId="16" fillId="0" borderId="12" xfId="0" quotePrefix="1" applyFont="1" applyBorder="1" applyAlignment="1">
      <alignment horizontal="center" vertical="center"/>
    </xf>
    <xf numFmtId="0" fontId="16" fillId="0" borderId="15" xfId="0" quotePrefix="1" applyFont="1" applyBorder="1" applyAlignment="1">
      <alignment horizontal="center" vertical="center"/>
    </xf>
    <xf numFmtId="0" fontId="16" fillId="0" borderId="6" xfId="0" quotePrefix="1" applyFont="1" applyBorder="1" applyAlignment="1">
      <alignment horizontal="center" vertical="center"/>
    </xf>
    <xf numFmtId="3" fontId="16" fillId="0" borderId="17" xfId="0" applyNumberFormat="1" applyFont="1" applyBorder="1" applyAlignment="1">
      <alignment vertical="center"/>
    </xf>
    <xf numFmtId="0" fontId="18" fillId="0" borderId="25" xfId="0" applyFont="1" applyBorder="1" applyAlignment="1">
      <alignment vertical="center"/>
    </xf>
    <xf numFmtId="0" fontId="18" fillId="0" borderId="16" xfId="0" applyFont="1" applyBorder="1" applyAlignment="1">
      <alignment vertical="center"/>
    </xf>
    <xf numFmtId="0" fontId="18" fillId="0" borderId="17" xfId="0" applyFont="1" applyBorder="1" applyAlignment="1">
      <alignment vertical="center"/>
    </xf>
    <xf numFmtId="0" fontId="17" fillId="0" borderId="8" xfId="0" applyFont="1" applyFill="1" applyBorder="1" applyAlignment="1">
      <alignment horizontal="center" vertical="center"/>
    </xf>
    <xf numFmtId="0" fontId="17" fillId="0" borderId="9" xfId="0" applyFont="1" applyFill="1" applyBorder="1" applyAlignment="1">
      <alignment horizontal="center" vertical="center"/>
    </xf>
    <xf numFmtId="0" fontId="17" fillId="0" borderId="10" xfId="0" applyFont="1" applyFill="1" applyBorder="1" applyAlignment="1">
      <alignment horizontal="center" vertical="center"/>
    </xf>
    <xf numFmtId="0" fontId="16" fillId="0" borderId="42" xfId="0" applyFont="1" applyFill="1" applyBorder="1" applyAlignment="1">
      <alignment horizontal="center" vertical="center"/>
    </xf>
    <xf numFmtId="0" fontId="16" fillId="0" borderId="43" xfId="0" applyFont="1" applyFill="1" applyBorder="1" applyAlignment="1">
      <alignment horizontal="center" vertical="center"/>
    </xf>
    <xf numFmtId="0" fontId="16" fillId="0" borderId="44"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46" xfId="0" applyFont="1" applyFill="1" applyBorder="1" applyAlignment="1">
      <alignment horizontal="center" vertical="center"/>
    </xf>
    <xf numFmtId="0" fontId="16" fillId="0" borderId="47" xfId="0" applyFont="1" applyFill="1" applyBorder="1" applyAlignment="1">
      <alignment horizontal="center" vertical="center"/>
    </xf>
    <xf numFmtId="0" fontId="16" fillId="0" borderId="48" xfId="0" applyFont="1" applyFill="1" applyBorder="1" applyAlignment="1">
      <alignment horizontal="center" vertical="center"/>
    </xf>
    <xf numFmtId="0" fontId="16" fillId="0" borderId="49" xfId="0" applyFont="1" applyFill="1" applyBorder="1" applyAlignment="1">
      <alignment horizontal="center" vertical="center"/>
    </xf>
    <xf numFmtId="3" fontId="18" fillId="0" borderId="17" xfId="0" applyNumberFormat="1" applyFont="1" applyBorder="1" applyAlignment="1">
      <alignment vertical="center"/>
    </xf>
    <xf numFmtId="0" fontId="16" fillId="0" borderId="13" xfId="0" applyFont="1" applyBorder="1" applyAlignment="1">
      <alignment horizontal="center" vertical="center"/>
    </xf>
    <xf numFmtId="0" fontId="16" fillId="0" borderId="25" xfId="0" applyFont="1" applyBorder="1" applyAlignment="1">
      <alignment horizontal="center" vertical="center"/>
    </xf>
    <xf numFmtId="0" fontId="16" fillId="0" borderId="17" xfId="0" applyFont="1" applyBorder="1" applyAlignment="1">
      <alignment horizontal="center" vertical="center"/>
    </xf>
    <xf numFmtId="2" fontId="17" fillId="0" borderId="8" xfId="0" applyNumberFormat="1" applyFont="1" applyBorder="1" applyAlignment="1">
      <alignment horizontal="center" vertical="center" wrapText="1"/>
    </xf>
    <xf numFmtId="2" fontId="17" fillId="0" borderId="9" xfId="0" applyNumberFormat="1" applyFont="1" applyBorder="1" applyAlignment="1">
      <alignment horizontal="center" vertical="center" wrapText="1"/>
    </xf>
    <xf numFmtId="2" fontId="17" fillId="0" borderId="10" xfId="0" applyNumberFormat="1" applyFont="1" applyBorder="1" applyAlignment="1">
      <alignment horizontal="center" vertical="center" wrapText="1"/>
    </xf>
    <xf numFmtId="14" fontId="16" fillId="0" borderId="12" xfId="0" applyNumberFormat="1" applyFont="1" applyBorder="1" applyAlignment="1">
      <alignment horizontal="center" vertical="center"/>
    </xf>
    <xf numFmtId="14" fontId="16" fillId="0" borderId="15" xfId="0" applyNumberFormat="1" applyFont="1" applyBorder="1" applyAlignment="1">
      <alignment horizontal="center" vertical="center"/>
    </xf>
    <xf numFmtId="14" fontId="16" fillId="0" borderId="16" xfId="0" applyNumberFormat="1" applyFont="1" applyBorder="1" applyAlignment="1">
      <alignment horizontal="center" vertical="center"/>
    </xf>
    <xf numFmtId="0" fontId="16" fillId="0" borderId="0" xfId="0" applyFont="1" applyBorder="1" applyAlignment="1">
      <alignment horizontal="center" vertical="center"/>
    </xf>
    <xf numFmtId="14" fontId="16" fillId="0" borderId="0" xfId="0" applyNumberFormat="1" applyFont="1" applyBorder="1" applyAlignment="1">
      <alignment vertical="center"/>
    </xf>
    <xf numFmtId="165" fontId="16" fillId="0" borderId="12" xfId="0" applyNumberFormat="1" applyFont="1" applyBorder="1" applyAlignment="1">
      <alignment vertical="center"/>
    </xf>
    <xf numFmtId="9" fontId="16" fillId="0" borderId="13" xfId="0" applyNumberFormat="1" applyFont="1" applyBorder="1" applyAlignment="1">
      <alignment vertical="center"/>
    </xf>
    <xf numFmtId="9" fontId="16" fillId="0" borderId="25" xfId="0" applyNumberFormat="1" applyFont="1" applyBorder="1" applyAlignment="1">
      <alignment vertical="center"/>
    </xf>
    <xf numFmtId="165" fontId="16" fillId="0" borderId="16" xfId="0" applyNumberFormat="1" applyFont="1" applyBorder="1" applyAlignment="1">
      <alignment vertical="center"/>
    </xf>
    <xf numFmtId="9" fontId="16" fillId="0" borderId="17" xfId="0" applyNumberFormat="1" applyFont="1" applyBorder="1" applyAlignment="1">
      <alignment vertical="center"/>
    </xf>
    <xf numFmtId="14" fontId="16" fillId="0" borderId="12" xfId="0" applyNumberFormat="1" applyFont="1" applyBorder="1" applyAlignment="1">
      <alignment horizontal="center"/>
    </xf>
    <xf numFmtId="0" fontId="18" fillId="0" borderId="12" xfId="0" applyFont="1" applyBorder="1" applyAlignment="1">
      <alignment horizontal="center"/>
    </xf>
    <xf numFmtId="1" fontId="16" fillId="0" borderId="0" xfId="0" applyNumberFormat="1" applyFont="1"/>
    <xf numFmtId="0" fontId="18" fillId="0" borderId="14" xfId="0" applyFont="1" applyBorder="1" applyAlignment="1">
      <alignment horizontal="center"/>
    </xf>
    <xf numFmtId="0" fontId="16" fillId="0" borderId="15" xfId="0" applyFont="1" applyBorder="1" applyAlignment="1">
      <alignment horizontal="left"/>
    </xf>
    <xf numFmtId="0" fontId="18" fillId="0" borderId="21" xfId="0" applyFont="1" applyBorder="1" applyAlignment="1">
      <alignment horizontal="center"/>
    </xf>
    <xf numFmtId="14" fontId="16" fillId="0" borderId="16" xfId="0" applyNumberFormat="1" applyFont="1" applyBorder="1" applyAlignment="1">
      <alignment horizontal="center"/>
    </xf>
    <xf numFmtId="0" fontId="19" fillId="0" borderId="0" xfId="0" applyFont="1" applyBorder="1" applyAlignment="1">
      <alignment horizontal="center"/>
    </xf>
    <xf numFmtId="0" fontId="16" fillId="0" borderId="0" xfId="0" applyFont="1" applyBorder="1" applyAlignment="1">
      <alignment horizontal="left"/>
    </xf>
    <xf numFmtId="14" fontId="16" fillId="0" borderId="0" xfId="0" applyNumberFormat="1" applyFont="1" applyBorder="1" applyAlignment="1">
      <alignment horizontal="right"/>
    </xf>
    <xf numFmtId="0" fontId="16" fillId="0" borderId="0" xfId="0" applyFont="1" applyBorder="1" applyAlignment="1">
      <alignment horizontal="center"/>
    </xf>
    <xf numFmtId="0" fontId="19" fillId="0" borderId="0" xfId="0" applyFont="1" applyBorder="1"/>
    <xf numFmtId="0" fontId="28" fillId="0" borderId="0" xfId="0" applyFont="1"/>
    <xf numFmtId="0" fontId="18" fillId="0" borderId="13" xfId="0" applyFont="1" applyBorder="1" applyAlignment="1">
      <alignment horizontal="center"/>
    </xf>
    <xf numFmtId="0" fontId="18" fillId="0" borderId="25" xfId="0" applyFont="1" applyBorder="1" applyAlignment="1">
      <alignment horizontal="center"/>
    </xf>
    <xf numFmtId="0" fontId="19" fillId="0" borderId="0" xfId="0" applyFont="1"/>
    <xf numFmtId="0" fontId="18" fillId="0" borderId="14" xfId="0" applyFont="1" applyBorder="1" applyAlignment="1">
      <alignment horizontal="center" vertical="center"/>
    </xf>
    <xf numFmtId="0" fontId="18" fillId="0" borderId="21" xfId="0" applyFont="1" applyBorder="1" applyAlignment="1">
      <alignment horizontal="center" vertical="center"/>
    </xf>
    <xf numFmtId="0" fontId="28" fillId="0" borderId="0" xfId="0" applyFont="1" applyAlignment="1">
      <alignment vertical="center"/>
    </xf>
    <xf numFmtId="0" fontId="18" fillId="0" borderId="15" xfId="0" applyFont="1" applyBorder="1" applyAlignment="1">
      <alignment horizontal="center" vertical="center"/>
    </xf>
    <xf numFmtId="0" fontId="16" fillId="0" borderId="12" xfId="0" applyFont="1" applyBorder="1" applyAlignment="1">
      <alignment horizontal="left" vertical="center"/>
    </xf>
    <xf numFmtId="3" fontId="29" fillId="0" borderId="12" xfId="0" applyNumberFormat="1" applyFont="1" applyBorder="1" applyAlignment="1">
      <alignment horizontal="center" vertical="center"/>
    </xf>
    <xf numFmtId="0" fontId="16" fillId="0" borderId="15" xfId="0" applyFont="1" applyBorder="1" applyAlignment="1">
      <alignment horizontal="left" vertical="center"/>
    </xf>
    <xf numFmtId="3" fontId="29" fillId="0" borderId="15" xfId="0" applyNumberFormat="1" applyFont="1" applyBorder="1" applyAlignment="1">
      <alignment horizontal="center" vertical="center"/>
    </xf>
    <xf numFmtId="0" fontId="16" fillId="0" borderId="16" xfId="0" applyFont="1" applyBorder="1" applyAlignment="1">
      <alignment horizontal="left" vertical="center"/>
    </xf>
    <xf numFmtId="3" fontId="29" fillId="0" borderId="16" xfId="0" applyNumberFormat="1" applyFont="1" applyBorder="1" applyAlignment="1">
      <alignment horizontal="center" vertical="center"/>
    </xf>
    <xf numFmtId="0" fontId="18" fillId="0" borderId="0" xfId="0" applyFont="1" applyBorder="1" applyAlignment="1">
      <alignment horizontal="center" vertical="center"/>
    </xf>
    <xf numFmtId="0" fontId="16" fillId="0" borderId="0" xfId="0" applyFont="1" applyBorder="1" applyAlignment="1">
      <alignment horizontal="left" vertical="center"/>
    </xf>
    <xf numFmtId="0" fontId="18" fillId="0" borderId="0" xfId="0" applyFont="1" applyBorder="1" applyAlignment="1">
      <alignment vertical="center"/>
    </xf>
    <xf numFmtId="3" fontId="18" fillId="0" borderId="0" xfId="0" applyNumberFormat="1" applyFont="1" applyBorder="1" applyAlignment="1">
      <alignment horizontal="center" vertical="center"/>
    </xf>
    <xf numFmtId="3" fontId="29" fillId="0" borderId="0" xfId="0" applyNumberFormat="1" applyFont="1" applyBorder="1" applyAlignment="1">
      <alignment horizontal="center" vertical="center"/>
    </xf>
    <xf numFmtId="3" fontId="18" fillId="0" borderId="0" xfId="0" applyNumberFormat="1" applyFont="1" applyBorder="1" applyAlignment="1">
      <alignment vertical="center"/>
    </xf>
    <xf numFmtId="0" fontId="30" fillId="0" borderId="0" xfId="0" applyFont="1" applyAlignment="1">
      <alignment vertical="center"/>
    </xf>
    <xf numFmtId="0" fontId="16" fillId="0" borderId="12" xfId="0" applyFont="1" applyBorder="1" applyAlignment="1">
      <alignment horizontal="right" vertical="center"/>
    </xf>
    <xf numFmtId="10" fontId="16" fillId="0" borderId="0" xfId="0" applyNumberFormat="1" applyFont="1" applyAlignment="1">
      <alignment vertical="center"/>
    </xf>
    <xf numFmtId="0" fontId="16" fillId="0" borderId="15" xfId="0" applyFont="1" applyBorder="1" applyAlignment="1">
      <alignment horizontal="right" vertical="center"/>
    </xf>
    <xf numFmtId="0" fontId="18" fillId="0" borderId="26" xfId="0" applyFont="1" applyBorder="1" applyAlignment="1">
      <alignment horizontal="center" vertical="center"/>
    </xf>
    <xf numFmtId="3" fontId="31" fillId="0" borderId="9" xfId="0" applyNumberFormat="1" applyFont="1" applyBorder="1" applyAlignment="1">
      <alignment vertical="center"/>
    </xf>
    <xf numFmtId="0" fontId="22" fillId="0" borderId="0" xfId="0" quotePrefix="1" applyFont="1" applyAlignment="1">
      <alignment vertical="center"/>
    </xf>
    <xf numFmtId="9" fontId="16" fillId="0" borderId="15" xfId="0" applyNumberFormat="1" applyFont="1" applyBorder="1" applyAlignment="1">
      <alignment horizontal="center" vertical="center"/>
    </xf>
    <xf numFmtId="9" fontId="16" fillId="0" borderId="16" xfId="0" applyNumberFormat="1" applyFont="1" applyBorder="1" applyAlignment="1">
      <alignment horizontal="center" vertical="center"/>
    </xf>
    <xf numFmtId="14" fontId="16" fillId="0" borderId="0" xfId="0" applyNumberFormat="1" applyFont="1" applyAlignment="1">
      <alignment vertical="center"/>
    </xf>
    <xf numFmtId="9" fontId="16" fillId="0" borderId="0" xfId="0" applyNumberFormat="1" applyFont="1" applyBorder="1" applyAlignment="1">
      <alignment vertical="center"/>
    </xf>
    <xf numFmtId="14" fontId="16" fillId="0" borderId="11" xfId="0" applyNumberFormat="1" applyFont="1" applyBorder="1" applyAlignment="1">
      <alignment vertical="center"/>
    </xf>
    <xf numFmtId="14" fontId="16" fillId="0" borderId="14" xfId="0" applyNumberFormat="1" applyFont="1" applyBorder="1" applyAlignment="1">
      <alignment vertical="center"/>
    </xf>
    <xf numFmtId="14" fontId="16" fillId="0" borderId="21" xfId="0" applyNumberFormat="1" applyFont="1" applyBorder="1" applyAlignment="1">
      <alignment vertical="center"/>
    </xf>
    <xf numFmtId="0" fontId="18" fillId="0" borderId="25" xfId="0" applyFont="1" applyBorder="1" applyAlignment="1">
      <alignment horizontal="center" vertical="center"/>
    </xf>
    <xf numFmtId="0" fontId="32" fillId="0" borderId="15" xfId="0" applyFont="1" applyBorder="1" applyAlignment="1">
      <alignment horizontal="center" vertical="center"/>
    </xf>
    <xf numFmtId="0" fontId="22" fillId="0" borderId="6" xfId="0" applyFont="1" applyBorder="1" applyAlignment="1">
      <alignment vertical="center"/>
    </xf>
    <xf numFmtId="9" fontId="22" fillId="0" borderId="6" xfId="0" quotePrefix="1" applyNumberFormat="1" applyFont="1" applyBorder="1" applyAlignment="1">
      <alignment vertical="center"/>
    </xf>
    <xf numFmtId="0" fontId="22" fillId="0" borderId="12" xfId="0" applyFont="1" applyBorder="1" applyAlignment="1">
      <alignment vertical="center"/>
    </xf>
    <xf numFmtId="9" fontId="22" fillId="0" borderId="12" xfId="0" quotePrefix="1" applyNumberFormat="1" applyFont="1" applyBorder="1" applyAlignment="1">
      <alignment vertical="center"/>
    </xf>
    <xf numFmtId="164" fontId="18" fillId="0" borderId="12" xfId="0" applyNumberFormat="1" applyFont="1" applyBorder="1" applyAlignment="1">
      <alignment horizontal="center" vertical="center"/>
    </xf>
    <xf numFmtId="0" fontId="16" fillId="0" borderId="0" xfId="0" quotePrefix="1" applyFont="1" applyAlignment="1">
      <alignment vertical="center"/>
    </xf>
    <xf numFmtId="0" fontId="19" fillId="0" borderId="0" xfId="0" applyFont="1" applyAlignment="1">
      <alignment vertical="center"/>
    </xf>
    <xf numFmtId="0" fontId="32" fillId="0" borderId="41" xfId="0" applyFont="1" applyBorder="1" applyAlignment="1">
      <alignment horizontal="center" vertical="center"/>
    </xf>
    <xf numFmtId="0" fontId="22" fillId="0" borderId="41" xfId="0" applyFont="1" applyBorder="1" applyAlignment="1">
      <alignment horizontal="center" vertical="center"/>
    </xf>
    <xf numFmtId="2" fontId="16" fillId="0" borderId="0" xfId="0" applyNumberFormat="1" applyFont="1" applyAlignment="1">
      <alignment vertical="center"/>
    </xf>
    <xf numFmtId="0" fontId="32" fillId="0" borderId="0" xfId="0" applyFont="1" applyBorder="1" applyAlignment="1">
      <alignment horizontal="center" vertical="center"/>
    </xf>
    <xf numFmtId="0" fontId="22" fillId="0" borderId="0" xfId="0" applyFont="1" applyBorder="1" applyAlignment="1">
      <alignment vertical="center"/>
    </xf>
    <xf numFmtId="9" fontId="22" fillId="0" borderId="0" xfId="0" applyNumberFormat="1" applyFont="1" applyBorder="1" applyAlignment="1">
      <alignment vertical="center"/>
    </xf>
    <xf numFmtId="9" fontId="22" fillId="0" borderId="0" xfId="0" quotePrefix="1" applyNumberFormat="1" applyFont="1" applyBorder="1" applyAlignment="1">
      <alignment vertical="center"/>
    </xf>
    <xf numFmtId="0" fontId="19" fillId="0" borderId="0" xfId="0" applyFont="1" applyBorder="1" applyAlignment="1">
      <alignment vertical="center"/>
    </xf>
    <xf numFmtId="1" fontId="18" fillId="0" borderId="12" xfId="0" applyNumberFormat="1" applyFont="1" applyBorder="1" applyAlignment="1">
      <alignment horizontal="center" vertical="center"/>
    </xf>
    <xf numFmtId="1" fontId="18" fillId="0" borderId="12" xfId="0" applyNumberFormat="1" applyFont="1" applyBorder="1" applyAlignment="1">
      <alignment vertical="center"/>
    </xf>
    <xf numFmtId="0" fontId="18" fillId="0" borderId="12" xfId="0" applyNumberFormat="1" applyFont="1" applyBorder="1" applyAlignment="1">
      <alignment horizontal="center" vertical="center"/>
    </xf>
    <xf numFmtId="0" fontId="18" fillId="0" borderId="13" xfId="0" applyNumberFormat="1" applyFont="1" applyBorder="1" applyAlignment="1">
      <alignment horizontal="right" vertical="center"/>
    </xf>
    <xf numFmtId="0" fontId="18" fillId="0" borderId="15" xfId="0" applyNumberFormat="1" applyFont="1" applyBorder="1" applyAlignment="1">
      <alignment horizontal="center" vertical="center"/>
    </xf>
    <xf numFmtId="0" fontId="18" fillId="0" borderId="16" xfId="0" applyNumberFormat="1" applyFont="1" applyBorder="1" applyAlignment="1">
      <alignment horizontal="center" vertical="center"/>
    </xf>
    <xf numFmtId="0" fontId="32" fillId="0" borderId="16" xfId="0" applyFont="1" applyBorder="1" applyAlignment="1">
      <alignment horizontal="center" vertical="center"/>
    </xf>
    <xf numFmtId="0" fontId="32" fillId="0" borderId="17" xfId="0" applyFont="1" applyBorder="1" applyAlignment="1">
      <alignment horizontal="center" vertical="center"/>
    </xf>
    <xf numFmtId="0" fontId="22" fillId="0" borderId="11" xfId="0" applyFont="1" applyBorder="1" applyAlignment="1">
      <alignment horizontal="center" vertical="center"/>
    </xf>
    <xf numFmtId="0" fontId="22" fillId="0" borderId="12" xfId="0" applyFont="1" applyBorder="1" applyAlignment="1">
      <alignment horizontal="center" vertical="center"/>
    </xf>
    <xf numFmtId="0" fontId="22" fillId="0" borderId="13" xfId="0" applyFont="1" applyBorder="1" applyAlignment="1">
      <alignment horizontal="center" vertical="center"/>
    </xf>
    <xf numFmtId="0" fontId="22"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25" xfId="0" applyFont="1" applyBorder="1" applyAlignment="1">
      <alignment horizontal="center" vertical="center"/>
    </xf>
    <xf numFmtId="0" fontId="22" fillId="0" borderId="21" xfId="0" applyFont="1" applyBorder="1" applyAlignment="1">
      <alignment horizontal="center" vertical="center"/>
    </xf>
    <xf numFmtId="0" fontId="22" fillId="0" borderId="16" xfId="0" applyFont="1" applyBorder="1" applyAlignment="1">
      <alignment horizontal="center" vertical="center"/>
    </xf>
    <xf numFmtId="0" fontId="22" fillId="0" borderId="17" xfId="0" applyFont="1" applyBorder="1" applyAlignment="1">
      <alignment horizontal="center" vertical="center"/>
    </xf>
    <xf numFmtId="0" fontId="22" fillId="0" borderId="0" xfId="0" applyFont="1" applyBorder="1" applyAlignment="1">
      <alignment horizontal="center" vertical="center"/>
    </xf>
    <xf numFmtId="0" fontId="24" fillId="0" borderId="0" xfId="0" applyFont="1" applyBorder="1" applyAlignment="1">
      <alignment vertical="center"/>
    </xf>
    <xf numFmtId="3" fontId="33" fillId="0" borderId="0" xfId="0" applyNumberFormat="1" applyFont="1" applyBorder="1" applyAlignment="1">
      <alignment vertical="center"/>
    </xf>
    <xf numFmtId="0" fontId="34" fillId="0" borderId="0" xfId="0" applyFont="1" applyAlignment="1">
      <alignment vertical="center"/>
    </xf>
    <xf numFmtId="164" fontId="16" fillId="0" borderId="0" xfId="0" applyNumberFormat="1" applyFont="1" applyBorder="1" applyAlignment="1">
      <alignment vertical="center"/>
    </xf>
    <xf numFmtId="0" fontId="16" fillId="0" borderId="0" xfId="0" applyFont="1" applyAlignment="1">
      <alignment horizontal="right" vertical="center"/>
    </xf>
    <xf numFmtId="3" fontId="16" fillId="0" borderId="16" xfId="0" applyNumberFormat="1" applyFont="1" applyBorder="1" applyAlignment="1">
      <alignment vertical="center"/>
    </xf>
    <xf numFmtId="0" fontId="16" fillId="0" borderId="50" xfId="0" applyFont="1" applyBorder="1" applyAlignment="1">
      <alignment horizontal="center" vertical="center"/>
    </xf>
    <xf numFmtId="0" fontId="17" fillId="0" borderId="41" xfId="0" applyFont="1" applyBorder="1" applyAlignment="1">
      <alignment horizontal="center" vertical="center" wrapText="1"/>
    </xf>
    <xf numFmtId="0" fontId="16" fillId="0" borderId="41" xfId="0" applyFont="1" applyBorder="1" applyAlignment="1">
      <alignment horizontal="center" vertical="center"/>
    </xf>
    <xf numFmtId="14" fontId="16" fillId="0" borderId="6" xfId="0" applyNumberFormat="1" applyFont="1" applyBorder="1" applyAlignment="1">
      <alignment horizontal="center" vertical="center"/>
    </xf>
    <xf numFmtId="14" fontId="16" fillId="0" borderId="11" xfId="0" applyNumberFormat="1" applyFont="1" applyBorder="1" applyAlignment="1">
      <alignment horizontal="center" vertical="center"/>
    </xf>
    <xf numFmtId="14" fontId="16" fillId="0" borderId="14" xfId="0" applyNumberFormat="1" applyFont="1" applyBorder="1" applyAlignment="1">
      <alignment horizontal="center" vertical="center"/>
    </xf>
    <xf numFmtId="14" fontId="16" fillId="0" borderId="21" xfId="0" applyNumberFormat="1" applyFont="1" applyBorder="1" applyAlignment="1">
      <alignment horizontal="center" vertical="center"/>
    </xf>
    <xf numFmtId="0" fontId="17" fillId="0" borderId="0" xfId="0" applyFont="1" applyBorder="1" applyAlignment="1">
      <alignment horizontal="center" vertical="center" wrapText="1"/>
    </xf>
    <xf numFmtId="0" fontId="17" fillId="0" borderId="0" xfId="0" applyFont="1" applyFill="1" applyBorder="1" applyAlignment="1">
      <alignment horizontal="center" vertical="center" wrapText="1"/>
    </xf>
    <xf numFmtId="0" fontId="16" fillId="0" borderId="0" xfId="0" applyFont="1" applyAlignment="1">
      <alignment horizontal="left" vertical="center" wrapText="1"/>
    </xf>
    <xf numFmtId="0" fontId="29" fillId="0" borderId="11" xfId="0" applyFont="1" applyBorder="1" applyAlignment="1">
      <alignment horizontal="center" vertical="center"/>
    </xf>
    <xf numFmtId="1" fontId="16" fillId="0" borderId="0" xfId="0" applyNumberFormat="1" applyFont="1" applyFill="1" applyBorder="1" applyAlignment="1">
      <alignment horizontal="center" vertical="center"/>
    </xf>
    <xf numFmtId="14" fontId="16" fillId="0" borderId="0" xfId="0" applyNumberFormat="1" applyFont="1" applyBorder="1" applyAlignment="1">
      <alignment horizontal="center" vertical="center"/>
    </xf>
    <xf numFmtId="3" fontId="16" fillId="0" borderId="0" xfId="0" applyNumberFormat="1" applyFont="1" applyBorder="1" applyAlignment="1">
      <alignment vertical="center"/>
    </xf>
    <xf numFmtId="1" fontId="16" fillId="0" borderId="0" xfId="0" applyNumberFormat="1" applyFont="1" applyBorder="1" applyAlignment="1">
      <alignment horizontal="center" vertical="center"/>
    </xf>
    <xf numFmtId="0" fontId="19" fillId="0" borderId="0" xfId="0" applyFont="1" applyBorder="1" applyAlignment="1">
      <alignment horizontal="center" vertical="center"/>
    </xf>
    <xf numFmtId="3" fontId="19" fillId="0" borderId="0" xfId="0" applyNumberFormat="1" applyFont="1" applyBorder="1" applyAlignment="1">
      <alignment vertical="center"/>
    </xf>
    <xf numFmtId="3" fontId="19" fillId="0" borderId="0" xfId="0" applyNumberFormat="1" applyFont="1" applyBorder="1" applyAlignment="1">
      <alignment horizontal="center" vertical="center"/>
    </xf>
    <xf numFmtId="0" fontId="16" fillId="0" borderId="13" xfId="0" applyFont="1" applyBorder="1" applyAlignment="1">
      <alignment horizontal="center"/>
    </xf>
    <xf numFmtId="0" fontId="16" fillId="0" borderId="25" xfId="0" applyFont="1" applyBorder="1" applyAlignment="1">
      <alignment horizontal="center"/>
    </xf>
    <xf numFmtId="0" fontId="16" fillId="0" borderId="17" xfId="0" applyFont="1" applyBorder="1" applyAlignment="1">
      <alignment horizontal="center"/>
    </xf>
    <xf numFmtId="0" fontId="17" fillId="0" borderId="0" xfId="0" quotePrefix="1" applyFont="1" applyAlignment="1">
      <alignment vertical="center"/>
    </xf>
    <xf numFmtId="3" fontId="16" fillId="0" borderId="12" xfId="0" applyNumberFormat="1" applyFont="1" applyBorder="1" applyAlignment="1">
      <alignment horizontal="right" vertical="center"/>
    </xf>
    <xf numFmtId="3" fontId="16" fillId="0" borderId="13" xfId="0" applyNumberFormat="1" applyFont="1" applyBorder="1" applyAlignment="1">
      <alignment horizontal="right" vertical="center"/>
    </xf>
    <xf numFmtId="3" fontId="16" fillId="0" borderId="15" xfId="0" applyNumberFormat="1" applyFont="1" applyBorder="1" applyAlignment="1">
      <alignment horizontal="right" vertical="center"/>
    </xf>
    <xf numFmtId="3" fontId="16" fillId="0" borderId="25" xfId="0" applyNumberFormat="1" applyFont="1" applyBorder="1" applyAlignment="1">
      <alignment horizontal="right" vertical="center"/>
    </xf>
    <xf numFmtId="3" fontId="16" fillId="0" borderId="16" xfId="0" applyNumberFormat="1" applyFont="1" applyBorder="1" applyAlignment="1">
      <alignment horizontal="right" vertical="center"/>
    </xf>
    <xf numFmtId="3" fontId="16" fillId="0" borderId="17" xfId="0" applyNumberFormat="1" applyFont="1" applyBorder="1" applyAlignment="1">
      <alignment horizontal="right" vertical="center"/>
    </xf>
    <xf numFmtId="0" fontId="24" fillId="0" borderId="0" xfId="0" applyFont="1" applyBorder="1"/>
    <xf numFmtId="0" fontId="16" fillId="0" borderId="18" xfId="0" applyFont="1" applyBorder="1" applyAlignment="1">
      <alignment horizontal="center"/>
    </xf>
    <xf numFmtId="0" fontId="16" fillId="0" borderId="19" xfId="0" applyFont="1" applyBorder="1"/>
    <xf numFmtId="0" fontId="18" fillId="0" borderId="19" xfId="0" applyFont="1" applyBorder="1"/>
    <xf numFmtId="0" fontId="18" fillId="0" borderId="20" xfId="0" applyFont="1" applyBorder="1"/>
    <xf numFmtId="0" fontId="24" fillId="0" borderId="0" xfId="0" applyFont="1" applyAlignment="1">
      <alignment vertical="center"/>
    </xf>
    <xf numFmtId="0" fontId="17" fillId="0" borderId="8"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7" fillId="0" borderId="10" xfId="0" applyFont="1" applyFill="1" applyBorder="1" applyAlignment="1">
      <alignment horizontal="center" vertical="center" wrapText="1"/>
    </xf>
    <xf numFmtId="173" fontId="16" fillId="0" borderId="12" xfId="0" applyNumberFormat="1" applyFont="1" applyBorder="1" applyAlignment="1">
      <alignment vertical="center"/>
    </xf>
    <xf numFmtId="173" fontId="16" fillId="0" borderId="12" xfId="0" applyNumberFormat="1" applyFont="1" applyBorder="1" applyAlignment="1">
      <alignment horizontal="center" vertical="center"/>
    </xf>
    <xf numFmtId="2" fontId="24" fillId="0" borderId="0" xfId="0" applyNumberFormat="1" applyFont="1" applyAlignment="1">
      <alignment vertical="center"/>
    </xf>
    <xf numFmtId="173" fontId="16" fillId="0" borderId="15" xfId="0" applyNumberFormat="1" applyFont="1" applyBorder="1" applyAlignment="1">
      <alignment vertical="center"/>
    </xf>
    <xf numFmtId="173" fontId="16" fillId="0" borderId="15" xfId="0" applyNumberFormat="1" applyFont="1" applyBorder="1" applyAlignment="1">
      <alignment horizontal="center" vertical="center"/>
    </xf>
    <xf numFmtId="173" fontId="16" fillId="0" borderId="16" xfId="0" applyNumberFormat="1" applyFont="1" applyBorder="1" applyAlignment="1">
      <alignment vertical="center"/>
    </xf>
    <xf numFmtId="173" fontId="16" fillId="0" borderId="16" xfId="0" applyNumberFormat="1" applyFont="1" applyBorder="1" applyAlignment="1">
      <alignment horizontal="center" vertical="center"/>
    </xf>
    <xf numFmtId="0" fontId="35" fillId="0" borderId="0" xfId="0" applyFont="1" applyBorder="1" applyAlignment="1">
      <alignment horizontal="center" vertical="center"/>
    </xf>
    <xf numFmtId="14" fontId="24" fillId="0" borderId="0" xfId="0" applyNumberFormat="1" applyFont="1" applyBorder="1" applyAlignment="1">
      <alignment vertical="center"/>
    </xf>
    <xf numFmtId="173" fontId="24" fillId="0" borderId="0" xfId="0" applyNumberFormat="1" applyFont="1" applyBorder="1" applyAlignment="1">
      <alignment vertical="center"/>
    </xf>
    <xf numFmtId="173" fontId="24" fillId="0" borderId="0" xfId="0" applyNumberFormat="1" applyFont="1" applyBorder="1" applyAlignment="1">
      <alignment horizontal="center" vertical="center"/>
    </xf>
    <xf numFmtId="2" fontId="35" fillId="0" borderId="0" xfId="0" applyNumberFormat="1" applyFont="1" applyBorder="1" applyAlignment="1">
      <alignment vertical="center"/>
    </xf>
    <xf numFmtId="0" fontId="35" fillId="0" borderId="0" xfId="0" applyFont="1" applyBorder="1" applyAlignment="1">
      <alignment vertical="center"/>
    </xf>
    <xf numFmtId="173" fontId="24" fillId="0" borderId="0" xfId="0" applyNumberFormat="1" applyFont="1" applyAlignment="1">
      <alignment vertical="center"/>
    </xf>
    <xf numFmtId="0" fontId="36" fillId="0" borderId="41" xfId="0" applyFont="1" applyBorder="1" applyAlignment="1">
      <alignment horizontal="center" vertical="center"/>
    </xf>
    <xf numFmtId="0" fontId="36" fillId="0" borderId="41" xfId="0" applyFont="1" applyBorder="1" applyAlignment="1">
      <alignment horizontal="center" vertical="center" wrapText="1"/>
    </xf>
    <xf numFmtId="0" fontId="36" fillId="0" borderId="0" xfId="0" applyFont="1" applyBorder="1" applyAlignment="1">
      <alignment horizontal="center" vertical="center"/>
    </xf>
    <xf numFmtId="0" fontId="24" fillId="0" borderId="41" xfId="0" applyFont="1" applyBorder="1" applyAlignment="1">
      <alignment horizontal="center" vertical="center"/>
    </xf>
    <xf numFmtId="0" fontId="24" fillId="0" borderId="0" xfId="0" applyFont="1" applyBorder="1" applyAlignment="1">
      <alignment horizontal="center" vertical="center"/>
    </xf>
    <xf numFmtId="0" fontId="24" fillId="0" borderId="41" xfId="0" applyFont="1" applyBorder="1" applyAlignment="1">
      <alignment vertical="center"/>
    </xf>
    <xf numFmtId="0" fontId="24" fillId="0" borderId="0" xfId="0" applyFont="1" applyAlignment="1">
      <alignment horizontal="center" vertical="center"/>
    </xf>
    <xf numFmtId="0" fontId="18" fillId="0" borderId="20" xfId="0" applyFont="1" applyBorder="1" applyAlignment="1">
      <alignment vertical="center"/>
    </xf>
    <xf numFmtId="2" fontId="18" fillId="0" borderId="25" xfId="0" applyNumberFormat="1" applyFont="1" applyBorder="1" applyAlignment="1">
      <alignment vertical="center"/>
    </xf>
    <xf numFmtId="0" fontId="37" fillId="6" borderId="8" xfId="0" applyFont="1" applyFill="1" applyBorder="1" applyAlignment="1">
      <alignment horizontal="center" vertical="center"/>
    </xf>
    <xf numFmtId="0" fontId="17" fillId="6" borderId="9" xfId="0" applyFont="1" applyFill="1" applyBorder="1" applyAlignment="1">
      <alignment horizontal="center" vertical="center"/>
    </xf>
    <xf numFmtId="0" fontId="37" fillId="6" borderId="9" xfId="0" applyFont="1" applyFill="1" applyBorder="1" applyAlignment="1">
      <alignment horizontal="center" vertical="center"/>
    </xf>
    <xf numFmtId="0" fontId="17" fillId="6" borderId="10" xfId="0" applyFont="1" applyFill="1" applyBorder="1" applyAlignment="1">
      <alignment horizontal="center" vertical="center"/>
    </xf>
    <xf numFmtId="0" fontId="29" fillId="6" borderId="11" xfId="0" applyFont="1" applyFill="1" applyBorder="1" applyAlignment="1">
      <alignment horizontal="center" vertical="center"/>
    </xf>
    <xf numFmtId="14" fontId="16" fillId="6" borderId="12" xfId="0" applyNumberFormat="1" applyFont="1" applyFill="1" applyBorder="1" applyAlignment="1">
      <alignment horizontal="center" vertical="center"/>
    </xf>
    <xf numFmtId="0" fontId="29" fillId="6" borderId="12" xfId="0" applyFont="1" applyFill="1" applyBorder="1" applyAlignment="1">
      <alignment vertical="center"/>
    </xf>
    <xf numFmtId="0" fontId="38" fillId="6" borderId="12" xfId="0" applyFont="1" applyFill="1" applyBorder="1" applyAlignment="1">
      <alignment vertical="center"/>
    </xf>
    <xf numFmtId="174" fontId="29" fillId="6" borderId="12" xfId="3" applyNumberFormat="1" applyFont="1" applyFill="1" applyBorder="1" applyAlignment="1">
      <alignment vertical="center"/>
    </xf>
    <xf numFmtId="174" fontId="18" fillId="6" borderId="12" xfId="3" applyNumberFormat="1" applyFont="1" applyFill="1" applyBorder="1" applyAlignment="1">
      <alignment vertical="center"/>
    </xf>
    <xf numFmtId="0" fontId="29" fillId="6" borderId="14" xfId="0" applyFont="1" applyFill="1" applyBorder="1" applyAlignment="1">
      <alignment horizontal="center" vertical="center"/>
    </xf>
    <xf numFmtId="14" fontId="16" fillId="6" borderId="15" xfId="0" applyNumberFormat="1" applyFont="1" applyFill="1" applyBorder="1" applyAlignment="1">
      <alignment horizontal="center" vertical="center"/>
    </xf>
    <xf numFmtId="0" fontId="29" fillId="6" borderId="15" xfId="0" applyFont="1" applyFill="1" applyBorder="1" applyAlignment="1">
      <alignment vertical="center"/>
    </xf>
    <xf numFmtId="0" fontId="38" fillId="6" borderId="15" xfId="0" applyFont="1" applyFill="1" applyBorder="1" applyAlignment="1">
      <alignment vertical="center"/>
    </xf>
    <xf numFmtId="174" fontId="29" fillId="6" borderId="15" xfId="3" applyNumberFormat="1" applyFont="1" applyFill="1" applyBorder="1" applyAlignment="1">
      <alignment vertical="center"/>
    </xf>
    <xf numFmtId="0" fontId="29" fillId="6" borderId="21" xfId="0" applyFont="1" applyFill="1" applyBorder="1" applyAlignment="1">
      <alignment horizontal="center" vertical="center"/>
    </xf>
    <xf numFmtId="14" fontId="16" fillId="6" borderId="16" xfId="0" applyNumberFormat="1" applyFont="1" applyFill="1" applyBorder="1" applyAlignment="1">
      <alignment horizontal="center" vertical="center"/>
    </xf>
    <xf numFmtId="0" fontId="29" fillId="6" borderId="16" xfId="0" applyFont="1" applyFill="1" applyBorder="1" applyAlignment="1">
      <alignment vertical="center"/>
    </xf>
    <xf numFmtId="0" fontId="38" fillId="6" borderId="16" xfId="0" applyFont="1" applyFill="1" applyBorder="1" applyAlignment="1">
      <alignment vertical="center"/>
    </xf>
    <xf numFmtId="174" fontId="29" fillId="6" borderId="16" xfId="3" applyNumberFormat="1" applyFont="1" applyFill="1" applyBorder="1" applyAlignment="1">
      <alignment vertical="center"/>
    </xf>
    <xf numFmtId="0" fontId="22" fillId="0" borderId="0" xfId="0" applyFont="1" applyFill="1" applyAlignment="1">
      <alignment vertical="center"/>
    </xf>
    <xf numFmtId="0" fontId="16" fillId="0" borderId="0" xfId="0" applyFont="1" applyFill="1" applyAlignment="1">
      <alignment vertical="center"/>
    </xf>
    <xf numFmtId="0" fontId="22" fillId="0" borderId="0" xfId="0" applyFont="1" applyFill="1" applyBorder="1" applyAlignment="1">
      <alignment vertical="center"/>
    </xf>
    <xf numFmtId="0" fontId="16" fillId="0" borderId="0" xfId="0" applyFont="1" applyFill="1" applyBorder="1" applyAlignment="1">
      <alignment vertical="center"/>
    </xf>
    <xf numFmtId="9" fontId="22" fillId="0" borderId="0" xfId="0" applyNumberFormat="1" applyFont="1" applyFill="1" applyAlignment="1">
      <alignment vertical="center"/>
    </xf>
    <xf numFmtId="0" fontId="16" fillId="0" borderId="11" xfId="0" applyFont="1" applyBorder="1" applyAlignment="1">
      <alignment horizontal="left" vertical="center"/>
    </xf>
    <xf numFmtId="0" fontId="16" fillId="0" borderId="14" xfId="0" applyFont="1" applyBorder="1" applyAlignment="1">
      <alignment horizontal="left" vertical="center"/>
    </xf>
    <xf numFmtId="0" fontId="16" fillId="0" borderId="21" xfId="0" applyFont="1" applyBorder="1" applyAlignment="1">
      <alignment horizontal="left" vertical="center"/>
    </xf>
    <xf numFmtId="0" fontId="16" fillId="0" borderId="20" xfId="0" applyFont="1" applyBorder="1" applyAlignment="1">
      <alignment horizontal="center" vertical="center"/>
    </xf>
    <xf numFmtId="0" fontId="17" fillId="0" borderId="21" xfId="0" applyFont="1" applyFill="1" applyBorder="1" applyAlignment="1">
      <alignment horizontal="center" vertical="center"/>
    </xf>
    <xf numFmtId="0" fontId="17" fillId="0" borderId="16" xfId="0" applyFont="1" applyFill="1" applyBorder="1" applyAlignment="1">
      <alignment horizontal="center" vertical="center"/>
    </xf>
    <xf numFmtId="0" fontId="17" fillId="0" borderId="17" xfId="0" applyFont="1" applyFill="1" applyBorder="1" applyAlignment="1">
      <alignment horizontal="center" vertical="center"/>
    </xf>
    <xf numFmtId="0" fontId="17" fillId="0" borderId="41" xfId="0" applyFont="1" applyFill="1" applyBorder="1" applyAlignment="1">
      <alignment horizontal="center" vertical="center"/>
    </xf>
    <xf numFmtId="3" fontId="18" fillId="0" borderId="50" xfId="0" applyNumberFormat="1" applyFont="1" applyBorder="1" applyAlignment="1">
      <alignment horizontal="center" vertical="center"/>
    </xf>
    <xf numFmtId="3" fontId="18" fillId="0" borderId="51" xfId="0" applyNumberFormat="1" applyFont="1" applyBorder="1" applyAlignment="1">
      <alignment horizontal="center" vertical="center"/>
    </xf>
    <xf numFmtId="3" fontId="18" fillId="0" borderId="52" xfId="0" applyNumberFormat="1" applyFont="1" applyBorder="1" applyAlignment="1">
      <alignment horizontal="center" vertical="center"/>
    </xf>
    <xf numFmtId="0" fontId="16" fillId="0" borderId="41" xfId="0" applyFont="1" applyBorder="1" applyAlignment="1">
      <alignment vertical="center"/>
    </xf>
    <xf numFmtId="0" fontId="27" fillId="0" borderId="0" xfId="0" applyFont="1" applyAlignment="1">
      <alignment vertical="center"/>
    </xf>
    <xf numFmtId="3" fontId="16" fillId="0" borderId="12" xfId="1" applyNumberFormat="1" applyFont="1" applyBorder="1" applyAlignment="1">
      <alignment vertical="center"/>
    </xf>
    <xf numFmtId="3" fontId="18" fillId="0" borderId="12" xfId="1" applyNumberFormat="1" applyFont="1" applyBorder="1" applyAlignment="1">
      <alignment vertical="center"/>
    </xf>
    <xf numFmtId="176" fontId="18" fillId="0" borderId="13" xfId="1" applyNumberFormat="1" applyFont="1" applyBorder="1" applyAlignment="1">
      <alignment vertical="center"/>
    </xf>
    <xf numFmtId="3" fontId="16" fillId="0" borderId="15" xfId="1" applyNumberFormat="1" applyFont="1" applyBorder="1" applyAlignment="1">
      <alignment vertical="center"/>
    </xf>
    <xf numFmtId="3" fontId="16" fillId="0" borderId="16" xfId="1" applyNumberFormat="1" applyFont="1" applyBorder="1" applyAlignment="1">
      <alignment vertical="center"/>
    </xf>
    <xf numFmtId="176" fontId="18" fillId="0" borderId="0" xfId="1" applyNumberFormat="1" applyFont="1" applyBorder="1" applyAlignment="1">
      <alignment vertical="center"/>
    </xf>
    <xf numFmtId="0" fontId="16" fillId="0" borderId="11" xfId="0" quotePrefix="1" applyFont="1" applyBorder="1" applyAlignment="1">
      <alignment horizontal="center" vertical="center"/>
    </xf>
    <xf numFmtId="0" fontId="16" fillId="0" borderId="21" xfId="0" quotePrefix="1" applyFont="1" applyBorder="1" applyAlignment="1">
      <alignment horizontal="center" vertical="center"/>
    </xf>
    <xf numFmtId="0" fontId="16" fillId="0" borderId="0" xfId="0" applyFont="1" applyBorder="1" applyAlignment="1">
      <alignment horizontal="center" vertical="center" wrapText="1"/>
    </xf>
    <xf numFmtId="3" fontId="16" fillId="0" borderId="13" xfId="0" applyNumberFormat="1" applyFont="1" applyBorder="1" applyAlignment="1">
      <alignment vertical="center"/>
    </xf>
    <xf numFmtId="3" fontId="16" fillId="0" borderId="25" xfId="0" applyNumberFormat="1" applyFont="1" applyBorder="1" applyAlignment="1">
      <alignment vertical="center"/>
    </xf>
    <xf numFmtId="178" fontId="18" fillId="0" borderId="12" xfId="0" applyNumberFormat="1" applyFont="1" applyBorder="1" applyAlignment="1">
      <alignment vertical="center"/>
    </xf>
    <xf numFmtId="178" fontId="18" fillId="0" borderId="13" xfId="0" applyNumberFormat="1" applyFont="1" applyBorder="1" applyAlignment="1">
      <alignment vertical="center"/>
    </xf>
    <xf numFmtId="177" fontId="16" fillId="0" borderId="0" xfId="0" applyNumberFormat="1" applyFont="1" applyAlignment="1">
      <alignment vertical="center"/>
    </xf>
    <xf numFmtId="178" fontId="16" fillId="0" borderId="15" xfId="0" applyNumberFormat="1" applyFont="1" applyBorder="1" applyAlignment="1">
      <alignment horizontal="right" vertical="center"/>
    </xf>
    <xf numFmtId="178" fontId="16" fillId="0" borderId="25" xfId="0" applyNumberFormat="1" applyFont="1" applyBorder="1" applyAlignment="1">
      <alignment horizontal="right" vertical="center"/>
    </xf>
    <xf numFmtId="178" fontId="16" fillId="0" borderId="16" xfId="0" applyNumberFormat="1" applyFont="1" applyBorder="1" applyAlignment="1">
      <alignment horizontal="right" vertical="center"/>
    </xf>
    <xf numFmtId="178" fontId="16" fillId="0" borderId="17" xfId="0" applyNumberFormat="1" applyFont="1" applyBorder="1" applyAlignment="1">
      <alignment horizontal="right" vertical="center"/>
    </xf>
    <xf numFmtId="0" fontId="18" fillId="0" borderId="19" xfId="0" applyFont="1" applyBorder="1" applyAlignment="1">
      <alignment horizontal="left" vertical="center"/>
    </xf>
    <xf numFmtId="0" fontId="18" fillId="0" borderId="19" xfId="0" applyFont="1" applyBorder="1" applyAlignment="1">
      <alignment horizontal="center" vertical="center"/>
    </xf>
    <xf numFmtId="0" fontId="18" fillId="0" borderId="19" xfId="0" applyNumberFormat="1" applyFont="1" applyBorder="1" applyAlignment="1">
      <alignment horizontal="center" vertical="center"/>
    </xf>
    <xf numFmtId="3" fontId="18" fillId="0" borderId="20" xfId="0" applyNumberFormat="1" applyFont="1" applyBorder="1" applyAlignment="1">
      <alignment horizontal="right" vertical="center"/>
    </xf>
    <xf numFmtId="0" fontId="17" fillId="0" borderId="41" xfId="0" applyFont="1" applyFill="1" applyBorder="1" applyAlignment="1">
      <alignment horizontal="center" vertical="center" wrapText="1"/>
    </xf>
    <xf numFmtId="0" fontId="17" fillId="0" borderId="54" xfId="0" applyFont="1" applyBorder="1" applyAlignment="1">
      <alignment horizontal="center" vertical="center"/>
    </xf>
    <xf numFmtId="0" fontId="16" fillId="0" borderId="18" xfId="0" applyFont="1" applyBorder="1" applyAlignment="1">
      <alignment vertical="center"/>
    </xf>
    <xf numFmtId="14" fontId="16" fillId="0" borderId="19" xfId="0" applyNumberFormat="1" applyFont="1" applyBorder="1" applyAlignment="1">
      <alignment horizontal="center" vertical="center"/>
    </xf>
    <xf numFmtId="178" fontId="18" fillId="0" borderId="19" xfId="0" applyNumberFormat="1" applyFont="1" applyBorder="1" applyAlignment="1">
      <alignment vertical="center"/>
    </xf>
    <xf numFmtId="178" fontId="18" fillId="0" borderId="20" xfId="0" applyNumberFormat="1" applyFont="1" applyBorder="1" applyAlignment="1">
      <alignment vertical="center"/>
    </xf>
    <xf numFmtId="179" fontId="16" fillId="0" borderId="0" xfId="0" applyNumberFormat="1" applyFont="1" applyAlignment="1">
      <alignment vertical="center"/>
    </xf>
    <xf numFmtId="178" fontId="16" fillId="0" borderId="19" xfId="0" applyNumberFormat="1" applyFont="1" applyBorder="1" applyAlignment="1">
      <alignment vertical="center"/>
    </xf>
    <xf numFmtId="178" fontId="16" fillId="0" borderId="20" xfId="0" applyNumberFormat="1" applyFont="1" applyBorder="1" applyAlignment="1">
      <alignment vertical="center"/>
    </xf>
    <xf numFmtId="178" fontId="16" fillId="0" borderId="15" xfId="0" applyNumberFormat="1" applyFont="1" applyBorder="1" applyAlignment="1">
      <alignment vertical="center"/>
    </xf>
    <xf numFmtId="178" fontId="16" fillId="0" borderId="25" xfId="0" applyNumberFormat="1" applyFont="1" applyBorder="1" applyAlignment="1">
      <alignment vertical="center"/>
    </xf>
    <xf numFmtId="178" fontId="16" fillId="0" borderId="16" xfId="0" applyNumberFormat="1" applyFont="1" applyBorder="1" applyAlignment="1">
      <alignment vertical="center"/>
    </xf>
    <xf numFmtId="178" fontId="16" fillId="0" borderId="17" xfId="0" applyNumberFormat="1" applyFont="1" applyBorder="1" applyAlignment="1">
      <alignment vertical="center"/>
    </xf>
    <xf numFmtId="0" fontId="16" fillId="0" borderId="15" xfId="0" applyNumberFormat="1" applyFont="1" applyBorder="1" applyAlignment="1">
      <alignment horizontal="center" vertical="center"/>
    </xf>
    <xf numFmtId="0" fontId="16" fillId="0" borderId="15" xfId="0" applyFont="1" applyFill="1" applyBorder="1" applyAlignment="1">
      <alignment horizontal="center" vertical="center"/>
    </xf>
    <xf numFmtId="0" fontId="16" fillId="0" borderId="55" xfId="0" applyFont="1" applyFill="1" applyBorder="1" applyAlignment="1">
      <alignment horizontal="center" vertical="center"/>
    </xf>
    <xf numFmtId="0" fontId="17" fillId="0" borderId="56" xfId="0" applyFont="1" applyFill="1" applyBorder="1" applyAlignment="1">
      <alignment horizontal="center" vertical="center"/>
    </xf>
    <xf numFmtId="0" fontId="17" fillId="0" borderId="5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12" xfId="0" applyFont="1" applyFill="1" applyBorder="1" applyAlignment="1">
      <alignment horizontal="center" vertical="center"/>
    </xf>
    <xf numFmtId="0" fontId="16" fillId="0" borderId="13" xfId="0" applyFont="1" applyFill="1" applyBorder="1" applyAlignment="1">
      <alignment horizontal="center" vertical="center"/>
    </xf>
    <xf numFmtId="0" fontId="17" fillId="0" borderId="59" xfId="0" applyFont="1" applyFill="1" applyBorder="1" applyAlignment="1">
      <alignment horizontal="center" vertical="center"/>
    </xf>
    <xf numFmtId="0" fontId="16" fillId="0" borderId="38" xfId="0" applyFont="1" applyFill="1" applyBorder="1" applyAlignment="1">
      <alignment horizontal="center" vertical="center"/>
    </xf>
    <xf numFmtId="0" fontId="16" fillId="0" borderId="25" xfId="0" applyFont="1" applyFill="1" applyBorder="1" applyAlignment="1">
      <alignment horizontal="center" vertical="center"/>
    </xf>
    <xf numFmtId="0" fontId="17" fillId="0" borderId="60" xfId="0" applyFont="1" applyFill="1" applyBorder="1" applyAlignment="1">
      <alignment horizontal="center" vertical="center"/>
    </xf>
    <xf numFmtId="0" fontId="16" fillId="0" borderId="40" xfId="0" applyFont="1" applyFill="1" applyBorder="1" applyAlignment="1">
      <alignment horizontal="center" vertical="center"/>
    </xf>
    <xf numFmtId="0" fontId="16" fillId="0" borderId="16" xfId="0" applyFont="1" applyFill="1" applyBorder="1" applyAlignment="1">
      <alignment horizontal="center" vertical="center"/>
    </xf>
    <xf numFmtId="0" fontId="16" fillId="0" borderId="17" xfId="0" applyFont="1" applyFill="1" applyBorder="1" applyAlignment="1">
      <alignment horizontal="center" vertical="center"/>
    </xf>
    <xf numFmtId="0" fontId="17" fillId="0" borderId="8" xfId="0" applyNumberFormat="1" applyFont="1" applyFill="1" applyBorder="1" applyAlignment="1">
      <alignment horizontal="center" vertical="center"/>
    </xf>
    <xf numFmtId="0" fontId="17" fillId="0" borderId="9" xfId="0" applyNumberFormat="1" applyFont="1" applyFill="1" applyBorder="1" applyAlignment="1">
      <alignment horizontal="center" vertical="center"/>
    </xf>
    <xf numFmtId="0" fontId="17" fillId="0" borderId="10" xfId="0" applyNumberFormat="1" applyFont="1" applyFill="1" applyBorder="1" applyAlignment="1">
      <alignment horizontal="center" vertical="center"/>
    </xf>
    <xf numFmtId="0" fontId="16" fillId="0" borderId="11" xfId="0" applyNumberFormat="1" applyFont="1" applyBorder="1" applyAlignment="1">
      <alignment horizontal="center" vertical="center"/>
    </xf>
    <xf numFmtId="0" fontId="16" fillId="0" borderId="12" xfId="0" applyNumberFormat="1" applyFont="1" applyBorder="1" applyAlignment="1">
      <alignment horizontal="center" vertical="center"/>
    </xf>
    <xf numFmtId="0" fontId="18" fillId="0" borderId="12" xfId="0" applyNumberFormat="1" applyFont="1" applyBorder="1" applyAlignment="1">
      <alignment vertical="center"/>
    </xf>
    <xf numFmtId="0" fontId="16" fillId="0" borderId="14" xfId="0" applyNumberFormat="1" applyFont="1" applyBorder="1" applyAlignment="1">
      <alignment horizontal="center" vertical="center"/>
    </xf>
    <xf numFmtId="0" fontId="16" fillId="0" borderId="21" xfId="0" applyNumberFormat="1" applyFont="1" applyBorder="1" applyAlignment="1">
      <alignment horizontal="center" vertical="center"/>
    </xf>
    <xf numFmtId="0" fontId="16" fillId="0" borderId="16" xfId="0" applyNumberFormat="1" applyFont="1" applyBorder="1" applyAlignment="1">
      <alignment horizontal="center" vertical="center"/>
    </xf>
    <xf numFmtId="0" fontId="17" fillId="0" borderId="18" xfId="0" applyFont="1" applyFill="1" applyBorder="1" applyAlignment="1">
      <alignment horizontal="center" vertical="center"/>
    </xf>
    <xf numFmtId="0" fontId="17" fillId="0" borderId="19" xfId="0" applyFont="1" applyFill="1" applyBorder="1" applyAlignment="1">
      <alignment horizontal="center" vertical="center"/>
    </xf>
    <xf numFmtId="0" fontId="17" fillId="0" borderId="20" xfId="0" applyFont="1" applyFill="1" applyBorder="1" applyAlignment="1">
      <alignment horizontal="center" vertical="center"/>
    </xf>
    <xf numFmtId="3" fontId="16" fillId="0" borderId="13" xfId="0" applyNumberFormat="1" applyFont="1" applyBorder="1" applyAlignment="1">
      <alignment horizontal="center" vertical="center"/>
    </xf>
    <xf numFmtId="3" fontId="16" fillId="0" borderId="25" xfId="0" applyNumberFormat="1" applyFont="1" applyBorder="1" applyAlignment="1">
      <alignment horizontal="center" vertical="center"/>
    </xf>
    <xf numFmtId="3" fontId="16" fillId="0" borderId="17" xfId="0" applyNumberFormat="1" applyFont="1" applyBorder="1" applyAlignment="1">
      <alignment horizontal="center" vertical="center"/>
    </xf>
    <xf numFmtId="0" fontId="16" fillId="0" borderId="11" xfId="0" applyFont="1" applyFill="1" applyBorder="1" applyAlignment="1">
      <alignment horizontal="center" vertical="center"/>
    </xf>
    <xf numFmtId="14" fontId="16" fillId="0" borderId="12" xfId="0" applyNumberFormat="1" applyFont="1" applyFill="1" applyBorder="1" applyAlignment="1">
      <alignment horizontal="center" vertical="center"/>
    </xf>
    <xf numFmtId="0" fontId="18" fillId="0" borderId="12" xfId="0" applyFont="1" applyFill="1" applyBorder="1" applyAlignment="1">
      <alignment vertical="center"/>
    </xf>
    <xf numFmtId="178" fontId="18" fillId="0" borderId="13" xfId="0" applyNumberFormat="1" applyFont="1" applyFill="1" applyBorder="1" applyAlignment="1">
      <alignment vertical="center"/>
    </xf>
    <xf numFmtId="0" fontId="16" fillId="0" borderId="14" xfId="0" applyFont="1" applyFill="1" applyBorder="1" applyAlignment="1">
      <alignment horizontal="center" vertical="center"/>
    </xf>
    <xf numFmtId="14" fontId="16" fillId="0" borderId="15" xfId="0" applyNumberFormat="1" applyFont="1" applyFill="1" applyBorder="1" applyAlignment="1">
      <alignment horizontal="center" vertical="center"/>
    </xf>
    <xf numFmtId="0" fontId="16" fillId="0" borderId="21" xfId="0" applyFont="1" applyFill="1" applyBorder="1" applyAlignment="1">
      <alignment horizontal="center" vertical="center"/>
    </xf>
    <xf numFmtId="14" fontId="16" fillId="0" borderId="16" xfId="0" applyNumberFormat="1" applyFont="1" applyFill="1" applyBorder="1" applyAlignment="1">
      <alignment horizontal="center" vertical="center"/>
    </xf>
    <xf numFmtId="178" fontId="16" fillId="0" borderId="25" xfId="0" applyNumberFormat="1" applyFont="1" applyFill="1" applyBorder="1" applyAlignment="1">
      <alignment vertical="center"/>
    </xf>
    <xf numFmtId="0" fontId="16" fillId="0" borderId="16" xfId="0" applyFont="1" applyFill="1" applyBorder="1" applyAlignment="1">
      <alignment vertical="center"/>
    </xf>
    <xf numFmtId="178" fontId="16" fillId="0" borderId="17" xfId="0" applyNumberFormat="1" applyFont="1" applyFill="1" applyBorder="1" applyAlignment="1">
      <alignment vertical="center"/>
    </xf>
    <xf numFmtId="181" fontId="16" fillId="0" borderId="12" xfId="0" applyNumberFormat="1" applyFont="1" applyBorder="1" applyAlignment="1">
      <alignment horizontal="center" vertical="center"/>
    </xf>
    <xf numFmtId="181" fontId="16" fillId="0" borderId="15" xfId="0" applyNumberFormat="1" applyFont="1" applyBorder="1" applyAlignment="1">
      <alignment horizontal="center" vertical="center"/>
    </xf>
    <xf numFmtId="181" fontId="16" fillId="0" borderId="16" xfId="0" applyNumberFormat="1" applyFont="1" applyBorder="1" applyAlignment="1">
      <alignment horizontal="center" vertical="center"/>
    </xf>
    <xf numFmtId="180" fontId="16" fillId="0" borderId="0" xfId="0" applyNumberFormat="1" applyFont="1" applyAlignment="1">
      <alignment vertical="center"/>
    </xf>
    <xf numFmtId="3" fontId="16" fillId="0" borderId="12" xfId="0" applyNumberFormat="1" applyFont="1" applyFill="1" applyBorder="1" applyAlignment="1">
      <alignment vertical="center"/>
    </xf>
    <xf numFmtId="183" fontId="18" fillId="0" borderId="12" xfId="0" applyNumberFormat="1" applyFont="1" applyFill="1" applyBorder="1" applyAlignment="1">
      <alignment vertical="center"/>
    </xf>
    <xf numFmtId="184" fontId="18" fillId="0" borderId="12" xfId="0" applyNumberFormat="1" applyFont="1" applyFill="1" applyBorder="1" applyAlignment="1">
      <alignment vertical="center"/>
    </xf>
    <xf numFmtId="3" fontId="16" fillId="0" borderId="15" xfId="0" applyNumberFormat="1" applyFont="1" applyFill="1" applyBorder="1" applyAlignment="1">
      <alignment vertical="center"/>
    </xf>
    <xf numFmtId="3" fontId="16" fillId="0" borderId="16" xfId="0" applyNumberFormat="1" applyFont="1" applyFill="1" applyBorder="1" applyAlignment="1">
      <alignment vertical="center"/>
    </xf>
    <xf numFmtId="0" fontId="16" fillId="0" borderId="13" xfId="0" applyFont="1" applyFill="1" applyBorder="1" applyAlignment="1">
      <alignment horizontal="left" vertical="center"/>
    </xf>
    <xf numFmtId="0" fontId="16" fillId="0" borderId="12" xfId="0" applyFont="1" applyFill="1" applyBorder="1" applyAlignment="1">
      <alignment horizontal="left" vertical="center"/>
    </xf>
    <xf numFmtId="0" fontId="16" fillId="0" borderId="25" xfId="0" applyFont="1" applyFill="1" applyBorder="1" applyAlignment="1">
      <alignment horizontal="left" vertical="center"/>
    </xf>
    <xf numFmtId="0" fontId="16" fillId="0" borderId="15" xfId="0" applyFont="1" applyFill="1" applyBorder="1" applyAlignment="1">
      <alignment horizontal="left" vertical="center"/>
    </xf>
    <xf numFmtId="0" fontId="16" fillId="0" borderId="17" xfId="0" applyFont="1" applyFill="1" applyBorder="1" applyAlignment="1">
      <alignment horizontal="left" vertical="center"/>
    </xf>
    <xf numFmtId="0" fontId="16" fillId="0" borderId="16" xfId="0" applyFont="1" applyFill="1" applyBorder="1" applyAlignment="1">
      <alignment horizontal="left" vertical="center"/>
    </xf>
    <xf numFmtId="0" fontId="22" fillId="0" borderId="0" xfId="0" applyFont="1" applyBorder="1" applyAlignment="1">
      <alignment horizontal="left" vertical="center"/>
    </xf>
    <xf numFmtId="9" fontId="22" fillId="0" borderId="0" xfId="0" applyNumberFormat="1" applyFont="1" applyBorder="1" applyAlignment="1">
      <alignment horizontal="left" vertical="center"/>
    </xf>
    <xf numFmtId="171" fontId="16" fillId="0" borderId="21" xfId="0" applyNumberFormat="1" applyFont="1" applyBorder="1" applyAlignment="1">
      <alignment horizontal="center" vertical="center" wrapText="1"/>
    </xf>
    <xf numFmtId="171" fontId="16" fillId="0" borderId="16" xfId="0" applyNumberFormat="1" applyFont="1" applyBorder="1" applyAlignment="1">
      <alignment horizontal="center" vertical="center" wrapText="1"/>
    </xf>
    <xf numFmtId="171" fontId="16" fillId="0" borderId="17" xfId="0" applyNumberFormat="1" applyFont="1" applyBorder="1" applyAlignment="1">
      <alignment horizontal="center" vertical="center" wrapText="1"/>
    </xf>
    <xf numFmtId="3" fontId="18" fillId="0" borderId="19" xfId="0" applyNumberFormat="1" applyFont="1" applyBorder="1"/>
    <xf numFmtId="0" fontId="17" fillId="0" borderId="8"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9" fontId="16" fillId="0" borderId="12" xfId="0" applyNumberFormat="1" applyFont="1" applyBorder="1" applyAlignment="1">
      <alignment horizontal="center"/>
    </xf>
    <xf numFmtId="9" fontId="16" fillId="0" borderId="13" xfId="0" applyNumberFormat="1" applyFont="1" applyBorder="1" applyAlignment="1">
      <alignment horizontal="center"/>
    </xf>
    <xf numFmtId="9" fontId="16" fillId="0" borderId="15" xfId="0" applyNumberFormat="1" applyFont="1" applyBorder="1" applyAlignment="1">
      <alignment horizontal="center"/>
    </xf>
    <xf numFmtId="9" fontId="16" fillId="0" borderId="25" xfId="0" applyNumberFormat="1" applyFont="1" applyBorder="1" applyAlignment="1">
      <alignment horizontal="center"/>
    </xf>
    <xf numFmtId="10" fontId="16" fillId="0" borderId="25" xfId="0" applyNumberFormat="1" applyFont="1" applyBorder="1" applyAlignment="1">
      <alignment horizontal="center"/>
    </xf>
    <xf numFmtId="9" fontId="16" fillId="0" borderId="16" xfId="0" applyNumberFormat="1" applyFont="1" applyBorder="1" applyAlignment="1">
      <alignment horizontal="center"/>
    </xf>
    <xf numFmtId="10" fontId="16" fillId="0" borderId="17" xfId="0" applyNumberFormat="1" applyFont="1" applyBorder="1" applyAlignment="1">
      <alignment horizontal="center"/>
    </xf>
    <xf numFmtId="0" fontId="17" fillId="0" borderId="8" xfId="0" applyFont="1" applyFill="1" applyBorder="1" applyAlignment="1">
      <alignment horizontal="center"/>
    </xf>
    <xf numFmtId="0" fontId="17" fillId="0" borderId="9" xfId="0" applyFont="1" applyFill="1" applyBorder="1" applyAlignment="1">
      <alignment horizontal="center"/>
    </xf>
    <xf numFmtId="0" fontId="17" fillId="0" borderId="10" xfId="0" applyFont="1" applyFill="1" applyBorder="1" applyAlignment="1">
      <alignment horizontal="center"/>
    </xf>
    <xf numFmtId="0" fontId="16" fillId="0" borderId="11" xfId="0" applyFont="1" applyFill="1" applyBorder="1" applyAlignment="1">
      <alignment horizontal="center"/>
    </xf>
    <xf numFmtId="0" fontId="18" fillId="0" borderId="12" xfId="0" applyFont="1" applyFill="1" applyBorder="1"/>
    <xf numFmtId="0" fontId="16" fillId="0" borderId="12" xfId="0" applyFont="1" applyFill="1" applyBorder="1" applyAlignment="1">
      <alignment horizontal="center"/>
    </xf>
    <xf numFmtId="3" fontId="18" fillId="0" borderId="12" xfId="0" applyNumberFormat="1" applyFont="1" applyFill="1" applyBorder="1"/>
    <xf numFmtId="182" fontId="18" fillId="0" borderId="13" xfId="0" applyNumberFormat="1" applyFont="1" applyFill="1" applyBorder="1"/>
    <xf numFmtId="0" fontId="16" fillId="0" borderId="14" xfId="0" applyFont="1" applyFill="1" applyBorder="1" applyAlignment="1">
      <alignment horizontal="center"/>
    </xf>
    <xf numFmtId="0" fontId="16" fillId="0" borderId="15" xfId="0" applyFont="1" applyFill="1" applyBorder="1" applyAlignment="1">
      <alignment horizontal="center"/>
    </xf>
    <xf numFmtId="0" fontId="16" fillId="0" borderId="21" xfId="0" applyFont="1" applyFill="1" applyBorder="1" applyAlignment="1">
      <alignment horizontal="center"/>
    </xf>
    <xf numFmtId="0" fontId="16" fillId="0" borderId="16" xfId="0" applyFont="1" applyFill="1" applyBorder="1"/>
    <xf numFmtId="0" fontId="16" fillId="0" borderId="16" xfId="0" applyFont="1" applyFill="1" applyBorder="1" applyAlignment="1">
      <alignment horizontal="center"/>
    </xf>
    <xf numFmtId="182" fontId="16" fillId="0" borderId="0" xfId="0" applyNumberFormat="1" applyFont="1"/>
    <xf numFmtId="0" fontId="17" fillId="0" borderId="8" xfId="0" applyFont="1" applyFill="1" applyBorder="1"/>
    <xf numFmtId="0" fontId="17" fillId="0" borderId="10" xfId="0" applyFont="1" applyFill="1" applyBorder="1"/>
    <xf numFmtId="0" fontId="16" fillId="0" borderId="11" xfId="0" applyFont="1" applyFill="1" applyBorder="1"/>
    <xf numFmtId="0" fontId="16" fillId="0" borderId="13" xfId="0" applyFont="1" applyFill="1" applyBorder="1"/>
    <xf numFmtId="3" fontId="16" fillId="0" borderId="13" xfId="0" applyNumberFormat="1" applyFont="1" applyFill="1" applyBorder="1" applyAlignment="1">
      <alignment horizontal="center"/>
    </xf>
    <xf numFmtId="0" fontId="16" fillId="0" borderId="14" xfId="0" applyFont="1" applyFill="1" applyBorder="1"/>
    <xf numFmtId="0" fontId="16" fillId="0" borderId="25" xfId="0" applyFont="1" applyFill="1" applyBorder="1"/>
    <xf numFmtId="3" fontId="16" fillId="0" borderId="17" xfId="0" applyNumberFormat="1" applyFont="1" applyFill="1" applyBorder="1" applyAlignment="1">
      <alignment horizontal="center"/>
    </xf>
    <xf numFmtId="0" fontId="16" fillId="0" borderId="21" xfId="0" applyFont="1" applyFill="1" applyBorder="1"/>
    <xf numFmtId="0" fontId="16" fillId="0" borderId="17" xfId="0" applyFont="1" applyFill="1" applyBorder="1"/>
    <xf numFmtId="0" fontId="16" fillId="0" borderId="0" xfId="0" applyFont="1" applyFill="1" applyBorder="1"/>
    <xf numFmtId="0" fontId="16" fillId="0" borderId="0" xfId="0" applyFont="1" applyFill="1" applyBorder="1" applyAlignment="1">
      <alignment horizontal="center"/>
    </xf>
    <xf numFmtId="185" fontId="18" fillId="0" borderId="13" xfId="0" applyNumberFormat="1" applyFont="1" applyBorder="1"/>
    <xf numFmtId="185" fontId="21" fillId="0" borderId="10" xfId="0" applyNumberFormat="1" applyFont="1" applyBorder="1"/>
    <xf numFmtId="0" fontId="16" fillId="0" borderId="8" xfId="0" applyFont="1" applyBorder="1" applyAlignment="1">
      <alignment horizontal="center"/>
    </xf>
    <xf numFmtId="0" fontId="16" fillId="0" borderId="9" xfId="0" applyFont="1" applyBorder="1" applyAlignment="1">
      <alignment horizontal="center"/>
    </xf>
    <xf numFmtId="0" fontId="16" fillId="0" borderId="10" xfId="0" applyFont="1" applyBorder="1" applyAlignment="1">
      <alignment horizontal="center"/>
    </xf>
    <xf numFmtId="0" fontId="16" fillId="0" borderId="11" xfId="0" quotePrefix="1" applyFont="1" applyBorder="1" applyAlignment="1">
      <alignment horizontal="left"/>
    </xf>
    <xf numFmtId="0" fontId="16" fillId="0" borderId="13" xfId="0" applyFont="1" applyBorder="1"/>
    <xf numFmtId="0" fontId="16" fillId="0" borderId="14" xfId="0" quotePrefix="1" applyFont="1" applyBorder="1" applyAlignment="1">
      <alignment horizontal="left"/>
    </xf>
    <xf numFmtId="0" fontId="16" fillId="0" borderId="25" xfId="0" applyFont="1" applyBorder="1"/>
    <xf numFmtId="0" fontId="16" fillId="0" borderId="21" xfId="0" quotePrefix="1" applyFont="1" applyBorder="1" applyAlignment="1">
      <alignment horizontal="left"/>
    </xf>
    <xf numFmtId="0" fontId="16" fillId="0" borderId="17" xfId="0" applyFont="1" applyBorder="1"/>
    <xf numFmtId="0" fontId="17" fillId="0" borderId="61" xfId="0" applyFont="1" applyBorder="1" applyAlignment="1">
      <alignment horizontal="center" vertical="center" wrapText="1"/>
    </xf>
    <xf numFmtId="3" fontId="18" fillId="0" borderId="12" xfId="0" applyNumberFormat="1" applyFont="1" applyBorder="1" applyAlignment="1">
      <alignment horizontal="right"/>
    </xf>
    <xf numFmtId="3" fontId="18" fillId="0" borderId="13" xfId="0" applyNumberFormat="1" applyFont="1" applyBorder="1" applyAlignment="1">
      <alignment horizontal="right"/>
    </xf>
    <xf numFmtId="3" fontId="16" fillId="0" borderId="13" xfId="0" applyNumberFormat="1" applyFont="1" applyBorder="1"/>
    <xf numFmtId="3" fontId="16" fillId="0" borderId="25" xfId="0" applyNumberFormat="1" applyFont="1" applyBorder="1"/>
    <xf numFmtId="3" fontId="16" fillId="0" borderId="17" xfId="0" applyNumberFormat="1" applyFont="1" applyBorder="1"/>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16" fillId="0" borderId="10" xfId="0" applyFont="1" applyBorder="1" applyAlignment="1">
      <alignment horizontal="center" vertical="center"/>
    </xf>
    <xf numFmtId="9" fontId="16" fillId="0" borderId="51" xfId="0" applyNumberFormat="1" applyFont="1" applyBorder="1" applyAlignment="1">
      <alignment horizontal="center" vertical="center"/>
    </xf>
    <xf numFmtId="9" fontId="16" fillId="0" borderId="52" xfId="0" applyNumberFormat="1" applyFont="1" applyBorder="1" applyAlignment="1">
      <alignment horizontal="center" vertical="center"/>
    </xf>
    <xf numFmtId="0" fontId="16" fillId="0" borderId="8" xfId="0" applyFont="1" applyFill="1" applyBorder="1" applyAlignment="1">
      <alignment horizontal="center" vertical="center" wrapText="1"/>
    </xf>
    <xf numFmtId="0" fontId="16" fillId="0" borderId="9" xfId="0" applyFont="1" applyFill="1" applyBorder="1" applyAlignment="1">
      <alignment horizontal="center" vertical="center" wrapText="1"/>
    </xf>
    <xf numFmtId="0" fontId="16" fillId="0" borderId="10" xfId="0" applyFont="1" applyFill="1" applyBorder="1" applyAlignment="1">
      <alignment horizontal="center" vertical="center" wrapText="1"/>
    </xf>
    <xf numFmtId="185" fontId="18" fillId="0" borderId="25" xfId="0" applyNumberFormat="1" applyFont="1" applyBorder="1" applyAlignment="1">
      <alignment vertical="center"/>
    </xf>
    <xf numFmtId="0" fontId="16" fillId="0" borderId="41" xfId="0" applyFont="1" applyBorder="1" applyAlignment="1">
      <alignment horizontal="center" vertical="center" wrapText="1"/>
    </xf>
    <xf numFmtId="0" fontId="16" fillId="0" borderId="62" xfId="0" applyFont="1" applyBorder="1" applyAlignment="1">
      <alignment horizontal="center" vertical="center"/>
    </xf>
    <xf numFmtId="0" fontId="17" fillId="0" borderId="0" xfId="0" applyFont="1" applyFill="1" applyBorder="1" applyAlignment="1">
      <alignment horizontal="center" vertical="center"/>
    </xf>
    <xf numFmtId="0" fontId="18" fillId="0" borderId="20" xfId="0" applyFont="1" applyBorder="1" applyAlignment="1">
      <alignment horizontal="center" vertical="center"/>
    </xf>
    <xf numFmtId="0" fontId="17" fillId="0" borderId="8" xfId="0" applyFont="1" applyBorder="1" applyAlignment="1">
      <alignment vertical="center"/>
    </xf>
    <xf numFmtId="0" fontId="17" fillId="0" borderId="9" xfId="0" applyFont="1" applyBorder="1" applyAlignment="1">
      <alignment vertical="center"/>
    </xf>
    <xf numFmtId="169" fontId="18" fillId="0" borderId="12" xfId="0" applyNumberFormat="1" applyFont="1" applyBorder="1" applyAlignment="1">
      <alignment horizontal="center" vertical="center"/>
    </xf>
    <xf numFmtId="165" fontId="16" fillId="0" borderId="15" xfId="0" applyNumberFormat="1" applyFont="1" applyBorder="1" applyAlignment="1">
      <alignment horizontal="center" vertical="center"/>
    </xf>
    <xf numFmtId="10" fontId="18" fillId="0" borderId="13" xfId="0" applyNumberFormat="1" applyFont="1" applyBorder="1" applyAlignment="1">
      <alignment horizontal="center" vertical="center"/>
    </xf>
    <xf numFmtId="3" fontId="18" fillId="0" borderId="12" xfId="0" applyNumberFormat="1" applyFont="1" applyBorder="1" applyAlignment="1">
      <alignment horizontal="center"/>
    </xf>
    <xf numFmtId="0" fontId="18" fillId="0" borderId="12" xfId="0" applyFont="1" applyBorder="1" applyAlignment="1">
      <alignment horizontal="center" vertical="center" shrinkToFit="1"/>
    </xf>
    <xf numFmtId="3" fontId="18" fillId="0" borderId="13" xfId="0" applyNumberFormat="1" applyFont="1" applyBorder="1" applyAlignment="1">
      <alignment horizontal="center" vertical="center"/>
    </xf>
    <xf numFmtId="3" fontId="21" fillId="0" borderId="10" xfId="0" applyNumberFormat="1" applyFont="1" applyBorder="1" applyAlignment="1">
      <alignment horizontal="center" vertical="center"/>
    </xf>
    <xf numFmtId="3" fontId="27" fillId="0" borderId="9" xfId="0" applyNumberFormat="1" applyFont="1" applyBorder="1" applyAlignment="1">
      <alignment horizontal="center"/>
    </xf>
    <xf numFmtId="3" fontId="21" fillId="0" borderId="9" xfId="0" applyNumberFormat="1" applyFont="1" applyBorder="1" applyAlignment="1">
      <alignment horizontal="center" vertical="center"/>
    </xf>
    <xf numFmtId="43" fontId="16" fillId="0" borderId="12" xfId="1" applyFont="1" applyBorder="1" applyAlignment="1">
      <alignment vertical="center"/>
    </xf>
    <xf numFmtId="43" fontId="16" fillId="0" borderId="15" xfId="1" applyFont="1" applyBorder="1" applyAlignment="1">
      <alignment vertical="center"/>
    </xf>
    <xf numFmtId="43" fontId="16" fillId="0" borderId="16" xfId="1" applyFont="1" applyBorder="1" applyAlignment="1">
      <alignment vertical="center"/>
    </xf>
    <xf numFmtId="169" fontId="18" fillId="0" borderId="13" xfId="0" applyNumberFormat="1" applyFont="1" applyBorder="1" applyAlignment="1">
      <alignment horizontal="center" vertical="center"/>
    </xf>
    <xf numFmtId="1" fontId="16" fillId="0" borderId="12" xfId="0" applyNumberFormat="1" applyFont="1" applyBorder="1" applyAlignment="1">
      <alignment horizontal="center" vertical="center"/>
    </xf>
    <xf numFmtId="1" fontId="16" fillId="0" borderId="15" xfId="0" applyNumberFormat="1" applyFont="1" applyBorder="1" applyAlignment="1">
      <alignment horizontal="center" vertical="center"/>
    </xf>
    <xf numFmtId="1" fontId="16" fillId="0" borderId="6" xfId="0" applyNumberFormat="1" applyFont="1" applyBorder="1" applyAlignment="1">
      <alignment horizontal="center" vertical="center"/>
    </xf>
    <xf numFmtId="9" fontId="16" fillId="0" borderId="15" xfId="0" applyNumberFormat="1" applyFont="1" applyBorder="1" applyAlignment="1">
      <alignment vertical="center"/>
    </xf>
    <xf numFmtId="9" fontId="16" fillId="0" borderId="0" xfId="0" applyNumberFormat="1" applyFont="1" applyAlignment="1">
      <alignment vertical="center"/>
    </xf>
    <xf numFmtId="172" fontId="17" fillId="0" borderId="8" xfId="0" applyNumberFormat="1" applyFont="1" applyBorder="1" applyAlignment="1">
      <alignment horizontal="center" vertical="center" wrapText="1"/>
    </xf>
    <xf numFmtId="172" fontId="17" fillId="0" borderId="9" xfId="0" applyNumberFormat="1" applyFont="1" applyBorder="1" applyAlignment="1">
      <alignment horizontal="center" vertical="center" wrapText="1"/>
    </xf>
    <xf numFmtId="172" fontId="17" fillId="0" borderId="10" xfId="0" applyNumberFormat="1" applyFont="1" applyBorder="1" applyAlignment="1">
      <alignment horizontal="center" vertical="center" wrapText="1"/>
    </xf>
    <xf numFmtId="0" fontId="17" fillId="0" borderId="63" xfId="0" applyFont="1" applyBorder="1" applyAlignment="1">
      <alignment horizontal="center" vertical="center" wrapText="1"/>
    </xf>
    <xf numFmtId="0" fontId="17" fillId="0" borderId="2" xfId="0" applyFont="1" applyBorder="1" applyAlignment="1">
      <alignment horizontal="center" vertical="center"/>
    </xf>
    <xf numFmtId="172" fontId="17" fillId="0" borderId="63" xfId="0" applyNumberFormat="1" applyFont="1" applyBorder="1" applyAlignment="1">
      <alignment horizontal="center" vertical="center" wrapText="1"/>
    </xf>
    <xf numFmtId="172" fontId="17" fillId="0" borderId="41" xfId="0" applyNumberFormat="1" applyFont="1" applyBorder="1" applyAlignment="1">
      <alignment horizontal="center" vertical="center" wrapText="1"/>
    </xf>
    <xf numFmtId="0" fontId="16" fillId="0" borderId="63" xfId="0" applyFont="1" applyBorder="1" applyAlignment="1">
      <alignment horizontal="center" vertical="center"/>
    </xf>
    <xf numFmtId="0" fontId="16" fillId="0" borderId="63" xfId="0" applyFont="1" applyBorder="1" applyAlignment="1">
      <alignment vertical="center"/>
    </xf>
    <xf numFmtId="0" fontId="0" fillId="0" borderId="15" xfId="0" applyBorder="1"/>
    <xf numFmtId="14" fontId="0" fillId="0" borderId="15" xfId="0" applyNumberFormat="1" applyBorder="1"/>
    <xf numFmtId="0" fontId="40" fillId="0" borderId="22" xfId="0" applyFont="1" applyBorder="1"/>
    <xf numFmtId="0" fontId="16" fillId="0" borderId="64" xfId="0" applyFont="1" applyBorder="1"/>
    <xf numFmtId="0" fontId="0" fillId="0" borderId="0" xfId="0" applyAlignment="1">
      <alignment horizontal="center"/>
    </xf>
    <xf numFmtId="0" fontId="0" fillId="0" borderId="15" xfId="0" applyBorder="1" applyAlignment="1">
      <alignment horizontal="center"/>
    </xf>
    <xf numFmtId="14" fontId="0" fillId="0" borderId="0" xfId="0" applyNumberFormat="1"/>
    <xf numFmtId="0" fontId="0" fillId="0" borderId="15" xfId="0" applyBorder="1" applyAlignment="1">
      <alignment horizontal="center" vertical="center"/>
    </xf>
    <xf numFmtId="0" fontId="17" fillId="0" borderId="0" xfId="0" applyFont="1"/>
    <xf numFmtId="0" fontId="36" fillId="3" borderId="6" xfId="0" applyFont="1" applyFill="1" applyBorder="1" applyAlignment="1">
      <alignment horizontal="center" vertical="center" wrapText="1"/>
    </xf>
    <xf numFmtId="0" fontId="36" fillId="3" borderId="23" xfId="0" applyFont="1" applyFill="1" applyBorder="1" applyAlignment="1">
      <alignment horizontal="center" vertical="center" wrapText="1"/>
    </xf>
    <xf numFmtId="0" fontId="36" fillId="3" borderId="22" xfId="0" applyFont="1" applyFill="1" applyBorder="1" applyAlignment="1">
      <alignment horizontal="center" vertical="center" wrapText="1" shrinkToFit="1"/>
    </xf>
    <xf numFmtId="0" fontId="36" fillId="3" borderId="6" xfId="0" applyFont="1" applyFill="1" applyBorder="1" applyAlignment="1">
      <alignment horizontal="center" vertical="center" wrapText="1" shrinkToFit="1"/>
    </xf>
    <xf numFmtId="194" fontId="36" fillId="3" borderId="65" xfId="0" applyNumberFormat="1" applyFont="1" applyFill="1" applyBorder="1" applyAlignment="1">
      <alignment horizontal="center" vertical="center" wrapText="1"/>
    </xf>
    <xf numFmtId="0" fontId="36" fillId="3" borderId="65" xfId="0" applyFont="1" applyFill="1" applyBorder="1" applyAlignment="1">
      <alignment horizontal="center" vertical="center" wrapText="1"/>
    </xf>
    <xf numFmtId="194" fontId="36" fillId="3" borderId="6" xfId="0" applyNumberFormat="1" applyFont="1" applyFill="1" applyBorder="1" applyAlignment="1">
      <alignment horizontal="center" vertical="center" wrapText="1"/>
    </xf>
    <xf numFmtId="194" fontId="42" fillId="3" borderId="15" xfId="0" applyNumberFormat="1" applyFont="1" applyFill="1" applyBorder="1" applyAlignment="1">
      <alignment horizontal="center" vertical="center" wrapText="1"/>
    </xf>
    <xf numFmtId="0" fontId="42" fillId="3" borderId="15" xfId="0" applyFont="1" applyFill="1" applyBorder="1" applyAlignment="1">
      <alignment horizontal="center" vertical="center" wrapText="1"/>
    </xf>
    <xf numFmtId="0" fontId="36" fillId="3" borderId="15" xfId="0" applyFont="1" applyFill="1" applyBorder="1" applyAlignment="1">
      <alignment horizontal="center" vertical="center" wrapText="1"/>
    </xf>
    <xf numFmtId="0" fontId="36" fillId="7" borderId="15" xfId="0" applyFont="1" applyFill="1" applyBorder="1" applyAlignment="1">
      <alignment horizontal="center" vertical="center" wrapText="1"/>
    </xf>
    <xf numFmtId="0" fontId="36" fillId="0" borderId="15" xfId="0" applyFont="1" applyFill="1" applyBorder="1" applyAlignment="1">
      <alignment horizontal="center" vertical="center" wrapText="1"/>
    </xf>
    <xf numFmtId="0" fontId="36" fillId="0" borderId="0" xfId="0" applyFont="1" applyFill="1" applyAlignment="1">
      <alignment horizontal="center" vertical="center" wrapText="1"/>
    </xf>
    <xf numFmtId="0" fontId="26" fillId="0" borderId="15" xfId="0" applyFont="1" applyBorder="1"/>
    <xf numFmtId="194" fontId="26" fillId="0" borderId="15" xfId="0" applyNumberFormat="1" applyFont="1" applyBorder="1"/>
    <xf numFmtId="0" fontId="26" fillId="7" borderId="15" xfId="0" applyFont="1" applyFill="1" applyBorder="1"/>
    <xf numFmtId="16" fontId="26" fillId="0" borderId="15" xfId="0" applyNumberFormat="1" applyFont="1" applyBorder="1"/>
    <xf numFmtId="194" fontId="26" fillId="0" borderId="0" xfId="0" applyNumberFormat="1" applyFont="1"/>
    <xf numFmtId="0" fontId="0" fillId="0" borderId="0" xfId="0" applyAlignment="1">
      <alignment horizontal="left" indent="1"/>
    </xf>
    <xf numFmtId="0" fontId="5" fillId="0" borderId="0" xfId="9" applyAlignment="1" applyProtection="1">
      <alignment horizontal="left" indent="1"/>
    </xf>
    <xf numFmtId="3" fontId="0" fillId="0" borderId="15" xfId="0" applyNumberFormat="1" applyBorder="1" applyAlignment="1">
      <alignment horizontal="center"/>
    </xf>
    <xf numFmtId="13" fontId="0" fillId="0" borderId="15" xfId="0" applyNumberFormat="1" applyBorder="1" applyAlignment="1">
      <alignment horizontal="center"/>
    </xf>
    <xf numFmtId="3" fontId="0" fillId="0" borderId="15" xfId="0" applyNumberFormat="1" applyBorder="1"/>
    <xf numFmtId="13" fontId="0" fillId="0" borderId="15" xfId="0" applyNumberFormat="1" applyBorder="1"/>
    <xf numFmtId="0" fontId="43" fillId="0" borderId="15" xfId="0" applyFont="1" applyBorder="1"/>
    <xf numFmtId="9" fontId="0" fillId="0" borderId="15" xfId="0" applyNumberFormat="1" applyBorder="1" applyAlignment="1">
      <alignment horizontal="center"/>
    </xf>
    <xf numFmtId="10" fontId="0" fillId="0" borderId="15" xfId="0" applyNumberFormat="1" applyBorder="1" applyAlignment="1">
      <alignment horizontal="center"/>
    </xf>
    <xf numFmtId="4" fontId="0" fillId="0" borderId="0" xfId="0" applyNumberFormat="1"/>
    <xf numFmtId="0" fontId="45" fillId="0" borderId="0" xfId="0" applyFont="1"/>
    <xf numFmtId="0" fontId="45" fillId="0" borderId="0" xfId="0" applyFont="1" applyAlignment="1">
      <alignment horizontal="center"/>
    </xf>
    <xf numFmtId="14" fontId="45" fillId="0" borderId="0" xfId="0" applyNumberFormat="1" applyFont="1"/>
    <xf numFmtId="0" fontId="45" fillId="0" borderId="6" xfId="0" applyFont="1" applyBorder="1"/>
    <xf numFmtId="0" fontId="46" fillId="0" borderId="15" xfId="0" applyFont="1" applyBorder="1" applyAlignment="1">
      <alignment horizontal="center" vertical="center" wrapText="1"/>
    </xf>
    <xf numFmtId="0" fontId="47" fillId="0" borderId="0" xfId="0" applyFont="1"/>
    <xf numFmtId="0" fontId="46" fillId="0" borderId="15" xfId="0" applyFont="1" applyBorder="1" applyAlignment="1">
      <alignment horizontal="center"/>
    </xf>
    <xf numFmtId="0" fontId="23" fillId="5" borderId="0" xfId="0" applyFont="1" applyFill="1"/>
    <xf numFmtId="0" fontId="23" fillId="0" borderId="0" xfId="0" applyFont="1" applyAlignment="1">
      <alignment horizontal="center"/>
    </xf>
    <xf numFmtId="0" fontId="48" fillId="0" borderId="0" xfId="0" applyFont="1" applyAlignment="1">
      <alignment horizontal="center"/>
    </xf>
    <xf numFmtId="0" fontId="44" fillId="0" borderId="0" xfId="0" applyFont="1"/>
    <xf numFmtId="0" fontId="23" fillId="0" borderId="0" xfId="0" applyFont="1"/>
    <xf numFmtId="0" fontId="17" fillId="0" borderId="0" xfId="0" applyFont="1" applyAlignment="1">
      <alignment horizontal="center"/>
    </xf>
    <xf numFmtId="0" fontId="16" fillId="0" borderId="0" xfId="10" applyFont="1"/>
    <xf numFmtId="0" fontId="17" fillId="8" borderId="15" xfId="10" applyFont="1" applyFill="1" applyBorder="1"/>
    <xf numFmtId="0" fontId="16" fillId="0" borderId="15" xfId="10" applyFont="1" applyBorder="1"/>
    <xf numFmtId="14" fontId="16" fillId="0" borderId="15" xfId="10" applyNumberFormat="1" applyFont="1" applyBorder="1"/>
    <xf numFmtId="0" fontId="17" fillId="0" borderId="0" xfId="10" applyFont="1"/>
    <xf numFmtId="0" fontId="16" fillId="7" borderId="15" xfId="10" applyFont="1" applyFill="1" applyBorder="1"/>
    <xf numFmtId="0" fontId="16" fillId="9" borderId="38" xfId="10" applyFont="1" applyFill="1" applyBorder="1"/>
    <xf numFmtId="0" fontId="16" fillId="9" borderId="15" xfId="10" applyFont="1" applyFill="1" applyBorder="1"/>
    <xf numFmtId="0" fontId="16" fillId="0" borderId="12" xfId="10" applyFont="1" applyBorder="1"/>
    <xf numFmtId="0" fontId="51" fillId="0" borderId="0" xfId="10" applyFont="1"/>
    <xf numFmtId="0" fontId="16" fillId="0" borderId="0" xfId="10" applyFont="1" applyAlignment="1">
      <alignment horizontal="left" indent="4"/>
    </xf>
    <xf numFmtId="0" fontId="16" fillId="0" borderId="0" xfId="10" applyFont="1" applyAlignment="1">
      <alignment horizontal="left" indent="6"/>
    </xf>
    <xf numFmtId="0" fontId="17" fillId="0" borderId="0" xfId="10" applyFont="1" applyAlignment="1">
      <alignment horizontal="left" indent="4"/>
    </xf>
    <xf numFmtId="0" fontId="16" fillId="0" borderId="0" xfId="10" applyFont="1" applyAlignment="1">
      <alignment horizontal="left" indent="8"/>
    </xf>
    <xf numFmtId="0" fontId="16" fillId="0" borderId="0" xfId="10" applyFont="1" applyAlignment="1">
      <alignment horizontal="center"/>
    </xf>
    <xf numFmtId="0" fontId="31" fillId="0" borderId="0" xfId="10" applyFont="1" applyAlignment="1">
      <alignment horizontal="left" indent="4"/>
    </xf>
    <xf numFmtId="0" fontId="31" fillId="0" borderId="0" xfId="10" applyFont="1"/>
    <xf numFmtId="0" fontId="16" fillId="0" borderId="0" xfId="10" applyFont="1" applyFill="1" applyBorder="1"/>
    <xf numFmtId="0" fontId="16" fillId="0" borderId="0" xfId="10" quotePrefix="1" applyFont="1" applyFill="1" applyBorder="1"/>
    <xf numFmtId="14" fontId="16" fillId="0" borderId="0" xfId="10" applyNumberFormat="1" applyFont="1" applyFill="1" applyBorder="1"/>
    <xf numFmtId="0" fontId="53" fillId="0" borderId="0" xfId="0" applyFont="1"/>
    <xf numFmtId="0" fontId="54" fillId="0" borderId="15" xfId="0" applyFont="1" applyBorder="1" applyAlignment="1">
      <alignment horizontal="center"/>
    </xf>
    <xf numFmtId="0" fontId="55" fillId="0" borderId="15" xfId="0" applyFont="1" applyBorder="1"/>
    <xf numFmtId="0" fontId="53" fillId="0" borderId="15" xfId="0" applyFont="1" applyBorder="1"/>
    <xf numFmtId="0" fontId="53" fillId="0" borderId="15" xfId="0" applyFont="1" applyBorder="1" applyAlignment="1">
      <alignment horizontal="center"/>
    </xf>
    <xf numFmtId="0" fontId="53" fillId="0" borderId="15" xfId="0" applyFont="1" applyBorder="1" applyAlignment="1"/>
    <xf numFmtId="0" fontId="53" fillId="0" borderId="15" xfId="0" applyFont="1" applyBorder="1" applyAlignment="1">
      <alignment horizontal="left"/>
    </xf>
    <xf numFmtId="0" fontId="53" fillId="0" borderId="0" xfId="0" quotePrefix="1" applyFont="1"/>
    <xf numFmtId="0" fontId="54" fillId="0" borderId="15" xfId="0" applyFont="1" applyBorder="1"/>
    <xf numFmtId="0" fontId="42" fillId="0" borderId="15" xfId="0" applyFont="1" applyBorder="1"/>
    <xf numFmtId="0" fontId="53" fillId="0" borderId="0" xfId="0" applyFont="1" applyBorder="1"/>
    <xf numFmtId="0" fontId="54" fillId="0" borderId="0" xfId="0" applyFont="1" applyBorder="1"/>
    <xf numFmtId="166" fontId="53" fillId="0" borderId="15" xfId="1" applyNumberFormat="1" applyFont="1" applyBorder="1" applyAlignment="1">
      <alignment horizontal="center"/>
    </xf>
    <xf numFmtId="166" fontId="53" fillId="0" borderId="0" xfId="1" applyNumberFormat="1" applyFont="1" applyBorder="1" applyAlignment="1">
      <alignment horizontal="center"/>
    </xf>
    <xf numFmtId="166" fontId="53" fillId="0" borderId="15" xfId="1" applyNumberFormat="1" applyFont="1" applyBorder="1"/>
    <xf numFmtId="0" fontId="53" fillId="0" borderId="6" xfId="0" applyFont="1" applyBorder="1" applyAlignment="1">
      <alignment horizontal="center"/>
    </xf>
    <xf numFmtId="0" fontId="53" fillId="0" borderId="0" xfId="0" applyFont="1" applyBorder="1" applyAlignment="1">
      <alignment horizontal="center"/>
    </xf>
    <xf numFmtId="0" fontId="55" fillId="0" borderId="0" xfId="0" applyFont="1"/>
    <xf numFmtId="0" fontId="53" fillId="0" borderId="23" xfId="0" applyFont="1" applyBorder="1"/>
    <xf numFmtId="0" fontId="54" fillId="0" borderId="0" xfId="0" applyFont="1" applyBorder="1" applyAlignment="1">
      <alignment horizontal="center"/>
    </xf>
    <xf numFmtId="0" fontId="52" fillId="0" borderId="0" xfId="0" applyFont="1"/>
    <xf numFmtId="0" fontId="53" fillId="0" borderId="0" xfId="0" applyFont="1" applyAlignment="1"/>
    <xf numFmtId="0" fontId="53" fillId="0" borderId="0" xfId="0" applyFont="1" applyBorder="1" applyAlignment="1"/>
    <xf numFmtId="0" fontId="16" fillId="0" borderId="2" xfId="0" applyFont="1" applyBorder="1"/>
    <xf numFmtId="0" fontId="16" fillId="0" borderId="0" xfId="0" applyFont="1" applyAlignment="1">
      <alignment horizontal="center"/>
    </xf>
    <xf numFmtId="0" fontId="16" fillId="9" borderId="0" xfId="0" applyFont="1" applyFill="1" applyAlignment="1">
      <alignment horizontal="center"/>
    </xf>
    <xf numFmtId="43" fontId="16" fillId="9" borderId="0" xfId="1" applyFont="1" applyFill="1"/>
    <xf numFmtId="0" fontId="16" fillId="0" borderId="0" xfId="0" applyFont="1" applyFill="1"/>
    <xf numFmtId="0" fontId="16" fillId="10" borderId="0" xfId="0" applyFont="1" applyFill="1" applyAlignment="1">
      <alignment horizontal="center"/>
    </xf>
    <xf numFmtId="43" fontId="16" fillId="10" borderId="0" xfId="1" applyFont="1" applyFill="1"/>
    <xf numFmtId="0" fontId="16" fillId="3" borderId="0" xfId="0" applyFont="1" applyFill="1" applyAlignment="1">
      <alignment horizontal="center"/>
    </xf>
    <xf numFmtId="43" fontId="16" fillId="3" borderId="0" xfId="1" applyFont="1" applyFill="1"/>
    <xf numFmtId="0" fontId="16" fillId="2" borderId="0" xfId="0" applyFont="1" applyFill="1" applyAlignment="1">
      <alignment horizontal="center"/>
    </xf>
    <xf numFmtId="43" fontId="16" fillId="2" borderId="0" xfId="1" applyFont="1" applyFill="1"/>
    <xf numFmtId="0" fontId="16" fillId="7" borderId="0" xfId="0" applyFont="1" applyFill="1" applyAlignment="1">
      <alignment horizontal="center"/>
    </xf>
    <xf numFmtId="43" fontId="16" fillId="7" borderId="0" xfId="1" applyFont="1" applyFill="1"/>
    <xf numFmtId="0" fontId="32" fillId="5" borderId="0" xfId="0" applyFont="1" applyFill="1" applyAlignment="1">
      <alignment horizontal="center"/>
    </xf>
    <xf numFmtId="0" fontId="16" fillId="3" borderId="15" xfId="0" applyFont="1" applyFill="1" applyBorder="1"/>
    <xf numFmtId="0" fontId="56" fillId="0" borderId="0" xfId="0" applyFont="1"/>
    <xf numFmtId="0" fontId="16" fillId="3" borderId="66" xfId="0" applyFont="1" applyFill="1" applyBorder="1" applyAlignment="1">
      <alignment horizontal="center"/>
    </xf>
    <xf numFmtId="3" fontId="16" fillId="3" borderId="66" xfId="0" applyNumberFormat="1" applyFont="1" applyFill="1" applyBorder="1" applyAlignment="1">
      <alignment horizontal="center"/>
    </xf>
    <xf numFmtId="0" fontId="17" fillId="2" borderId="66" xfId="0" applyFont="1" applyFill="1" applyBorder="1" applyAlignment="1">
      <alignment horizontal="center" vertical="center" wrapText="1"/>
    </xf>
    <xf numFmtId="14" fontId="16" fillId="3" borderId="66" xfId="0" applyNumberFormat="1" applyFont="1" applyFill="1" applyBorder="1" applyAlignment="1">
      <alignment horizontal="center"/>
    </xf>
    <xf numFmtId="0" fontId="16" fillId="3" borderId="66" xfId="0" applyNumberFormat="1" applyFont="1" applyFill="1" applyBorder="1" applyAlignment="1">
      <alignment horizontal="center"/>
    </xf>
    <xf numFmtId="14" fontId="16" fillId="0" borderId="0" xfId="0" applyNumberFormat="1" applyFont="1" applyAlignment="1">
      <alignment horizontal="center"/>
    </xf>
    <xf numFmtId="14" fontId="16" fillId="0" borderId="0" xfId="0" applyNumberFormat="1" applyFont="1"/>
    <xf numFmtId="0" fontId="16" fillId="0" borderId="0" xfId="0" quotePrefix="1" applyFont="1"/>
    <xf numFmtId="0" fontId="16" fillId="5" borderId="15" xfId="0" applyFont="1" applyFill="1" applyBorder="1"/>
    <xf numFmtId="14" fontId="16" fillId="0" borderId="24" xfId="0" applyNumberFormat="1" applyFont="1" applyBorder="1" applyAlignment="1">
      <alignment horizontal="center"/>
    </xf>
    <xf numFmtId="0" fontId="31" fillId="2" borderId="0" xfId="0" applyFont="1" applyFill="1"/>
    <xf numFmtId="0" fontId="17" fillId="2" borderId="0" xfId="0" applyFont="1" applyFill="1"/>
    <xf numFmtId="0" fontId="17" fillId="0" borderId="0" xfId="0" applyFont="1" applyFill="1"/>
    <xf numFmtId="192" fontId="16" fillId="0" borderId="15" xfId="0" applyNumberFormat="1" applyFont="1" applyBorder="1"/>
    <xf numFmtId="192" fontId="16" fillId="0" borderId="0" xfId="0" applyNumberFormat="1" applyFont="1"/>
    <xf numFmtId="192" fontId="16" fillId="0" borderId="15" xfId="0" applyNumberFormat="1" applyFont="1" applyFill="1" applyBorder="1"/>
    <xf numFmtId="193" fontId="16" fillId="0" borderId="0" xfId="0" applyNumberFormat="1" applyFont="1"/>
    <xf numFmtId="0" fontId="16" fillId="11" borderId="67" xfId="0" applyFont="1" applyFill="1" applyBorder="1"/>
    <xf numFmtId="0" fontId="17" fillId="11" borderId="67" xfId="0" applyFont="1" applyFill="1" applyBorder="1"/>
    <xf numFmtId="0" fontId="31" fillId="11" borderId="68" xfId="0" applyFont="1" applyFill="1" applyBorder="1"/>
    <xf numFmtId="0" fontId="16" fillId="0" borderId="67" xfId="0" applyFont="1" applyBorder="1"/>
    <xf numFmtId="14" fontId="16" fillId="0" borderId="67" xfId="0" applyNumberFormat="1" applyFont="1" applyBorder="1"/>
    <xf numFmtId="0" fontId="16" fillId="0" borderId="69" xfId="0" applyNumberFormat="1" applyFont="1" applyBorder="1"/>
    <xf numFmtId="14" fontId="24" fillId="0" borderId="0" xfId="0" applyNumberFormat="1" applyFont="1" applyAlignment="1">
      <alignment horizontal="center"/>
    </xf>
    <xf numFmtId="0" fontId="16" fillId="0" borderId="69" xfId="0" applyFont="1" applyBorder="1"/>
    <xf numFmtId="0" fontId="31" fillId="12" borderId="0" xfId="0" applyFont="1" applyFill="1"/>
    <xf numFmtId="0" fontId="16" fillId="12" borderId="0" xfId="0" applyFont="1" applyFill="1"/>
    <xf numFmtId="0" fontId="31" fillId="11" borderId="0" xfId="0" applyFont="1" applyFill="1"/>
    <xf numFmtId="0" fontId="16" fillId="11" borderId="0" xfId="0" applyFont="1" applyFill="1"/>
    <xf numFmtId="0" fontId="16" fillId="12" borderId="15" xfId="0" applyFont="1" applyFill="1" applyBorder="1"/>
    <xf numFmtId="0" fontId="16" fillId="11" borderId="15" xfId="0" applyFont="1" applyFill="1" applyBorder="1"/>
    <xf numFmtId="0" fontId="17" fillId="11" borderId="15" xfId="0" applyFont="1" applyFill="1" applyBorder="1"/>
    <xf numFmtId="0" fontId="16" fillId="2" borderId="15" xfId="0" applyFont="1" applyFill="1" applyBorder="1"/>
    <xf numFmtId="0" fontId="20" fillId="0" borderId="15" xfId="0" applyFont="1" applyBorder="1"/>
    <xf numFmtId="0" fontId="20" fillId="0" borderId="15" xfId="0" applyNumberFormat="1" applyFont="1" applyBorder="1" applyAlignment="1">
      <alignment horizontal="center" vertical="center"/>
    </xf>
    <xf numFmtId="0" fontId="20" fillId="0" borderId="15" xfId="0" applyFont="1" applyBorder="1" applyAlignment="1">
      <alignment horizontal="center"/>
    </xf>
    <xf numFmtId="0" fontId="20" fillId="0" borderId="15" xfId="0" applyFont="1" applyFill="1" applyBorder="1"/>
    <xf numFmtId="0" fontId="26" fillId="0" borderId="15" xfId="0" applyFont="1" applyBorder="1" applyAlignment="1">
      <alignment horizontal="center"/>
    </xf>
    <xf numFmtId="4" fontId="26" fillId="8" borderId="15" xfId="0" applyNumberFormat="1" applyFont="1" applyFill="1" applyBorder="1"/>
    <xf numFmtId="3" fontId="26" fillId="8" borderId="15" xfId="0" applyNumberFormat="1" applyFont="1" applyFill="1" applyBorder="1" applyAlignment="1"/>
    <xf numFmtId="3" fontId="26" fillId="8" borderId="15" xfId="0" quotePrefix="1" applyNumberFormat="1" applyFont="1" applyFill="1" applyBorder="1"/>
    <xf numFmtId="4" fontId="26" fillId="0" borderId="15" xfId="0" applyNumberFormat="1" applyFont="1" applyBorder="1"/>
    <xf numFmtId="0" fontId="16" fillId="8" borderId="15" xfId="0" applyFont="1" applyFill="1" applyBorder="1"/>
    <xf numFmtId="0" fontId="16" fillId="0" borderId="0" xfId="0" applyFont="1" applyAlignment="1">
      <alignment horizontal="left"/>
    </xf>
    <xf numFmtId="4" fontId="16" fillId="0" borderId="0" xfId="0" applyNumberFormat="1" applyFont="1"/>
    <xf numFmtId="0" fontId="16" fillId="5" borderId="15" xfId="0" applyFont="1" applyFill="1" applyBorder="1" applyAlignment="1">
      <alignment horizontal="center"/>
    </xf>
    <xf numFmtId="0" fontId="32" fillId="0" borderId="0" xfId="0" applyFont="1"/>
    <xf numFmtId="4" fontId="20" fillId="13" borderId="15" xfId="0" applyNumberFormat="1" applyFont="1" applyFill="1" applyBorder="1" applyAlignment="1">
      <alignment horizontal="right"/>
    </xf>
    <xf numFmtId="0" fontId="16" fillId="0" borderId="70" xfId="0" applyFont="1" applyBorder="1"/>
    <xf numFmtId="0" fontId="16" fillId="0" borderId="71" xfId="0" applyFont="1" applyBorder="1"/>
    <xf numFmtId="0" fontId="16" fillId="0" borderId="71" xfId="0" applyFont="1" applyFill="1" applyBorder="1"/>
    <xf numFmtId="0" fontId="16" fillId="0" borderId="72" xfId="0" applyFont="1" applyBorder="1"/>
    <xf numFmtId="0" fontId="16" fillId="0" borderId="73" xfId="0" applyFont="1" applyBorder="1"/>
    <xf numFmtId="0" fontId="16" fillId="0" borderId="2" xfId="0" applyFont="1" applyFill="1" applyBorder="1"/>
    <xf numFmtId="0" fontId="16" fillId="0" borderId="74" xfId="0" applyFont="1" applyBorder="1"/>
    <xf numFmtId="0" fontId="16" fillId="7" borderId="2" xfId="0" applyFont="1" applyFill="1" applyBorder="1"/>
    <xf numFmtId="0" fontId="16" fillId="0" borderId="75" xfId="0" applyFont="1" applyBorder="1"/>
    <xf numFmtId="0" fontId="16" fillId="0" borderId="76" xfId="0" applyFont="1" applyBorder="1"/>
    <xf numFmtId="0" fontId="16" fillId="7" borderId="76" xfId="0" applyFont="1" applyFill="1" applyBorder="1"/>
    <xf numFmtId="0" fontId="16" fillId="0" borderId="77" xfId="0" applyFont="1" applyBorder="1"/>
    <xf numFmtId="3" fontId="16" fillId="0" borderId="0" xfId="0" applyNumberFormat="1" applyFont="1"/>
    <xf numFmtId="14" fontId="16" fillId="0" borderId="15" xfId="0" applyNumberFormat="1" applyFont="1" applyBorder="1"/>
    <xf numFmtId="0" fontId="16" fillId="0" borderId="65" xfId="0" applyFont="1" applyBorder="1"/>
    <xf numFmtId="0" fontId="16" fillId="0" borderId="78" xfId="0" applyFont="1" applyBorder="1"/>
    <xf numFmtId="0" fontId="16" fillId="0" borderId="53" xfId="0" applyFont="1" applyBorder="1"/>
    <xf numFmtId="0" fontId="16" fillId="0" borderId="58" xfId="0" applyFont="1" applyBorder="1"/>
    <xf numFmtId="0" fontId="45" fillId="0" borderId="15" xfId="0" applyFont="1" applyBorder="1" applyAlignment="1">
      <alignment horizontal="center"/>
    </xf>
    <xf numFmtId="14" fontId="45" fillId="0" borderId="15" xfId="0" applyNumberFormat="1" applyFont="1" applyBorder="1" applyAlignment="1">
      <alignment horizontal="center"/>
    </xf>
    <xf numFmtId="0" fontId="45" fillId="0" borderId="15" xfId="0" applyFont="1" applyBorder="1"/>
    <xf numFmtId="192" fontId="45" fillId="0" borderId="15" xfId="0" applyNumberFormat="1" applyFont="1" applyBorder="1"/>
    <xf numFmtId="192" fontId="45" fillId="0" borderId="0" xfId="0" applyNumberFormat="1" applyFont="1"/>
    <xf numFmtId="192" fontId="45" fillId="0" borderId="15" xfId="0" applyNumberFormat="1" applyFont="1" applyFill="1" applyBorder="1"/>
    <xf numFmtId="193" fontId="45" fillId="0" borderId="0" xfId="0" applyNumberFormat="1" applyFont="1"/>
    <xf numFmtId="0" fontId="45" fillId="0" borderId="15" xfId="0" applyFont="1" applyFill="1" applyBorder="1"/>
    <xf numFmtId="0" fontId="45" fillId="0" borderId="0" xfId="0" applyFont="1" applyFill="1" applyBorder="1" applyAlignment="1">
      <alignment horizontal="center"/>
    </xf>
    <xf numFmtId="16" fontId="57" fillId="0" borderId="0" xfId="0" applyNumberFormat="1" applyFont="1" applyAlignment="1">
      <alignment horizontal="center"/>
    </xf>
    <xf numFmtId="16" fontId="0" fillId="0" borderId="0" xfId="0" applyNumberFormat="1" applyAlignment="1">
      <alignment horizontal="center"/>
    </xf>
    <xf numFmtId="0" fontId="58" fillId="0" borderId="0" xfId="0" applyFont="1"/>
    <xf numFmtId="0" fontId="58" fillId="0" borderId="0" xfId="0" applyFont="1" applyAlignment="1">
      <alignment horizontal="right"/>
    </xf>
    <xf numFmtId="0" fontId="57" fillId="0" borderId="0" xfId="0" applyFont="1" applyAlignment="1">
      <alignment horizontal="center"/>
    </xf>
    <xf numFmtId="0" fontId="57" fillId="0" borderId="15" xfId="0" applyFont="1" applyBorder="1" applyAlignment="1">
      <alignment horizontal="center" vertical="center" wrapText="1"/>
    </xf>
    <xf numFmtId="16" fontId="0" fillId="0" borderId="15" xfId="0" applyNumberFormat="1" applyBorder="1" applyAlignment="1">
      <alignment horizontal="center"/>
    </xf>
    <xf numFmtId="0" fontId="0" fillId="5" borderId="0" xfId="0" applyFill="1"/>
    <xf numFmtId="0" fontId="0" fillId="0" borderId="0" xfId="0" quotePrefix="1"/>
    <xf numFmtId="0" fontId="0" fillId="0" borderId="0" xfId="0" applyFill="1"/>
    <xf numFmtId="1" fontId="17" fillId="0" borderId="9" xfId="0" applyNumberFormat="1" applyFont="1" applyBorder="1" applyAlignment="1">
      <alignment horizontal="center" vertical="center" wrapText="1"/>
    </xf>
    <xf numFmtId="1" fontId="16" fillId="0" borderId="0" xfId="0" applyNumberFormat="1" applyFont="1" applyBorder="1" applyAlignment="1">
      <alignment vertical="center"/>
    </xf>
    <xf numFmtId="9" fontId="17" fillId="0" borderId="9" xfId="0" applyNumberFormat="1" applyFont="1" applyBorder="1" applyAlignment="1">
      <alignment horizontal="center" vertical="center" wrapText="1"/>
    </xf>
    <xf numFmtId="3" fontId="17" fillId="0" borderId="9" xfId="0" applyNumberFormat="1" applyFont="1" applyBorder="1" applyAlignment="1">
      <alignment horizontal="center" vertical="center" wrapText="1"/>
    </xf>
    <xf numFmtId="1" fontId="16" fillId="0" borderId="12" xfId="0" applyNumberFormat="1" applyFont="1" applyBorder="1" applyAlignment="1">
      <alignment vertical="center"/>
    </xf>
    <xf numFmtId="0" fontId="17" fillId="0" borderId="56" xfId="0" applyFont="1" applyBorder="1" applyAlignment="1">
      <alignment horizontal="center" vertical="center" wrapText="1"/>
    </xf>
    <xf numFmtId="0" fontId="16" fillId="0" borderId="58" xfId="0" applyFont="1" applyBorder="1" applyAlignment="1">
      <alignment horizontal="center" vertical="center"/>
    </xf>
    <xf numFmtId="9" fontId="17" fillId="0" borderId="16" xfId="0" applyNumberFormat="1" applyFont="1" applyBorder="1" applyAlignment="1">
      <alignment horizontal="center" vertical="center"/>
    </xf>
    <xf numFmtId="9" fontId="16" fillId="0" borderId="12" xfId="0" applyNumberFormat="1" applyFont="1" applyBorder="1" applyAlignment="1">
      <alignment horizontal="center" vertical="center"/>
    </xf>
    <xf numFmtId="1" fontId="32" fillId="0" borderId="16" xfId="0" applyNumberFormat="1" applyFont="1" applyBorder="1" applyAlignment="1">
      <alignment horizontal="center" vertical="center"/>
    </xf>
    <xf numFmtId="1" fontId="22" fillId="0" borderId="12" xfId="0" applyNumberFormat="1" applyFont="1" applyBorder="1" applyAlignment="1">
      <alignment horizontal="center" vertical="center"/>
    </xf>
    <xf numFmtId="1" fontId="22" fillId="0" borderId="15" xfId="0" applyNumberFormat="1" applyFont="1" applyBorder="1" applyAlignment="1">
      <alignment horizontal="center" vertical="center"/>
    </xf>
    <xf numFmtId="1" fontId="22" fillId="0" borderId="16" xfId="0" applyNumberFormat="1" applyFont="1" applyBorder="1" applyAlignment="1">
      <alignment horizontal="center" vertical="center"/>
    </xf>
    <xf numFmtId="1" fontId="22" fillId="0" borderId="0" xfId="0" applyNumberFormat="1" applyFont="1" applyBorder="1" applyAlignment="1">
      <alignment vertical="center"/>
    </xf>
    <xf numFmtId="1" fontId="17" fillId="0" borderId="0" xfId="0" applyNumberFormat="1" applyFont="1" applyBorder="1" applyAlignment="1">
      <alignment horizontal="center" vertical="center"/>
    </xf>
    <xf numFmtId="1" fontId="18" fillId="0" borderId="0" xfId="0" applyNumberFormat="1" applyFont="1" applyBorder="1" applyAlignment="1">
      <alignment vertical="center"/>
    </xf>
    <xf numFmtId="1" fontId="33" fillId="0" borderId="0" xfId="0" applyNumberFormat="1" applyFont="1" applyBorder="1" applyAlignment="1">
      <alignment vertical="center"/>
    </xf>
    <xf numFmtId="0" fontId="22" fillId="0" borderId="15" xfId="0" applyFont="1" applyBorder="1" applyAlignment="1">
      <alignment vertical="center"/>
    </xf>
    <xf numFmtId="3" fontId="16" fillId="0" borderId="9" xfId="0" applyNumberFormat="1" applyFont="1" applyFill="1" applyBorder="1" applyAlignment="1">
      <alignment horizontal="center" vertical="center" wrapText="1"/>
    </xf>
    <xf numFmtId="3" fontId="17" fillId="0" borderId="10" xfId="0" applyNumberFormat="1" applyFont="1" applyBorder="1" applyAlignment="1">
      <alignment horizontal="center" vertical="center" wrapText="1"/>
    </xf>
    <xf numFmtId="2" fontId="16" fillId="0" borderId="9" xfId="0" applyNumberFormat="1" applyFont="1" applyFill="1" applyBorder="1" applyAlignment="1">
      <alignment horizontal="center" vertical="center" wrapText="1"/>
    </xf>
    <xf numFmtId="0" fontId="16" fillId="0" borderId="0" xfId="0" applyFont="1" applyAlignment="1">
      <alignment horizontal="left" indent="1"/>
    </xf>
    <xf numFmtId="0" fontId="16" fillId="14" borderId="15" xfId="0" applyFont="1" applyFill="1" applyBorder="1" applyAlignment="1">
      <alignment vertical="center"/>
    </xf>
    <xf numFmtId="168" fontId="18" fillId="0" borderId="12" xfId="0" applyNumberFormat="1" applyFont="1" applyBorder="1" applyAlignment="1">
      <alignment horizontal="center" vertical="center"/>
    </xf>
    <xf numFmtId="44" fontId="18" fillId="0" borderId="12" xfId="3" applyFont="1" applyBorder="1" applyAlignment="1">
      <alignment horizontal="right" vertical="center"/>
    </xf>
    <xf numFmtId="168" fontId="18" fillId="0" borderId="12" xfId="0" applyNumberFormat="1" applyFont="1" applyBorder="1" applyAlignment="1">
      <alignment horizontal="right" vertic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164" fontId="18" fillId="0" borderId="12" xfId="0" applyNumberFormat="1" applyFont="1" applyBorder="1" applyAlignment="1">
      <alignment horizontal="center" vertical="center"/>
    </xf>
    <xf numFmtId="0" fontId="16" fillId="0" borderId="16" xfId="0" applyFont="1" applyBorder="1" applyAlignment="1">
      <alignment horizontal="center" vertical="center"/>
    </xf>
    <xf numFmtId="165" fontId="18" fillId="0" borderId="12" xfId="0" applyNumberFormat="1" applyFont="1" applyBorder="1" applyAlignment="1">
      <alignment horizontal="right" vertical="center"/>
    </xf>
    <xf numFmtId="165" fontId="18" fillId="0" borderId="12" xfId="0" applyNumberFormat="1" applyFont="1" applyBorder="1" applyAlignment="1">
      <alignment horizontal="center" vertical="center"/>
    </xf>
    <xf numFmtId="165" fontId="18" fillId="0" borderId="12" xfId="0" applyNumberFormat="1" applyFont="1" applyBorder="1" applyAlignment="1">
      <alignment vertical="center"/>
    </xf>
    <xf numFmtId="165" fontId="18" fillId="0" borderId="13" xfId="0" applyNumberFormat="1" applyFont="1" applyBorder="1" applyAlignment="1">
      <alignment vertical="center"/>
    </xf>
    <xf numFmtId="0" fontId="18" fillId="0" borderId="13" xfId="0" applyNumberFormat="1" applyFont="1" applyBorder="1" applyAlignment="1">
      <alignment vertical="center"/>
    </xf>
    <xf numFmtId="172" fontId="17" fillId="0" borderId="15" xfId="0" applyNumberFormat="1" applyFont="1" applyBorder="1" applyAlignment="1">
      <alignment horizontal="center" vertical="center" wrapText="1"/>
    </xf>
    <xf numFmtId="165" fontId="18" fillId="0" borderId="15" xfId="0" applyNumberFormat="1" applyFont="1" applyBorder="1" applyAlignment="1">
      <alignment vertical="center"/>
    </xf>
    <xf numFmtId="0" fontId="17" fillId="0" borderId="15" xfId="0" applyFont="1" applyBorder="1" applyAlignment="1">
      <alignment vertical="center"/>
    </xf>
    <xf numFmtId="165" fontId="0" fillId="0" borderId="15" xfId="0" applyNumberFormat="1" applyBorder="1"/>
    <xf numFmtId="172" fontId="18" fillId="0" borderId="12" xfId="0" applyNumberFormat="1" applyFont="1" applyBorder="1" applyAlignment="1">
      <alignment vertical="center"/>
    </xf>
    <xf numFmtId="172" fontId="18" fillId="0" borderId="13" xfId="0" applyNumberFormat="1" applyFont="1" applyBorder="1" applyAlignment="1">
      <alignment vertical="center"/>
    </xf>
    <xf numFmtId="0" fontId="17" fillId="0" borderId="15" xfId="0" applyFont="1" applyBorder="1" applyAlignment="1">
      <alignment horizontal="center" vertical="center" wrapText="1"/>
    </xf>
    <xf numFmtId="0" fontId="17" fillId="0" borderId="15" xfId="0" applyFont="1" applyBorder="1" applyAlignment="1">
      <alignment horizontal="center" vertical="center"/>
    </xf>
    <xf numFmtId="0" fontId="16" fillId="0" borderId="16" xfId="0" applyFont="1" applyBorder="1" applyAlignment="1">
      <alignment horizontal="left"/>
    </xf>
    <xf numFmtId="0" fontId="16" fillId="0" borderId="15" xfId="0" applyFont="1" applyBorder="1" applyAlignment="1">
      <alignment horizontal="left"/>
    </xf>
    <xf numFmtId="0" fontId="16" fillId="0" borderId="12" xfId="0" applyFont="1" applyBorder="1" applyAlignment="1">
      <alignment horizontal="left"/>
    </xf>
    <xf numFmtId="0" fontId="16" fillId="0" borderId="15" xfId="0" applyFont="1" applyBorder="1" applyAlignment="1">
      <alignment horizontal="center"/>
    </xf>
    <xf numFmtId="5" fontId="18" fillId="0" borderId="12" xfId="3" applyNumberFormat="1" applyFont="1" applyBorder="1" applyAlignment="1">
      <alignment vertical="center"/>
    </xf>
    <xf numFmtId="5" fontId="18" fillId="0" borderId="13" xfId="3" applyNumberFormat="1" applyFont="1" applyBorder="1" applyAlignment="1">
      <alignment vertical="center"/>
    </xf>
    <xf numFmtId="0" fontId="18" fillId="0" borderId="12" xfId="0" applyNumberFormat="1" applyFont="1" applyBorder="1" applyAlignment="1">
      <alignment horizontal="center"/>
    </xf>
    <xf numFmtId="0" fontId="18" fillId="0" borderId="11" xfId="0" applyFont="1" applyBorder="1" applyAlignment="1">
      <alignment horizontal="center"/>
    </xf>
    <xf numFmtId="10" fontId="16" fillId="0" borderId="15" xfId="0" applyNumberFormat="1" applyFont="1" applyBorder="1" applyAlignment="1">
      <alignment vertical="center"/>
    </xf>
    <xf numFmtId="0" fontId="17" fillId="0" borderId="15" xfId="0" applyFont="1" applyBorder="1" applyAlignment="1">
      <alignment horizontal="center" vertical="center" wrapText="1"/>
    </xf>
    <xf numFmtId="164" fontId="18" fillId="0" borderId="12" xfId="0" applyNumberFormat="1" applyFont="1" applyBorder="1" applyAlignment="1">
      <alignment horizontal="center" vertical="center"/>
    </xf>
    <xf numFmtId="0" fontId="16" fillId="0" borderId="16" xfId="0" applyFont="1" applyBorder="1" applyAlignment="1">
      <alignment horizontal="center" vertical="center"/>
    </xf>
    <xf numFmtId="0" fontId="16" fillId="0" borderId="15" xfId="0" applyFont="1" applyBorder="1" applyAlignment="1">
      <alignment horizontal="left" vertical="center"/>
    </xf>
    <xf numFmtId="0" fontId="16" fillId="0" borderId="16" xfId="0" applyFont="1" applyBorder="1" applyAlignment="1">
      <alignment horizontal="left" vertical="center"/>
    </xf>
    <xf numFmtId="0" fontId="16" fillId="0" borderId="16" xfId="0" applyFont="1" applyBorder="1" applyAlignment="1">
      <alignment horizontal="center" vertical="center"/>
    </xf>
    <xf numFmtId="0" fontId="18" fillId="0" borderId="11" xfId="0" applyFont="1" applyBorder="1" applyAlignment="1">
      <alignment horizontal="center" vertical="center"/>
    </xf>
    <xf numFmtId="164" fontId="16" fillId="0" borderId="0" xfId="0" applyNumberFormat="1" applyFont="1" applyAlignment="1">
      <alignment horizontal="right" vertical="center"/>
    </xf>
    <xf numFmtId="164" fontId="16" fillId="0" borderId="0" xfId="0" applyNumberFormat="1" applyFont="1" applyAlignment="1">
      <alignment vertical="center"/>
    </xf>
    <xf numFmtId="14" fontId="16" fillId="0" borderId="41" xfId="0" applyNumberFormat="1" applyFont="1" applyBorder="1" applyAlignment="1">
      <alignment horizontal="center" vertical="center"/>
    </xf>
    <xf numFmtId="0" fontId="16" fillId="0" borderId="28" xfId="0" applyFont="1" applyBorder="1" applyAlignment="1"/>
    <xf numFmtId="0" fontId="16" fillId="0" borderId="36" xfId="0" applyFont="1" applyBorder="1" applyAlignment="1"/>
    <xf numFmtId="0" fontId="16" fillId="0" borderId="32" xfId="0" applyFont="1" applyBorder="1" applyAlignment="1"/>
    <xf numFmtId="0" fontId="16" fillId="0" borderId="38" xfId="0" applyFont="1" applyBorder="1" applyAlignment="1"/>
    <xf numFmtId="0" fontId="16" fillId="0" borderId="33" xfId="0" applyFont="1" applyBorder="1" applyAlignment="1"/>
    <xf numFmtId="0" fontId="16" fillId="0" borderId="40" xfId="0" applyFont="1" applyBorder="1" applyAlignment="1"/>
    <xf numFmtId="0" fontId="17" fillId="0" borderId="56" xfId="0" applyFont="1" applyBorder="1" applyAlignment="1">
      <alignment vertical="center"/>
    </xf>
    <xf numFmtId="3" fontId="59" fillId="0" borderId="12" xfId="0" applyNumberFormat="1"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16" xfId="0" applyFont="1" applyBorder="1" applyAlignment="1">
      <alignment horizontal="center" vertical="center"/>
    </xf>
    <xf numFmtId="0" fontId="16" fillId="0" borderId="16" xfId="0" applyFont="1" applyBorder="1" applyAlignment="1">
      <alignment horizontal="left" vertical="center"/>
    </xf>
    <xf numFmtId="195" fontId="18" fillId="6" borderId="13" xfId="3" applyNumberFormat="1" applyFont="1" applyFill="1" applyBorder="1" applyAlignment="1">
      <alignment vertical="center"/>
    </xf>
    <xf numFmtId="0" fontId="17" fillId="0" borderId="15" xfId="0" applyFont="1" applyFill="1" applyBorder="1" applyAlignment="1">
      <alignment horizontal="center" vertical="center"/>
    </xf>
    <xf numFmtId="49" fontId="16" fillId="0" borderId="13" xfId="0" applyNumberFormat="1" applyFont="1" applyBorder="1" applyAlignment="1">
      <alignment vertical="center"/>
    </xf>
    <xf numFmtId="49" fontId="16" fillId="0" borderId="17" xfId="0" applyNumberFormat="1" applyFont="1" applyBorder="1" applyAlignment="1">
      <alignment vertical="center"/>
    </xf>
    <xf numFmtId="0" fontId="17" fillId="0" borderId="9" xfId="0" quotePrefix="1" applyNumberFormat="1" applyFont="1" applyBorder="1" applyAlignment="1">
      <alignment horizontal="center" vertical="center"/>
    </xf>
    <xf numFmtId="0" fontId="17" fillId="0" borderId="10" xfId="0" quotePrefix="1" applyNumberFormat="1" applyFont="1" applyBorder="1" applyAlignment="1">
      <alignment horizontal="center" vertical="center"/>
    </xf>
    <xf numFmtId="0" fontId="59" fillId="0" borderId="16" xfId="0" applyFont="1" applyBorder="1" applyAlignment="1">
      <alignment horizontal="center" vertical="center"/>
    </xf>
    <xf numFmtId="0" fontId="59" fillId="0" borderId="17" xfId="0" applyFont="1" applyBorder="1" applyAlignment="1">
      <alignment horizontal="center" vertical="center"/>
    </xf>
    <xf numFmtId="0" fontId="16" fillId="0" borderId="15" xfId="0" applyFont="1" applyBorder="1" applyAlignment="1">
      <alignment horizontal="center"/>
    </xf>
    <xf numFmtId="0" fontId="17" fillId="0" borderId="61" xfId="0" applyFont="1" applyFill="1" applyBorder="1" applyAlignment="1">
      <alignment horizontal="center" vertical="center"/>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16" fillId="0" borderId="16" xfId="0" applyFont="1" applyBorder="1" applyAlignment="1">
      <alignment horizontal="center" vertical="center"/>
    </xf>
    <xf numFmtId="0" fontId="16" fillId="3" borderId="66" xfId="0" applyFont="1" applyFill="1" applyBorder="1" applyAlignment="1">
      <alignment horizontal="center"/>
    </xf>
    <xf numFmtId="0" fontId="15" fillId="0" borderId="0" xfId="0" applyFont="1" applyBorder="1" applyAlignment="1">
      <alignment horizontal="center" vertical="center"/>
    </xf>
    <xf numFmtId="0" fontId="15" fillId="0" borderId="0" xfId="0" applyFont="1" applyAlignment="1">
      <alignment horizontal="center" vertical="center"/>
    </xf>
    <xf numFmtId="0" fontId="20" fillId="0" borderId="21" xfId="0" applyFont="1" applyBorder="1" applyAlignment="1">
      <alignment horizontal="center" vertical="center"/>
    </xf>
    <xf numFmtId="0" fontId="20" fillId="0" borderId="16" xfId="0" applyFont="1" applyBorder="1" applyAlignment="1">
      <alignment horizontal="center" vertical="center"/>
    </xf>
    <xf numFmtId="0" fontId="15" fillId="0" borderId="53" xfId="0" applyFont="1" applyBorder="1" applyAlignment="1">
      <alignment horizontal="center" vertical="center"/>
    </xf>
    <xf numFmtId="0" fontId="15" fillId="0" borderId="54" xfId="0" applyFont="1" applyBorder="1" applyAlignment="1">
      <alignment horizontal="center" vertical="center"/>
    </xf>
    <xf numFmtId="0" fontId="17" fillId="0" borderId="18"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20" xfId="0" applyFont="1" applyBorder="1" applyAlignment="1">
      <alignment horizontal="center" vertical="center" wrapText="1"/>
    </xf>
    <xf numFmtId="0" fontId="17" fillId="0" borderId="25"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19"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21" xfId="0" applyFont="1" applyBorder="1" applyAlignment="1">
      <alignment horizontal="center" vertical="center"/>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Alignment="1">
      <alignment horizontal="center" vertical="center"/>
    </xf>
    <xf numFmtId="0" fontId="20" fillId="0" borderId="0" xfId="0" applyFont="1" applyBorder="1" applyAlignment="1">
      <alignment horizontal="center" vertical="center"/>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23" fillId="0" borderId="18" xfId="0" applyFont="1" applyBorder="1" applyAlignment="1">
      <alignment horizontal="right" vertical="center"/>
    </xf>
    <xf numFmtId="0" fontId="23" fillId="0" borderId="19" xfId="0" applyFont="1" applyBorder="1" applyAlignment="1">
      <alignment horizontal="right" vertical="center"/>
    </xf>
    <xf numFmtId="0" fontId="15" fillId="0" borderId="0" xfId="0" applyFont="1" applyAlignment="1">
      <alignment horizontal="center" vertical="center" wrapText="1"/>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16" fillId="0" borderId="25" xfId="0" applyFont="1" applyBorder="1" applyAlignment="1">
      <alignment horizontal="center" vertical="center" wrapText="1"/>
    </xf>
    <xf numFmtId="0" fontId="17" fillId="0" borderId="15" xfId="0" applyFont="1" applyBorder="1" applyAlignment="1">
      <alignment horizontal="center" vertical="center" wrapText="1"/>
    </xf>
    <xf numFmtId="0" fontId="20" fillId="0" borderId="37" xfId="0" applyFont="1" applyBorder="1" applyAlignment="1">
      <alignment horizontal="center" vertical="center"/>
    </xf>
    <xf numFmtId="0" fontId="20" fillId="0" borderId="79" xfId="0" applyFont="1" applyBorder="1" applyAlignment="1">
      <alignment horizontal="center" vertical="center"/>
    </xf>
    <xf numFmtId="0" fontId="20" fillId="0" borderId="38" xfId="0" applyFont="1" applyBorder="1" applyAlignment="1">
      <alignment horizontal="center" vertical="center"/>
    </xf>
    <xf numFmtId="0" fontId="26" fillId="0" borderId="15" xfId="0" applyFont="1" applyBorder="1" applyAlignment="1">
      <alignment horizontal="center" vertical="center"/>
    </xf>
    <xf numFmtId="0" fontId="26" fillId="0" borderId="6" xfId="0" applyFont="1" applyBorder="1" applyAlignment="1">
      <alignment horizontal="center" vertical="center" wrapText="1"/>
    </xf>
    <xf numFmtId="0" fontId="26" fillId="0" borderId="12" xfId="0" applyFont="1" applyBorder="1" applyAlignment="1">
      <alignment horizontal="center" vertical="center" wrapText="1"/>
    </xf>
    <xf numFmtId="0" fontId="17" fillId="0" borderId="0" xfId="0" applyFont="1" applyAlignment="1">
      <alignment horizontal="center" vertical="center"/>
    </xf>
    <xf numFmtId="0" fontId="20" fillId="0" borderId="8" xfId="0" applyFont="1" applyBorder="1" applyAlignment="1">
      <alignment horizontal="center" vertical="center"/>
    </xf>
    <xf numFmtId="0" fontId="20" fillId="0" borderId="9"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0" borderId="14" xfId="0" applyFont="1" applyBorder="1" applyAlignment="1">
      <alignment horizontal="center" vertical="center"/>
    </xf>
    <xf numFmtId="0" fontId="20" fillId="0" borderId="15" xfId="0" applyFont="1" applyBorder="1" applyAlignment="1">
      <alignment horizontal="center" vertical="center"/>
    </xf>
    <xf numFmtId="0" fontId="17" fillId="0" borderId="53" xfId="0" applyFont="1" applyBorder="1" applyAlignment="1">
      <alignment horizontal="center" vertical="center"/>
    </xf>
    <xf numFmtId="0" fontId="20" fillId="0" borderId="33" xfId="0" applyFont="1" applyBorder="1" applyAlignment="1">
      <alignment horizontal="center" vertical="center"/>
    </xf>
    <xf numFmtId="0" fontId="20" fillId="0" borderId="80" xfId="0" applyFont="1" applyBorder="1" applyAlignment="1">
      <alignment horizontal="center" vertical="center"/>
    </xf>
    <xf numFmtId="0" fontId="20" fillId="0" borderId="40" xfId="0" applyFont="1" applyBorder="1" applyAlignment="1">
      <alignment horizontal="center"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20" fillId="0" borderId="28" xfId="0" applyFont="1" applyBorder="1" applyAlignment="1">
      <alignment horizontal="center" vertical="center"/>
    </xf>
    <xf numFmtId="0" fontId="20" fillId="0" borderId="81" xfId="0" applyFont="1" applyBorder="1" applyAlignment="1">
      <alignment horizontal="center" vertical="center"/>
    </xf>
    <xf numFmtId="0" fontId="20" fillId="0" borderId="36" xfId="0" applyFont="1" applyBorder="1" applyAlignment="1">
      <alignment horizontal="center" vertical="center"/>
    </xf>
    <xf numFmtId="0" fontId="17" fillId="0" borderId="25" xfId="0" applyFont="1" applyBorder="1" applyAlignment="1">
      <alignment horizontal="center" vertical="center"/>
    </xf>
    <xf numFmtId="0" fontId="20" fillId="0" borderId="8"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82" xfId="0" applyFont="1" applyBorder="1" applyAlignment="1">
      <alignment horizontal="center" vertical="center" wrapText="1"/>
    </xf>
    <xf numFmtId="0" fontId="20" fillId="0" borderId="56" xfId="0" applyFont="1" applyBorder="1" applyAlignment="1">
      <alignment horizontal="center" vertical="center" wrapText="1"/>
    </xf>
    <xf numFmtId="0" fontId="20" fillId="0" borderId="27" xfId="0" applyFont="1" applyBorder="1" applyAlignment="1">
      <alignment horizontal="center" vertical="center"/>
    </xf>
    <xf numFmtId="0" fontId="20" fillId="0" borderId="82" xfId="0" applyFont="1" applyBorder="1" applyAlignment="1">
      <alignment horizontal="center" vertical="center"/>
    </xf>
    <xf numFmtId="0" fontId="20" fillId="0" borderId="56" xfId="0" applyFont="1" applyBorder="1" applyAlignment="1">
      <alignment horizontal="center" vertical="center"/>
    </xf>
    <xf numFmtId="0" fontId="17" fillId="0" borderId="29" xfId="0" applyFont="1" applyBorder="1" applyAlignment="1">
      <alignment horizontal="center" vertical="center" wrapText="1"/>
    </xf>
    <xf numFmtId="0" fontId="17" fillId="0" borderId="50"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51"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36" xfId="0" applyFont="1" applyBorder="1" applyAlignment="1">
      <alignment horizontal="center" vertical="center" wrapText="1"/>
    </xf>
    <xf numFmtId="0" fontId="17" fillId="0" borderId="83" xfId="0" applyFont="1" applyBorder="1" applyAlignment="1">
      <alignment horizontal="center" vertical="center" wrapText="1"/>
    </xf>
    <xf numFmtId="0" fontId="20" fillId="0" borderId="32" xfId="0" applyFont="1" applyBorder="1" applyAlignment="1">
      <alignment horizontal="center" vertical="center"/>
    </xf>
    <xf numFmtId="0" fontId="16" fillId="0" borderId="37" xfId="0" applyFont="1" applyBorder="1" applyAlignment="1">
      <alignment horizontal="right" vertical="center"/>
    </xf>
    <xf numFmtId="0" fontId="16" fillId="0" borderId="38" xfId="0" applyFont="1" applyBorder="1" applyAlignment="1">
      <alignment horizontal="right" vertical="center"/>
    </xf>
    <xf numFmtId="0" fontId="16" fillId="0" borderId="22" xfId="0" applyFont="1" applyBorder="1" applyAlignment="1">
      <alignment horizontal="right" vertical="center"/>
    </xf>
    <xf numFmtId="0" fontId="16" fillId="0" borderId="65" xfId="0" applyFont="1" applyBorder="1" applyAlignment="1">
      <alignment horizontal="right" vertical="center"/>
    </xf>
    <xf numFmtId="0" fontId="17" fillId="0" borderId="27" xfId="0" applyFont="1" applyBorder="1" applyAlignment="1">
      <alignment horizontal="center" vertical="center"/>
    </xf>
    <xf numFmtId="0" fontId="17" fillId="0" borderId="84" xfId="0" applyFont="1" applyBorder="1" applyAlignment="1">
      <alignment horizontal="center" vertical="center"/>
    </xf>
    <xf numFmtId="0" fontId="17" fillId="0" borderId="37" xfId="0" applyFont="1" applyBorder="1" applyAlignment="1">
      <alignment horizontal="center" vertical="center"/>
    </xf>
    <xf numFmtId="0" fontId="17" fillId="0" borderId="38" xfId="0" applyFont="1" applyBorder="1" applyAlignment="1">
      <alignment horizontal="center" vertical="center"/>
    </xf>
    <xf numFmtId="0" fontId="20" fillId="0" borderId="53" xfId="0" applyFont="1" applyBorder="1" applyAlignment="1">
      <alignment horizontal="center" vertical="center"/>
    </xf>
    <xf numFmtId="0" fontId="17" fillId="0" borderId="0" xfId="0" applyFont="1" applyBorder="1" applyAlignment="1">
      <alignment horizontal="center" vertical="center"/>
    </xf>
    <xf numFmtId="0" fontId="15" fillId="0" borderId="0" xfId="0" applyNumberFormat="1" applyFont="1" applyBorder="1" applyAlignment="1">
      <alignment horizontal="center" vertical="center"/>
    </xf>
    <xf numFmtId="0" fontId="17" fillId="0" borderId="35" xfId="0" applyFont="1" applyBorder="1" applyAlignment="1">
      <alignment horizontal="center" vertical="center"/>
    </xf>
    <xf numFmtId="0" fontId="17" fillId="0" borderId="83" xfId="0" applyFont="1" applyBorder="1" applyAlignment="1">
      <alignment horizontal="center" vertical="center"/>
    </xf>
    <xf numFmtId="0" fontId="17" fillId="0" borderId="29" xfId="0" applyFont="1" applyBorder="1" applyAlignment="1">
      <alignment horizontal="center" vertical="center"/>
    </xf>
    <xf numFmtId="0" fontId="17" fillId="0" borderId="50" xfId="0" applyFont="1" applyBorder="1" applyAlignment="1">
      <alignment horizontal="center" vertical="center"/>
    </xf>
    <xf numFmtId="0" fontId="32" fillId="0" borderId="37" xfId="0" applyFont="1" applyBorder="1" applyAlignment="1">
      <alignment horizontal="center" vertical="center"/>
    </xf>
    <xf numFmtId="0" fontId="32" fillId="0" borderId="38" xfId="0" applyFont="1" applyBorder="1" applyAlignment="1">
      <alignment horizontal="center" vertical="center"/>
    </xf>
    <xf numFmtId="0" fontId="20" fillId="0" borderId="54" xfId="0" applyFont="1" applyBorder="1" applyAlignment="1">
      <alignment horizontal="center" vertical="center"/>
    </xf>
    <xf numFmtId="0" fontId="32" fillId="0" borderId="29" xfId="0" applyFont="1" applyBorder="1" applyAlignment="1">
      <alignment horizontal="center" vertical="center"/>
    </xf>
    <xf numFmtId="0" fontId="32" fillId="0" borderId="50" xfId="0" applyFont="1" applyBorder="1" applyAlignment="1">
      <alignment horizontal="center" vertical="center"/>
    </xf>
    <xf numFmtId="0" fontId="32" fillId="0" borderId="35" xfId="0" applyFont="1" applyBorder="1" applyAlignment="1">
      <alignment horizontal="center" vertical="center"/>
    </xf>
    <xf numFmtId="0" fontId="32" fillId="0" borderId="81" xfId="0" applyFont="1" applyBorder="1" applyAlignment="1">
      <alignment horizontal="center" vertical="center"/>
    </xf>
    <xf numFmtId="0" fontId="32" fillId="0" borderId="36" xfId="0" applyFont="1" applyBorder="1" applyAlignment="1">
      <alignment horizontal="center" vertical="center"/>
    </xf>
    <xf numFmtId="0" fontId="32" fillId="0" borderId="19" xfId="0" applyFont="1" applyBorder="1" applyAlignment="1">
      <alignment horizontal="center" vertical="center"/>
    </xf>
    <xf numFmtId="0" fontId="32" fillId="0" borderId="20" xfId="0" applyFont="1" applyBorder="1" applyAlignment="1">
      <alignment horizontal="center" vertical="center"/>
    </xf>
    <xf numFmtId="0" fontId="22" fillId="0" borderId="37" xfId="0" applyFont="1" applyBorder="1" applyAlignment="1">
      <alignment horizontal="center" vertical="center"/>
    </xf>
    <xf numFmtId="0" fontId="22" fillId="0" borderId="38" xfId="0" applyFont="1" applyBorder="1" applyAlignment="1">
      <alignment horizontal="center" vertical="center"/>
    </xf>
    <xf numFmtId="0" fontId="22" fillId="0" borderId="15" xfId="0" applyFont="1" applyBorder="1" applyAlignment="1">
      <alignment horizontal="center" vertical="center"/>
    </xf>
    <xf numFmtId="0" fontId="22" fillId="0" borderId="79" xfId="0" applyFont="1" applyBorder="1" applyAlignment="1">
      <alignment horizontal="center" vertical="center"/>
    </xf>
    <xf numFmtId="0" fontId="17" fillId="0" borderId="85" xfId="0" applyFont="1" applyBorder="1" applyAlignment="1">
      <alignment horizontal="center" vertical="center"/>
    </xf>
    <xf numFmtId="0" fontId="17" fillId="0" borderId="82" xfId="0" applyFont="1" applyBorder="1" applyAlignment="1">
      <alignment horizontal="center" vertical="center"/>
    </xf>
    <xf numFmtId="164" fontId="18" fillId="0" borderId="39" xfId="0" applyNumberFormat="1" applyFont="1" applyBorder="1" applyAlignment="1">
      <alignment horizontal="center" vertical="center"/>
    </xf>
    <xf numFmtId="164" fontId="18" fillId="0" borderId="80" xfId="0" applyNumberFormat="1" applyFont="1" applyBorder="1" applyAlignment="1">
      <alignment horizontal="center" vertical="center"/>
    </xf>
    <xf numFmtId="164" fontId="18" fillId="0" borderId="86" xfId="0" applyNumberFormat="1" applyFont="1" applyBorder="1" applyAlignment="1">
      <alignment horizontal="center" vertical="center"/>
    </xf>
    <xf numFmtId="164" fontId="18" fillId="0" borderId="12" xfId="0" applyNumberFormat="1" applyFont="1" applyBorder="1" applyAlignment="1">
      <alignment horizontal="center" vertical="center"/>
    </xf>
    <xf numFmtId="164" fontId="18" fillId="0" borderId="13" xfId="0" applyNumberFormat="1" applyFont="1" applyBorder="1" applyAlignment="1">
      <alignment horizontal="center" vertical="center"/>
    </xf>
    <xf numFmtId="164" fontId="18" fillId="0" borderId="15" xfId="0" applyNumberFormat="1" applyFont="1" applyBorder="1" applyAlignment="1">
      <alignment horizontal="center" vertical="center"/>
    </xf>
    <xf numFmtId="164" fontId="18" fillId="0" borderId="25" xfId="0" applyNumberFormat="1" applyFont="1" applyBorder="1" applyAlignment="1">
      <alignment horizontal="center" vertical="center"/>
    </xf>
    <xf numFmtId="164" fontId="18" fillId="0" borderId="37" xfId="0" applyNumberFormat="1" applyFont="1" applyBorder="1" applyAlignment="1">
      <alignment horizontal="center" vertical="center"/>
    </xf>
    <xf numFmtId="164" fontId="18" fillId="0" borderId="79" xfId="0" applyNumberFormat="1" applyFont="1" applyBorder="1" applyAlignment="1">
      <alignment horizontal="center" vertical="center"/>
    </xf>
    <xf numFmtId="164" fontId="18" fillId="0" borderId="87" xfId="0" applyNumberFormat="1" applyFont="1" applyBorder="1" applyAlignment="1">
      <alignment horizontal="center" vertical="center"/>
    </xf>
    <xf numFmtId="0" fontId="16" fillId="0" borderId="88" xfId="0" applyFont="1" applyBorder="1" applyAlignment="1">
      <alignment horizontal="center" vertical="center"/>
    </xf>
    <xf numFmtId="0" fontId="16" fillId="0" borderId="50" xfId="0" applyFont="1" applyBorder="1" applyAlignment="1">
      <alignment horizontal="center" vertical="center"/>
    </xf>
    <xf numFmtId="1" fontId="16" fillId="0" borderId="37" xfId="0" applyNumberFormat="1" applyFont="1" applyBorder="1" applyAlignment="1">
      <alignment vertical="center"/>
    </xf>
    <xf numFmtId="1" fontId="16" fillId="0" borderId="38" xfId="0" applyNumberFormat="1" applyFont="1" applyBorder="1" applyAlignment="1">
      <alignment vertical="center"/>
    </xf>
    <xf numFmtId="14" fontId="20" fillId="0" borderId="53" xfId="0" applyNumberFormat="1" applyFont="1" applyBorder="1" applyAlignment="1">
      <alignment horizontal="center" vertical="center"/>
    </xf>
    <xf numFmtId="0" fontId="17" fillId="0" borderId="81" xfId="0" applyFont="1" applyBorder="1" applyAlignment="1">
      <alignment horizontal="center" vertical="center"/>
    </xf>
    <xf numFmtId="0" fontId="22" fillId="0" borderId="32" xfId="0" applyFont="1" applyBorder="1" applyAlignment="1">
      <alignment horizontal="left" vertical="center"/>
    </xf>
    <xf numFmtId="0" fontId="22" fillId="0" borderId="79" xfId="0" applyFont="1" applyBorder="1" applyAlignment="1">
      <alignment horizontal="left" vertical="center"/>
    </xf>
    <xf numFmtId="0" fontId="22" fillId="0" borderId="38" xfId="0" applyFont="1" applyBorder="1" applyAlignment="1">
      <alignment horizontal="left" vertical="center"/>
    </xf>
    <xf numFmtId="0" fontId="22" fillId="0" borderId="28" xfId="0" applyFont="1" applyBorder="1" applyAlignment="1">
      <alignment horizontal="left" vertical="center"/>
    </xf>
    <xf numFmtId="0" fontId="22" fillId="0" borderId="81" xfId="0" applyFont="1" applyBorder="1" applyAlignment="1">
      <alignment horizontal="left" vertical="center"/>
    </xf>
    <xf numFmtId="0" fontId="22" fillId="0" borderId="36" xfId="0" applyFont="1" applyBorder="1" applyAlignment="1">
      <alignment horizontal="left" vertical="center"/>
    </xf>
    <xf numFmtId="0" fontId="22" fillId="0" borderId="33" xfId="0" applyFont="1" applyBorder="1" applyAlignment="1">
      <alignment horizontal="left" vertical="center"/>
    </xf>
    <xf numFmtId="0" fontId="22" fillId="0" borderId="80" xfId="0" applyFont="1" applyBorder="1" applyAlignment="1">
      <alignment horizontal="left" vertical="center"/>
    </xf>
    <xf numFmtId="0" fontId="22" fillId="0" borderId="40" xfId="0" applyFont="1" applyBorder="1" applyAlignment="1">
      <alignment horizontal="left" vertic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36" fillId="0" borderId="8" xfId="0" applyFont="1" applyBorder="1" applyAlignment="1">
      <alignment horizontal="center" vertical="center"/>
    </xf>
    <xf numFmtId="0" fontId="36" fillId="0" borderId="9" xfId="0" applyFont="1" applyBorder="1" applyAlignment="1">
      <alignment horizontal="center" vertical="center"/>
    </xf>
    <xf numFmtId="0" fontId="36" fillId="0" borderId="0" xfId="0" applyFont="1" applyBorder="1" applyAlignment="1">
      <alignment horizontal="center" vertical="center"/>
    </xf>
    <xf numFmtId="175" fontId="16" fillId="0" borderId="54" xfId="0" applyNumberFormat="1" applyFont="1" applyBorder="1" applyAlignment="1">
      <alignment horizontal="center" vertical="center"/>
    </xf>
    <xf numFmtId="0" fontId="17" fillId="0" borderId="18" xfId="0" applyFont="1" applyFill="1" applyBorder="1" applyAlignment="1">
      <alignment horizontal="center" vertical="center"/>
    </xf>
    <xf numFmtId="0" fontId="17" fillId="0" borderId="21" xfId="0" applyFont="1" applyFill="1" applyBorder="1" applyAlignment="1">
      <alignment horizontal="center" vertical="center"/>
    </xf>
    <xf numFmtId="0" fontId="17" fillId="0" borderId="19" xfId="0" applyFont="1" applyFill="1" applyBorder="1" applyAlignment="1">
      <alignment horizontal="center" vertical="center"/>
    </xf>
    <xf numFmtId="0" fontId="17" fillId="0" borderId="16" xfId="0" applyFont="1" applyFill="1" applyBorder="1" applyAlignment="1">
      <alignment horizontal="center" vertical="center"/>
    </xf>
    <xf numFmtId="0" fontId="17" fillId="0" borderId="20" xfId="0" applyFont="1" applyFill="1" applyBorder="1" applyAlignment="1">
      <alignment horizontal="center" vertical="center"/>
    </xf>
    <xf numFmtId="0" fontId="16" fillId="0" borderId="18"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16" xfId="0" applyFont="1" applyBorder="1" applyAlignment="1">
      <alignment horizontal="center" vertical="center"/>
    </xf>
    <xf numFmtId="0" fontId="17" fillId="0" borderId="16" xfId="0" applyFont="1" applyBorder="1" applyAlignment="1">
      <alignment horizontal="center" vertical="center"/>
    </xf>
    <xf numFmtId="0" fontId="17" fillId="0" borderId="0" xfId="0" applyFont="1" applyBorder="1" applyAlignment="1">
      <alignment horizontal="center"/>
    </xf>
    <xf numFmtId="0" fontId="20" fillId="0" borderId="0" xfId="0" applyFont="1" applyBorder="1" applyAlignment="1">
      <alignment horizontal="center"/>
    </xf>
    <xf numFmtId="0" fontId="39" fillId="0" borderId="8" xfId="0" applyFont="1" applyBorder="1" applyAlignment="1">
      <alignment horizontal="center"/>
    </xf>
    <xf numFmtId="0" fontId="39" fillId="0" borderId="9" xfId="0" applyFont="1" applyBorder="1" applyAlignment="1">
      <alignment horizontal="center"/>
    </xf>
    <xf numFmtId="0" fontId="17" fillId="0" borderId="0" xfId="0" applyFont="1" applyAlignment="1">
      <alignment horizontal="center"/>
    </xf>
    <xf numFmtId="0" fontId="16" fillId="0" borderId="20" xfId="0" applyFont="1" applyBorder="1" applyAlignment="1">
      <alignment horizontal="center" vertical="center" wrapText="1"/>
    </xf>
    <xf numFmtId="0" fontId="16" fillId="0" borderId="17" xfId="0" applyFont="1" applyBorder="1" applyAlignment="1">
      <alignment horizontal="center" vertical="center" wrapText="1"/>
    </xf>
    <xf numFmtId="0" fontId="17" fillId="0" borderId="54" xfId="0" applyFont="1" applyBorder="1" applyAlignment="1">
      <alignment horizontal="center" vertical="center"/>
    </xf>
    <xf numFmtId="0" fontId="16" fillId="0" borderId="15" xfId="0" applyFont="1" applyBorder="1" applyAlignment="1">
      <alignment horizontal="left" vertical="center"/>
    </xf>
    <xf numFmtId="0" fontId="16" fillId="0" borderId="14" xfId="0" applyFont="1" applyBorder="1" applyAlignment="1">
      <alignment horizontal="left" vertical="center"/>
    </xf>
    <xf numFmtId="0" fontId="16" fillId="0" borderId="21" xfId="0" applyFont="1" applyBorder="1" applyAlignment="1">
      <alignment horizontal="left" vertical="center"/>
    </xf>
    <xf numFmtId="0" fontId="16" fillId="0" borderId="16" xfId="0" applyFont="1" applyBorder="1" applyAlignment="1">
      <alignment horizontal="left" vertical="center"/>
    </xf>
    <xf numFmtId="0" fontId="16" fillId="0" borderId="18" xfId="0" applyFont="1" applyBorder="1" applyAlignment="1">
      <alignment horizontal="left" vertical="center"/>
    </xf>
    <xf numFmtId="0" fontId="16" fillId="0" borderId="19" xfId="0" applyFont="1" applyBorder="1" applyAlignment="1">
      <alignment horizontal="left" vertical="center"/>
    </xf>
    <xf numFmtId="0" fontId="43" fillId="0" borderId="15" xfId="0" applyFont="1" applyBorder="1" applyAlignment="1">
      <alignment horizontal="center"/>
    </xf>
    <xf numFmtId="0" fontId="0" fillId="0" borderId="15" xfId="0" applyBorder="1" applyAlignment="1">
      <alignment horizontal="center" vertical="distributed"/>
    </xf>
    <xf numFmtId="0" fontId="0" fillId="0" borderId="15" xfId="0" applyBorder="1" applyAlignment="1">
      <alignment horizontal="center"/>
    </xf>
    <xf numFmtId="0" fontId="16" fillId="0" borderId="24" xfId="0" applyFont="1" applyBorder="1" applyAlignment="1">
      <alignment horizontal="left"/>
    </xf>
    <xf numFmtId="0" fontId="16" fillId="0" borderId="0" xfId="0" applyFont="1" applyBorder="1" applyAlignment="1">
      <alignment horizontal="left"/>
    </xf>
    <xf numFmtId="0" fontId="16" fillId="0" borderId="78" xfId="0" applyFont="1" applyBorder="1" applyAlignment="1">
      <alignment horizontal="left"/>
    </xf>
    <xf numFmtId="14" fontId="16" fillId="0" borderId="64" xfId="0" applyNumberFormat="1" applyFont="1" applyBorder="1" applyAlignment="1">
      <alignment horizontal="left"/>
    </xf>
    <xf numFmtId="14" fontId="16" fillId="0" borderId="53" xfId="0" applyNumberFormat="1" applyFont="1" applyBorder="1" applyAlignment="1">
      <alignment horizontal="left"/>
    </xf>
    <xf numFmtId="14" fontId="16" fillId="0" borderId="58" xfId="0" applyNumberFormat="1" applyFont="1" applyBorder="1" applyAlignment="1">
      <alignment horizontal="left"/>
    </xf>
    <xf numFmtId="0" fontId="52" fillId="0" borderId="0" xfId="0" applyFont="1" applyAlignment="1">
      <alignment horizontal="center"/>
    </xf>
    <xf numFmtId="0" fontId="17" fillId="2" borderId="66" xfId="0" applyFont="1" applyFill="1" applyBorder="1" applyAlignment="1">
      <alignment horizontal="center"/>
    </xf>
    <xf numFmtId="0" fontId="16" fillId="3" borderId="66" xfId="0" applyFont="1" applyFill="1" applyBorder="1" applyAlignment="1">
      <alignment horizontal="center"/>
    </xf>
    <xf numFmtId="0" fontId="45" fillId="0" borderId="0" xfId="0" applyFont="1" applyAlignment="1">
      <alignment horizontal="center"/>
    </xf>
    <xf numFmtId="0" fontId="45" fillId="0" borderId="53" xfId="0" applyFont="1" applyBorder="1" applyAlignment="1">
      <alignment horizontal="center"/>
    </xf>
    <xf numFmtId="0" fontId="45" fillId="0" borderId="15" xfId="0" applyFont="1" applyBorder="1" applyAlignment="1">
      <alignment horizontal="center"/>
    </xf>
    <xf numFmtId="0" fontId="52" fillId="8" borderId="0" xfId="0" applyFont="1" applyFill="1" applyAlignment="1"/>
    <xf numFmtId="0" fontId="16" fillId="11" borderId="15" xfId="0" applyFont="1" applyFill="1" applyBorder="1" applyAlignment="1">
      <alignment horizontal="center"/>
    </xf>
    <xf numFmtId="0" fontId="46" fillId="0" borderId="37" xfId="0" applyFont="1" applyBorder="1" applyAlignment="1">
      <alignment horizontal="center"/>
    </xf>
    <xf numFmtId="0" fontId="46" fillId="0" borderId="79" xfId="0" applyFont="1" applyBorder="1" applyAlignment="1">
      <alignment horizontal="center"/>
    </xf>
    <xf numFmtId="0" fontId="46" fillId="0" borderId="38" xfId="0" applyFont="1" applyBorder="1" applyAlignment="1">
      <alignment horizontal="center"/>
    </xf>
    <xf numFmtId="0" fontId="46" fillId="0" borderId="15" xfId="0" applyFont="1" applyBorder="1" applyAlignment="1">
      <alignment horizontal="center"/>
    </xf>
    <xf numFmtId="0" fontId="16" fillId="0" borderId="0" xfId="0" applyFont="1" applyAlignment="1">
      <alignment horizontal="center"/>
    </xf>
    <xf numFmtId="0" fontId="17" fillId="0" borderId="6" xfId="0" applyFont="1" applyBorder="1" applyAlignment="1">
      <alignment horizontal="center" vertical="center"/>
    </xf>
    <xf numFmtId="0" fontId="17" fillId="0" borderId="12" xfId="0" applyFont="1" applyBorder="1" applyAlignment="1">
      <alignment horizontal="center" vertical="center"/>
    </xf>
    <xf numFmtId="0" fontId="17" fillId="0" borderId="37" xfId="0" applyFont="1" applyBorder="1" applyAlignment="1">
      <alignment horizontal="center"/>
    </xf>
    <xf numFmtId="0" fontId="17" fillId="0" borderId="79" xfId="0" applyFont="1" applyBorder="1" applyAlignment="1">
      <alignment horizontal="center"/>
    </xf>
    <xf numFmtId="0" fontId="17" fillId="0" borderId="38" xfId="0" applyFont="1" applyBorder="1" applyAlignment="1">
      <alignment horizontal="center"/>
    </xf>
    <xf numFmtId="0" fontId="15" fillId="0" borderId="0" xfId="0" applyFont="1" applyAlignment="1">
      <alignment horizontal="center"/>
    </xf>
    <xf numFmtId="0" fontId="17" fillId="0" borderId="15" xfId="0" applyFont="1" applyBorder="1" applyAlignment="1">
      <alignment horizontal="center"/>
    </xf>
    <xf numFmtId="0" fontId="15" fillId="0" borderId="0" xfId="10" applyFont="1" applyAlignment="1">
      <alignment horizontal="center"/>
    </xf>
    <xf numFmtId="0" fontId="16" fillId="9" borderId="6" xfId="10" applyFont="1" applyFill="1" applyBorder="1" applyAlignment="1">
      <alignment horizontal="center" vertical="center"/>
    </xf>
    <xf numFmtId="0" fontId="16" fillId="9" borderId="12" xfId="10" applyFont="1" applyFill="1" applyBorder="1" applyAlignment="1">
      <alignment horizontal="center" vertical="center"/>
    </xf>
    <xf numFmtId="0" fontId="16" fillId="9" borderId="38" xfId="10" applyFont="1" applyFill="1" applyBorder="1" applyAlignment="1">
      <alignment horizontal="center"/>
    </xf>
    <xf numFmtId="0" fontId="16" fillId="9" borderId="15" xfId="10" applyFont="1" applyFill="1" applyBorder="1" applyAlignment="1">
      <alignment horizontal="center"/>
    </xf>
    <xf numFmtId="0" fontId="52" fillId="0" borderId="15" xfId="0" applyFont="1" applyBorder="1" applyAlignment="1">
      <alignment horizontal="center"/>
    </xf>
    <xf numFmtId="0" fontId="52" fillId="0" borderId="37" xfId="0" applyFont="1" applyBorder="1" applyAlignment="1">
      <alignment horizontal="center"/>
    </xf>
    <xf numFmtId="0" fontId="52" fillId="0" borderId="79" xfId="0" applyFont="1" applyBorder="1" applyAlignment="1">
      <alignment horizontal="center"/>
    </xf>
    <xf numFmtId="0" fontId="52" fillId="0" borderId="38" xfId="0" applyFont="1" applyBorder="1" applyAlignment="1">
      <alignment horizontal="center"/>
    </xf>
    <xf numFmtId="0" fontId="31" fillId="0" borderId="0" xfId="0" applyFont="1" applyAlignment="1">
      <alignment horizontal="center"/>
    </xf>
    <xf numFmtId="0" fontId="16" fillId="0" borderId="15" xfId="0" applyFont="1" applyBorder="1" applyAlignment="1">
      <alignment horizontal="center"/>
    </xf>
    <xf numFmtId="2" fontId="16" fillId="0" borderId="0" xfId="0" applyNumberFormat="1" applyFont="1"/>
    <xf numFmtId="0" fontId="16" fillId="3" borderId="66" xfId="1" applyNumberFormat="1" applyFont="1" applyFill="1" applyBorder="1" applyAlignment="1">
      <alignment horizontal="center"/>
    </xf>
    <xf numFmtId="14" fontId="16" fillId="0" borderId="0" xfId="0" quotePrefix="1" applyNumberFormat="1" applyFont="1"/>
  </cellXfs>
  <cellStyles count="24">
    <cellStyle name="Comma" xfId="1" builtinId="3"/>
    <cellStyle name="Comma0" xfId="2"/>
    <cellStyle name="Currency" xfId="3" builtinId="4"/>
    <cellStyle name="Currency0" xfId="4"/>
    <cellStyle name="Date" xfId="5"/>
    <cellStyle name="Fixed" xfId="6"/>
    <cellStyle name="Heading 1" xfId="7" builtinId="16" customBuiltin="1"/>
    <cellStyle name="Heading 2" xfId="8" builtinId="17" customBuiltin="1"/>
    <cellStyle name="Hyperlink" xfId="9" builtinId="8"/>
    <cellStyle name="Normal" xfId="0" builtinId="0"/>
    <cellStyle name="Normal_Sheet1" xfId="10"/>
    <cellStyle name="Total" xfId="11" builtinId="25" customBuiltin="1"/>
    <cellStyle name="똿뗦먛귟 [0.00]_PRODUCT DETAIL Q1" xfId="12"/>
    <cellStyle name="똿뗦먛귟_PRODUCT DETAIL Q1" xfId="13"/>
    <cellStyle name="믅됞 [0.00]_PRODUCT DETAIL Q1" xfId="14"/>
    <cellStyle name="믅됞_PRODUCT DETAIL Q1" xfId="15"/>
    <cellStyle name="백분율_HOBONG" xfId="16"/>
    <cellStyle name="뷭?_BOOKSHIP" xfId="17"/>
    <cellStyle name="콤마 [0]_1202" xfId="18"/>
    <cellStyle name="콤마_1202" xfId="19"/>
    <cellStyle name="통화 [0]_1202" xfId="20"/>
    <cellStyle name="통화_1202" xfId="21"/>
    <cellStyle name="표준_(정보부문)월별인원계획" xfId="22"/>
    <cellStyle name="표준_kc-elec system check list" xf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Profit ($)</a:t>
            </a:r>
          </a:p>
        </c:rich>
      </c:tx>
      <c:overlay val="0"/>
    </c:title>
    <c:autoTitleDeleted val="0"/>
    <c:plotArea>
      <c:layout/>
      <c:barChart>
        <c:barDir val="col"/>
        <c:grouping val="clustered"/>
        <c:varyColors val="0"/>
        <c:ser>
          <c:idx val="0"/>
          <c:order val="0"/>
          <c:tx>
            <c:strRef>
              <c:f>'B23'!$M$3</c:f>
              <c:strCache>
                <c:ptCount val="1"/>
                <c:pt idx="0">
                  <c:v>Lói ($)</c:v>
                </c:pt>
              </c:strCache>
            </c:strRef>
          </c:tx>
          <c:invertIfNegative val="0"/>
          <c:cat>
            <c:strRef>
              <c:f>'B23'!$L$4:$L$12</c:f>
              <c:strCache>
                <c:ptCount val="9"/>
                <c:pt idx="0">
                  <c:v>A1</c:v>
                </c:pt>
                <c:pt idx="1">
                  <c:v>A2</c:v>
                </c:pt>
                <c:pt idx="2">
                  <c:v>A3</c:v>
                </c:pt>
                <c:pt idx="3">
                  <c:v>B3</c:v>
                </c:pt>
                <c:pt idx="4">
                  <c:v>B4</c:v>
                </c:pt>
                <c:pt idx="5">
                  <c:v>B5</c:v>
                </c:pt>
                <c:pt idx="6">
                  <c:v>A4</c:v>
                </c:pt>
                <c:pt idx="7">
                  <c:v>B1</c:v>
                </c:pt>
                <c:pt idx="8">
                  <c:v>B2</c:v>
                </c:pt>
              </c:strCache>
            </c:strRef>
          </c:cat>
          <c:val>
            <c:numRef>
              <c:f>'B23'!$M$4:$M$12</c:f>
              <c:numCache>
                <c:formatCode>"$"#,##0</c:formatCode>
                <c:ptCount val="9"/>
                <c:pt idx="0">
                  <c:v>227692.79999999996</c:v>
                </c:pt>
                <c:pt idx="1">
                  <c:v>83039.999999999971</c:v>
                </c:pt>
                <c:pt idx="2">
                  <c:v>72720.000000000029</c:v>
                </c:pt>
                <c:pt idx="3">
                  <c:v>179550</c:v>
                </c:pt>
                <c:pt idx="4">
                  <c:v>149099.99999999991</c:v>
                </c:pt>
                <c:pt idx="5">
                  <c:v>58752.000000000044</c:v>
                </c:pt>
                <c:pt idx="6">
                  <c:v>97523.999999999956</c:v>
                </c:pt>
                <c:pt idx="7">
                  <c:v>290880</c:v>
                </c:pt>
                <c:pt idx="8">
                  <c:v>132400.7999999999</c:v>
                </c:pt>
              </c:numCache>
            </c:numRef>
          </c:val>
        </c:ser>
        <c:dLbls>
          <c:showLegendKey val="0"/>
          <c:showVal val="0"/>
          <c:showCatName val="0"/>
          <c:showSerName val="0"/>
          <c:showPercent val="0"/>
          <c:showBubbleSize val="0"/>
        </c:dLbls>
        <c:gapWidth val="150"/>
        <c:axId val="116954624"/>
        <c:axId val="116956160"/>
      </c:barChart>
      <c:catAx>
        <c:axId val="116954624"/>
        <c:scaling>
          <c:orientation val="minMax"/>
        </c:scaling>
        <c:delete val="0"/>
        <c:axPos val="b"/>
        <c:majorTickMark val="out"/>
        <c:minorTickMark val="none"/>
        <c:tickLblPos val="nextTo"/>
        <c:crossAx val="116956160"/>
        <c:crosses val="autoZero"/>
        <c:auto val="1"/>
        <c:lblAlgn val="ctr"/>
        <c:lblOffset val="100"/>
        <c:noMultiLvlLbl val="0"/>
      </c:catAx>
      <c:valAx>
        <c:axId val="116956160"/>
        <c:scaling>
          <c:orientation val="minMax"/>
        </c:scaling>
        <c:delete val="0"/>
        <c:axPos val="l"/>
        <c:majorGridlines/>
        <c:numFmt formatCode="&quot;$&quot;#,##0" sourceLinked="1"/>
        <c:majorTickMark val="out"/>
        <c:minorTickMark val="none"/>
        <c:tickLblPos val="nextTo"/>
        <c:crossAx val="1169546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590550</xdr:colOff>
      <xdr:row>25</xdr:row>
      <xdr:rowOff>128587</xdr:rowOff>
    </xdr:from>
    <xdr:to>
      <xdr:col>14</xdr:col>
      <xdr:colOff>333375</xdr:colOff>
      <xdr:row>39</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15</xdr:row>
      <xdr:rowOff>57150</xdr:rowOff>
    </xdr:from>
    <xdr:to>
      <xdr:col>8</xdr:col>
      <xdr:colOff>295275</xdr:colOff>
      <xdr:row>18</xdr:row>
      <xdr:rowOff>19050</xdr:rowOff>
    </xdr:to>
    <xdr:grpSp>
      <xdr:nvGrpSpPr>
        <xdr:cNvPr id="1214" name="Group 9"/>
        <xdr:cNvGrpSpPr>
          <a:grpSpLocks/>
        </xdr:cNvGrpSpPr>
      </xdr:nvGrpSpPr>
      <xdr:grpSpPr bwMode="auto">
        <a:xfrm>
          <a:off x="66675" y="3343275"/>
          <a:ext cx="4524375" cy="571500"/>
          <a:chOff x="7" y="409"/>
          <a:chExt cx="416" cy="59"/>
        </a:xfrm>
      </xdr:grpSpPr>
      <xdr:sp macro="" textlink="">
        <xdr:nvSpPr>
          <xdr:cNvPr id="1215" name="Text 1"/>
          <xdr:cNvSpPr txBox="1">
            <a:spLocks noChangeArrowheads="1"/>
          </xdr:cNvSpPr>
        </xdr:nvSpPr>
        <xdr:spPr bwMode="auto">
          <a:xfrm>
            <a:off x="7" y="409"/>
            <a:ext cx="416" cy="5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216" name="Line 2"/>
          <xdr:cNvSpPr>
            <a:spLocks noChangeShapeType="1"/>
          </xdr:cNvSpPr>
        </xdr:nvSpPr>
        <xdr:spPr bwMode="auto">
          <a:xfrm>
            <a:off x="109" y="439"/>
            <a:ext cx="280" cy="0"/>
          </a:xfrm>
          <a:prstGeom prst="line">
            <a:avLst/>
          </a:prstGeom>
          <a:noFill/>
          <a:ln w="1714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sp macro="" textlink="">
        <xdr:nvSpPr>
          <xdr:cNvPr id="1217" name="Line 3"/>
          <xdr:cNvSpPr>
            <a:spLocks noChangeShapeType="1"/>
          </xdr:cNvSpPr>
        </xdr:nvSpPr>
        <xdr:spPr bwMode="auto">
          <a:xfrm>
            <a:off x="149" y="432"/>
            <a:ext cx="0" cy="12"/>
          </a:xfrm>
          <a:prstGeom prst="line">
            <a:avLst/>
          </a:prstGeom>
          <a:noFill/>
          <a:ln w="1714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sp macro="" textlink="">
        <xdr:nvSpPr>
          <xdr:cNvPr id="1218" name="Line 4"/>
          <xdr:cNvSpPr>
            <a:spLocks noChangeShapeType="1"/>
          </xdr:cNvSpPr>
        </xdr:nvSpPr>
        <xdr:spPr bwMode="auto">
          <a:xfrm>
            <a:off x="207" y="432"/>
            <a:ext cx="0" cy="12"/>
          </a:xfrm>
          <a:prstGeom prst="line">
            <a:avLst/>
          </a:prstGeom>
          <a:noFill/>
          <a:ln w="1714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sp macro="" textlink="">
        <xdr:nvSpPr>
          <xdr:cNvPr id="1219" name="Line 5"/>
          <xdr:cNvSpPr>
            <a:spLocks noChangeShapeType="1"/>
          </xdr:cNvSpPr>
        </xdr:nvSpPr>
        <xdr:spPr bwMode="auto">
          <a:xfrm>
            <a:off x="265" y="432"/>
            <a:ext cx="0" cy="12"/>
          </a:xfrm>
          <a:prstGeom prst="line">
            <a:avLst/>
          </a:prstGeom>
          <a:noFill/>
          <a:ln w="1714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sp macro="" textlink="">
        <xdr:nvSpPr>
          <xdr:cNvPr id="1220" name="Line 6"/>
          <xdr:cNvSpPr>
            <a:spLocks noChangeShapeType="1"/>
          </xdr:cNvSpPr>
        </xdr:nvSpPr>
        <xdr:spPr bwMode="auto">
          <a:xfrm>
            <a:off x="333" y="433"/>
            <a:ext cx="0" cy="12"/>
          </a:xfrm>
          <a:prstGeom prst="line">
            <a:avLst/>
          </a:prstGeom>
          <a:noFill/>
          <a:ln w="1714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sp macro="" textlink="">
        <xdr:nvSpPr>
          <xdr:cNvPr id="1031" name="Text 7"/>
          <xdr:cNvSpPr txBox="1">
            <a:spLocks noChangeArrowheads="1"/>
          </xdr:cNvSpPr>
        </xdr:nvSpPr>
        <xdr:spPr bwMode="auto">
          <a:xfrm>
            <a:off x="36" y="445"/>
            <a:ext cx="381" cy="1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VnTime"/>
              </a:rPr>
              <a:t> XÕp lo¹i         KÐm  </a:t>
            </a:r>
            <a:r>
              <a:rPr lang="en-US" sz="1000" b="0" i="0" u="none" strike="noStrike" baseline="0">
                <a:solidFill>
                  <a:srgbClr val="FF0000"/>
                </a:solidFill>
                <a:latin typeface=".VnTime"/>
              </a:rPr>
              <a:t>5</a:t>
            </a:r>
            <a:r>
              <a:rPr lang="en-US" sz="1000" b="0" i="0" u="none" strike="noStrike" baseline="0">
                <a:solidFill>
                  <a:srgbClr val="000000"/>
                </a:solidFill>
                <a:latin typeface=".VnTime"/>
              </a:rPr>
              <a:t>       TB    </a:t>
            </a:r>
            <a:r>
              <a:rPr lang="en-US" sz="1000" b="0" i="0" u="none" strike="noStrike" baseline="0">
                <a:solidFill>
                  <a:srgbClr val="FF0000"/>
                </a:solidFill>
                <a:latin typeface=".VnTime"/>
              </a:rPr>
              <a:t>6.5</a:t>
            </a:r>
            <a:r>
              <a:rPr lang="en-US" sz="1000" b="0" i="0" u="none" strike="noStrike" baseline="0">
                <a:solidFill>
                  <a:srgbClr val="000000"/>
                </a:solidFill>
                <a:latin typeface=".VnTime"/>
              </a:rPr>
              <a:t>    Kh¸    </a:t>
            </a:r>
            <a:r>
              <a:rPr lang="en-US" sz="1000" b="0" i="0" u="none" strike="noStrike" baseline="0">
                <a:solidFill>
                  <a:srgbClr val="FF0000"/>
                </a:solidFill>
                <a:latin typeface=".VnTime"/>
              </a:rPr>
              <a:t>8</a:t>
            </a:r>
            <a:r>
              <a:rPr lang="en-US" sz="1000" b="0" i="0" u="none" strike="noStrike" baseline="0">
                <a:solidFill>
                  <a:srgbClr val="000000"/>
                </a:solidFill>
                <a:latin typeface=".VnTime"/>
              </a:rPr>
              <a:t>     Giái   </a:t>
            </a:r>
            <a:r>
              <a:rPr lang="en-US" sz="1000" b="0" i="0" u="none" strike="noStrike" baseline="0">
                <a:solidFill>
                  <a:srgbClr val="FF0000"/>
                </a:solidFill>
                <a:latin typeface=".VnTime"/>
              </a:rPr>
              <a:t>9.5</a:t>
            </a:r>
            <a:r>
              <a:rPr lang="en-US" sz="1000" b="0" i="0" u="none" strike="noStrike" baseline="0">
                <a:solidFill>
                  <a:srgbClr val="000000"/>
                </a:solidFill>
                <a:latin typeface=".VnTime"/>
              </a:rPr>
              <a:t>  XuÊt s¾c</a:t>
            </a:r>
          </a:p>
        </xdr:txBody>
      </xdr:sp>
      <xdr:sp macro="" textlink="">
        <xdr:nvSpPr>
          <xdr:cNvPr id="1032" name="Text 8"/>
          <xdr:cNvSpPr txBox="1">
            <a:spLocks noChangeArrowheads="1"/>
          </xdr:cNvSpPr>
        </xdr:nvSpPr>
        <xdr:spPr bwMode="auto">
          <a:xfrm>
            <a:off x="34" y="414"/>
            <a:ext cx="35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VnTime"/>
              </a:rPr>
              <a:t> Häc bæng</a:t>
            </a:r>
            <a:r>
              <a:rPr lang="en-US" sz="1000" b="0" i="0" u="none" strike="noStrike" baseline="0">
                <a:solidFill>
                  <a:srgbClr val="008000"/>
                </a:solidFill>
                <a:latin typeface=".VnTime"/>
              </a:rPr>
              <a:t>       -100           0               50              100              200</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133350</xdr:colOff>
      <xdr:row>56</xdr:row>
      <xdr:rowOff>152400</xdr:rowOff>
    </xdr:to>
    <xdr:pic>
      <xdr:nvPicPr>
        <xdr:cNvPr id="8235" name="Picture 1" descr="papercli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59000"/>
          <a:ext cx="13335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xdr:row>
      <xdr:rowOff>0</xdr:rowOff>
    </xdr:from>
    <xdr:to>
      <xdr:col>0</xdr:col>
      <xdr:colOff>133350</xdr:colOff>
      <xdr:row>58</xdr:row>
      <xdr:rowOff>152400</xdr:rowOff>
    </xdr:to>
    <xdr:pic>
      <xdr:nvPicPr>
        <xdr:cNvPr id="8236" name="Picture 2" descr="Loại tập tin: xl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40000"/>
          <a:ext cx="13335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500743</xdr:colOff>
      <xdr:row>0</xdr:row>
      <xdr:rowOff>326571</xdr:rowOff>
    </xdr:from>
    <xdr:to>
      <xdr:col>19</xdr:col>
      <xdr:colOff>100693</xdr:colOff>
      <xdr:row>12</xdr:row>
      <xdr:rowOff>185045</xdr:rowOff>
    </xdr:to>
    <xdr:sp macro="" textlink="">
      <xdr:nvSpPr>
        <xdr:cNvPr id="10241" name="AutoShape 1"/>
        <xdr:cNvSpPr>
          <a:spLocks noChangeArrowheads="1"/>
        </xdr:cNvSpPr>
      </xdr:nvSpPr>
      <xdr:spPr bwMode="auto">
        <a:xfrm>
          <a:off x="8915400" y="323850"/>
          <a:ext cx="4391025" cy="2409825"/>
        </a:xfrm>
        <a:prstGeom prst="wedgeEllipseCallout">
          <a:avLst>
            <a:gd name="adj1" fmla="val -85940"/>
            <a:gd name="adj2" fmla="val 33796"/>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VnTime"/>
            </a:rPr>
            <a:t>Left(B2) là lấy 1 ký tự bên trái của B2, tương tự Right(B2) là một ký tự bên phải.</a:t>
          </a:r>
        </a:p>
        <a:p>
          <a:pPr algn="l" rtl="0">
            <a:defRPr sz="1000"/>
          </a:pPr>
          <a:r>
            <a:rPr lang="en-US" sz="1200" b="0" i="0" u="none" strike="noStrike" baseline="0">
              <a:solidFill>
                <a:srgbClr val="000000"/>
              </a:solidFill>
              <a:latin typeface=".VnTime"/>
            </a:rPr>
            <a:t>Right(B2) là 1 ký tự dạng text, nhưng 1+Right(B2) cho kết quả là một Number. 1+Right(B2) là số cột trong hàm Vlookup()</a:t>
          </a:r>
        </a:p>
        <a:p>
          <a:pPr algn="l" rtl="0">
            <a:defRPr sz="1000"/>
          </a:pPr>
          <a:r>
            <a:rPr lang="en-US" sz="1200" b="0" i="0" u="none" strike="noStrike" baseline="0">
              <a:solidFill>
                <a:srgbClr val="000000"/>
              </a:solidFill>
              <a:latin typeface=".VnTime"/>
            </a:rPr>
            <a:t>Hàm Vooklup() chắc bạn biết "gồi".</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1.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3"/>
  <sheetViews>
    <sheetView showGridLines="0" workbookViewId="0">
      <selection activeCell="G12" sqref="G12"/>
    </sheetView>
  </sheetViews>
  <sheetFormatPr defaultRowHeight="15.75"/>
  <cols>
    <col min="1" max="1" width="3.625" style="12" customWidth="1"/>
    <col min="2" max="2" width="18.5" style="12" customWidth="1"/>
    <col min="3" max="3" width="8" style="12" customWidth="1"/>
    <col min="4" max="6" width="9" style="12" customWidth="1"/>
    <col min="7" max="7" width="11.25" style="12" customWidth="1"/>
    <col min="8" max="16384" width="9" style="12"/>
  </cols>
  <sheetData>
    <row r="1" spans="1:8" ht="24" customHeight="1">
      <c r="A1" s="927" t="s">
        <v>588</v>
      </c>
      <c r="B1" s="927"/>
      <c r="C1" s="927"/>
      <c r="D1" s="927"/>
      <c r="E1" s="927"/>
      <c r="F1" s="927"/>
      <c r="G1" s="927"/>
    </row>
    <row r="2" spans="1:8" ht="15" customHeight="1" thickBot="1">
      <c r="A2" s="926" t="s">
        <v>585</v>
      </c>
      <c r="B2" s="926"/>
      <c r="C2" s="926"/>
      <c r="D2" s="926"/>
      <c r="E2" s="926"/>
      <c r="F2" s="926"/>
      <c r="G2" s="926"/>
    </row>
    <row r="3" spans="1:8" ht="17.25" thickTop="1" thickBot="1">
      <c r="A3" s="14" t="s">
        <v>842</v>
      </c>
      <c r="B3" s="15" t="s">
        <v>589</v>
      </c>
      <c r="C3" s="15" t="s">
        <v>970</v>
      </c>
      <c r="D3" s="15" t="s">
        <v>971</v>
      </c>
      <c r="E3" s="15" t="s">
        <v>579</v>
      </c>
      <c r="F3" s="15" t="s">
        <v>577</v>
      </c>
      <c r="G3" s="16" t="s">
        <v>580</v>
      </c>
    </row>
    <row r="4" spans="1:8" ht="16.5" thickTop="1">
      <c r="A4" s="17">
        <v>1</v>
      </c>
      <c r="B4" s="18" t="s">
        <v>590</v>
      </c>
      <c r="C4" s="19">
        <v>290</v>
      </c>
      <c r="D4" s="19">
        <v>25</v>
      </c>
      <c r="E4" s="20">
        <f>D4*C4</f>
        <v>7250</v>
      </c>
      <c r="F4" s="20">
        <f>1/3*E4</f>
        <v>2416.6666666666665</v>
      </c>
      <c r="G4" s="21">
        <f>F4+E4</f>
        <v>9666.6666666666661</v>
      </c>
      <c r="H4" s="22"/>
    </row>
    <row r="5" spans="1:8">
      <c r="A5" s="23">
        <v>2</v>
      </c>
      <c r="B5" s="24" t="s">
        <v>587</v>
      </c>
      <c r="C5" s="25">
        <v>330</v>
      </c>
      <c r="D5" s="25">
        <v>26</v>
      </c>
      <c r="E5" s="20">
        <f t="shared" ref="E5:E11" si="0">D5*C5</f>
        <v>8580</v>
      </c>
      <c r="F5" s="20">
        <f t="shared" ref="F5:F11" si="1">1/3*E5</f>
        <v>2860</v>
      </c>
      <c r="G5" s="21">
        <f t="shared" ref="G5:G11" si="2">F5+E5</f>
        <v>11440</v>
      </c>
      <c r="H5" s="22"/>
    </row>
    <row r="6" spans="1:8">
      <c r="A6" s="23">
        <v>3</v>
      </c>
      <c r="B6" s="24" t="s">
        <v>574</v>
      </c>
      <c r="C6" s="25">
        <v>230</v>
      </c>
      <c r="D6" s="25">
        <v>25</v>
      </c>
      <c r="E6" s="20">
        <f t="shared" si="0"/>
        <v>5750</v>
      </c>
      <c r="F6" s="20">
        <f t="shared" si="1"/>
        <v>1916.6666666666665</v>
      </c>
      <c r="G6" s="21">
        <f t="shared" si="2"/>
        <v>7666.6666666666661</v>
      </c>
      <c r="H6" s="22"/>
    </row>
    <row r="7" spans="1:8">
      <c r="A7" s="23">
        <v>4</v>
      </c>
      <c r="B7" s="24" t="s">
        <v>581</v>
      </c>
      <c r="C7" s="25">
        <v>290</v>
      </c>
      <c r="D7" s="25">
        <v>26</v>
      </c>
      <c r="E7" s="20">
        <f t="shared" si="0"/>
        <v>7540</v>
      </c>
      <c r="F7" s="20">
        <f t="shared" si="1"/>
        <v>2513.333333333333</v>
      </c>
      <c r="G7" s="21">
        <f t="shared" si="2"/>
        <v>10053.333333333332</v>
      </c>
      <c r="H7" s="22"/>
    </row>
    <row r="8" spans="1:8">
      <c r="A8" s="23">
        <v>5</v>
      </c>
      <c r="B8" s="24" t="s">
        <v>578</v>
      </c>
      <c r="C8" s="25">
        <v>320</v>
      </c>
      <c r="D8" s="25">
        <v>24</v>
      </c>
      <c r="E8" s="20">
        <f t="shared" si="0"/>
        <v>7680</v>
      </c>
      <c r="F8" s="20">
        <f t="shared" si="1"/>
        <v>2560</v>
      </c>
      <c r="G8" s="21">
        <f t="shared" si="2"/>
        <v>10240</v>
      </c>
      <c r="H8" s="22"/>
    </row>
    <row r="9" spans="1:8">
      <c r="A9" s="23">
        <v>6</v>
      </c>
      <c r="B9" s="24" t="s">
        <v>972</v>
      </c>
      <c r="C9" s="25">
        <v>520</v>
      </c>
      <c r="D9" s="25">
        <v>26</v>
      </c>
      <c r="E9" s="20">
        <f t="shared" si="0"/>
        <v>13520</v>
      </c>
      <c r="F9" s="20">
        <f t="shared" si="1"/>
        <v>4506.6666666666661</v>
      </c>
      <c r="G9" s="21">
        <f t="shared" si="2"/>
        <v>18026.666666666664</v>
      </c>
      <c r="H9" s="22"/>
    </row>
    <row r="10" spans="1:8">
      <c r="A10" s="23">
        <v>7</v>
      </c>
      <c r="B10" s="24" t="s">
        <v>575</v>
      </c>
      <c r="C10" s="25">
        <v>470</v>
      </c>
      <c r="D10" s="25">
        <v>25</v>
      </c>
      <c r="E10" s="20">
        <f t="shared" si="0"/>
        <v>11750</v>
      </c>
      <c r="F10" s="20">
        <f t="shared" si="1"/>
        <v>3916.6666666666665</v>
      </c>
      <c r="G10" s="21">
        <f t="shared" si="2"/>
        <v>15666.666666666666</v>
      </c>
      <c r="H10" s="22"/>
    </row>
    <row r="11" spans="1:8">
      <c r="A11" s="23">
        <v>8</v>
      </c>
      <c r="B11" s="24" t="s">
        <v>586</v>
      </c>
      <c r="C11" s="25">
        <v>450</v>
      </c>
      <c r="D11" s="25">
        <v>23</v>
      </c>
      <c r="E11" s="20">
        <f t="shared" si="0"/>
        <v>10350</v>
      </c>
      <c r="F11" s="20">
        <f t="shared" si="1"/>
        <v>3450</v>
      </c>
      <c r="G11" s="21">
        <f t="shared" si="2"/>
        <v>13800</v>
      </c>
      <c r="H11" s="22"/>
    </row>
    <row r="12" spans="1:8" ht="19.5" customHeight="1" thickBot="1">
      <c r="A12" s="928" t="s">
        <v>576</v>
      </c>
      <c r="B12" s="929"/>
      <c r="C12" s="929"/>
      <c r="D12" s="929"/>
      <c r="E12" s="20">
        <f>SUM(E4:E11)</f>
        <v>72420</v>
      </c>
      <c r="F12" s="20">
        <f t="shared" ref="F12:G12" si="3">SUM(F4:F11)</f>
        <v>24139.999999999996</v>
      </c>
      <c r="G12" s="20">
        <f t="shared" si="3"/>
        <v>96559.999999999985</v>
      </c>
    </row>
    <row r="13" spans="1:8" ht="16.5" thickTop="1"/>
    <row r="14" spans="1:8">
      <c r="A14" s="26" t="s">
        <v>582</v>
      </c>
    </row>
    <row r="15" spans="1:8">
      <c r="A15" s="26" t="s">
        <v>583</v>
      </c>
    </row>
    <row r="16" spans="1:8">
      <c r="A16" s="26" t="s">
        <v>584</v>
      </c>
    </row>
    <row r="17" spans="1:8">
      <c r="A17" s="26" t="s">
        <v>591</v>
      </c>
    </row>
    <row r="23" spans="1:8">
      <c r="H23" s="12" t="s">
        <v>512</v>
      </c>
    </row>
  </sheetData>
  <mergeCells count="3">
    <mergeCell ref="A2:G2"/>
    <mergeCell ref="A1:G1"/>
    <mergeCell ref="A12:D12"/>
  </mergeCells>
  <phoneticPr fontId="0" type="noConversion"/>
  <pageMargins left="0.75" right="0.75" top="1" bottom="1" header="0.5" footer="0.5"/>
  <pageSetup paperSize="9" orientation="portrait" r:id="rId1"/>
  <headerFooter alignWithMargins="0">
    <oddFooter>&amp;R&amp;A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0"/>
  <sheetViews>
    <sheetView showGridLines="0" workbookViewId="0">
      <selection activeCell="C8" sqref="C8"/>
    </sheetView>
  </sheetViews>
  <sheetFormatPr defaultColWidth="8.875" defaultRowHeight="15.75"/>
  <cols>
    <col min="1" max="1" width="8.875" style="27"/>
    <col min="2" max="2" width="12.75" style="27" customWidth="1"/>
    <col min="3" max="16384" width="8.875" style="27"/>
  </cols>
  <sheetData>
    <row r="1" spans="1:8" ht="24" customHeight="1">
      <c r="A1" s="930" t="s">
        <v>594</v>
      </c>
      <c r="B1" s="930"/>
      <c r="C1" s="930"/>
      <c r="D1" s="930"/>
      <c r="E1" s="930"/>
      <c r="F1" s="930"/>
      <c r="G1" s="930"/>
      <c r="H1" s="930"/>
    </row>
    <row r="2" spans="1:8">
      <c r="A2" s="28" t="s">
        <v>602</v>
      </c>
      <c r="B2" s="28" t="s">
        <v>600</v>
      </c>
      <c r="C2" s="28" t="s">
        <v>841</v>
      </c>
      <c r="D2" s="28" t="s">
        <v>601</v>
      </c>
      <c r="E2" s="28" t="s">
        <v>605</v>
      </c>
      <c r="F2" s="28" t="s">
        <v>592</v>
      </c>
      <c r="G2" s="28" t="s">
        <v>593</v>
      </c>
      <c r="H2" s="28" t="s">
        <v>596</v>
      </c>
    </row>
    <row r="3" spans="1:8">
      <c r="A3" s="29" t="s">
        <v>597</v>
      </c>
      <c r="B3" s="29">
        <v>7</v>
      </c>
      <c r="C3" s="29">
        <v>8</v>
      </c>
      <c r="D3" s="29">
        <v>6</v>
      </c>
      <c r="E3" s="29">
        <v>9</v>
      </c>
      <c r="F3" s="29">
        <v>3</v>
      </c>
      <c r="G3" s="29">
        <v>7</v>
      </c>
      <c r="H3" s="29">
        <v>4</v>
      </c>
    </row>
    <row r="4" spans="1:8">
      <c r="A4" s="30" t="s">
        <v>604</v>
      </c>
      <c r="B4" s="30"/>
      <c r="C4" s="31">
        <f>AVERAGE(B3:H3)</f>
        <v>6.2857142857142856</v>
      </c>
    </row>
    <row r="5" spans="1:8">
      <c r="A5" s="30" t="s">
        <v>598</v>
      </c>
      <c r="B5" s="30"/>
      <c r="C5" s="32">
        <f>MAX(B3:H3)</f>
        <v>9</v>
      </c>
    </row>
    <row r="6" spans="1:8">
      <c r="A6" s="30" t="s">
        <v>599</v>
      </c>
      <c r="B6" s="30"/>
      <c r="C6" s="32">
        <f>MIN(B3:H3)</f>
        <v>3</v>
      </c>
    </row>
    <row r="7" spans="1:8">
      <c r="A7" s="30" t="s">
        <v>595</v>
      </c>
      <c r="B7" s="30"/>
      <c r="C7" s="32">
        <f>SUM(B3:H3)</f>
        <v>44</v>
      </c>
    </row>
    <row r="8" spans="1:8">
      <c r="A8" s="30" t="s">
        <v>603</v>
      </c>
      <c r="B8" s="30"/>
      <c r="C8" s="32">
        <f>COUNT(A3:H3)</f>
        <v>7</v>
      </c>
    </row>
    <row r="10" spans="1:8">
      <c r="A10" s="33" t="s">
        <v>606</v>
      </c>
    </row>
  </sheetData>
  <mergeCells count="1">
    <mergeCell ref="A1:H1"/>
  </mergeCells>
  <phoneticPr fontId="0" type="noConversion"/>
  <pageMargins left="0.75" right="0.75" top="1" bottom="1" header="0.5" footer="0.5"/>
  <pageSetup paperSize="9" orientation="portrait" r:id="rId1"/>
  <headerFooter alignWithMargins="0">
    <oddFooter>&amp;R&amp;A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7"/>
  <sheetViews>
    <sheetView showGridLines="0" workbookViewId="0">
      <selection activeCell="H4" sqref="H4"/>
    </sheetView>
  </sheetViews>
  <sheetFormatPr defaultColWidth="8.875" defaultRowHeight="15.75"/>
  <cols>
    <col min="1" max="1" width="4.25" style="27" customWidth="1"/>
    <col min="2" max="2" width="15.75" style="27" customWidth="1"/>
    <col min="3" max="6" width="8.875" style="27"/>
    <col min="7" max="7" width="3.625" style="27" customWidth="1"/>
    <col min="8" max="8" width="11.75" style="27" customWidth="1"/>
    <col min="9" max="16384" width="8.875" style="27"/>
  </cols>
  <sheetData>
    <row r="1" spans="1:9" ht="24" customHeight="1" thickBot="1">
      <c r="A1" s="931" t="s">
        <v>625</v>
      </c>
      <c r="B1" s="931"/>
      <c r="C1" s="931"/>
      <c r="D1" s="931"/>
      <c r="E1" s="931"/>
      <c r="F1" s="931"/>
      <c r="G1" s="34"/>
    </row>
    <row r="2" spans="1:9" ht="18" customHeight="1" thickTop="1">
      <c r="A2" s="932" t="s">
        <v>842</v>
      </c>
      <c r="B2" s="937" t="s">
        <v>589</v>
      </c>
      <c r="C2" s="937"/>
      <c r="D2" s="937" t="s">
        <v>614</v>
      </c>
      <c r="E2" s="937" t="s">
        <v>616</v>
      </c>
      <c r="F2" s="934" t="s">
        <v>617</v>
      </c>
      <c r="H2" s="932" t="s">
        <v>628</v>
      </c>
      <c r="I2" s="934" t="s">
        <v>618</v>
      </c>
    </row>
    <row r="3" spans="1:9" ht="18" customHeight="1" thickBot="1">
      <c r="A3" s="936"/>
      <c r="B3" s="938"/>
      <c r="C3" s="938"/>
      <c r="D3" s="938"/>
      <c r="E3" s="938"/>
      <c r="F3" s="939"/>
      <c r="H3" s="933"/>
      <c r="I3" s="935"/>
    </row>
    <row r="4" spans="1:9" ht="17.25" thickTop="1" thickBot="1">
      <c r="A4" s="42">
        <v>1</v>
      </c>
      <c r="B4" s="43" t="s">
        <v>607</v>
      </c>
      <c r="C4" s="43" t="s">
        <v>630</v>
      </c>
      <c r="D4" s="43" t="s">
        <v>843</v>
      </c>
      <c r="E4" s="44">
        <v>1000</v>
      </c>
      <c r="F4" s="45">
        <f>IF(D4="GD",E4*20%,IF(D4="PGD",E4*15%,IF(D4="TP",E4*10%,E4*4%)))</f>
        <v>200</v>
      </c>
      <c r="H4" s="46">
        <f>SUMIF(D4:D12,D12,E4:E12)</f>
        <v>2700</v>
      </c>
      <c r="I4" s="47">
        <f>COUNTIF(F4:F12,"&gt;20")</f>
        <v>3</v>
      </c>
    </row>
    <row r="5" spans="1:9" ht="16.5" thickTop="1">
      <c r="A5" s="48">
        <v>2</v>
      </c>
      <c r="B5" s="30" t="s">
        <v>609</v>
      </c>
      <c r="C5" s="30" t="s">
        <v>615</v>
      </c>
      <c r="D5" s="30" t="s">
        <v>844</v>
      </c>
      <c r="E5" s="49">
        <v>800</v>
      </c>
      <c r="F5" s="45">
        <f t="shared" ref="F5:F12" si="0">IF(D5="GD",E5*20%,IF(D5="PGD",E5*15%,IF(D5="TP",E5*10%,E5*4%)))</f>
        <v>120</v>
      </c>
    </row>
    <row r="6" spans="1:9">
      <c r="A6" s="48">
        <v>3</v>
      </c>
      <c r="B6" s="30" t="s">
        <v>610</v>
      </c>
      <c r="C6" s="30" t="s">
        <v>613</v>
      </c>
      <c r="D6" s="30" t="s">
        <v>845</v>
      </c>
      <c r="E6" s="49">
        <v>600</v>
      </c>
      <c r="F6" s="45">
        <f t="shared" si="0"/>
        <v>60</v>
      </c>
    </row>
    <row r="7" spans="1:9">
      <c r="A7" s="48">
        <v>4</v>
      </c>
      <c r="B7" s="30" t="s">
        <v>626</v>
      </c>
      <c r="C7" s="30" t="s">
        <v>623</v>
      </c>
      <c r="D7" s="30" t="s">
        <v>846</v>
      </c>
      <c r="E7" s="49">
        <v>500</v>
      </c>
      <c r="F7" s="45">
        <f t="shared" si="0"/>
        <v>20</v>
      </c>
    </row>
    <row r="8" spans="1:9">
      <c r="A8" s="48">
        <v>5</v>
      </c>
      <c r="B8" s="30" t="s">
        <v>611</v>
      </c>
      <c r="C8" s="30" t="s">
        <v>847</v>
      </c>
      <c r="D8" s="30" t="s">
        <v>846</v>
      </c>
      <c r="E8" s="49">
        <v>450</v>
      </c>
      <c r="F8" s="45">
        <f t="shared" si="0"/>
        <v>18</v>
      </c>
    </row>
    <row r="9" spans="1:9">
      <c r="A9" s="48">
        <v>6</v>
      </c>
      <c r="B9" s="30" t="s">
        <v>608</v>
      </c>
      <c r="C9" s="30" t="s">
        <v>627</v>
      </c>
      <c r="D9" s="30" t="s">
        <v>846</v>
      </c>
      <c r="E9" s="49">
        <v>400</v>
      </c>
      <c r="F9" s="45">
        <f t="shared" si="0"/>
        <v>16</v>
      </c>
    </row>
    <row r="10" spans="1:9">
      <c r="A10" s="48">
        <v>7</v>
      </c>
      <c r="B10" s="30" t="s">
        <v>624</v>
      </c>
      <c r="C10" s="30" t="s">
        <v>848</v>
      </c>
      <c r="D10" s="30" t="s">
        <v>846</v>
      </c>
      <c r="E10" s="49">
        <v>400</v>
      </c>
      <c r="F10" s="45">
        <f t="shared" si="0"/>
        <v>16</v>
      </c>
    </row>
    <row r="11" spans="1:9">
      <c r="A11" s="48">
        <v>8</v>
      </c>
      <c r="B11" s="30" t="s">
        <v>612</v>
      </c>
      <c r="C11" s="30" t="s">
        <v>619</v>
      </c>
      <c r="D11" s="30" t="s">
        <v>846</v>
      </c>
      <c r="E11" s="49">
        <v>500</v>
      </c>
      <c r="F11" s="45">
        <f t="shared" si="0"/>
        <v>20</v>
      </c>
    </row>
    <row r="12" spans="1:9" ht="16.5" thickBot="1">
      <c r="A12" s="50">
        <v>9</v>
      </c>
      <c r="B12" s="51" t="s">
        <v>622</v>
      </c>
      <c r="C12" s="51" t="s">
        <v>620</v>
      </c>
      <c r="D12" s="51" t="s">
        <v>846</v>
      </c>
      <c r="E12" s="52">
        <v>450</v>
      </c>
      <c r="F12" s="45">
        <f t="shared" si="0"/>
        <v>18</v>
      </c>
    </row>
    <row r="13" spans="1:9" ht="16.5" thickTop="1"/>
    <row r="14" spans="1:9">
      <c r="A14" s="33" t="s">
        <v>631</v>
      </c>
    </row>
    <row r="15" spans="1:9">
      <c r="A15" s="33" t="s">
        <v>621</v>
      </c>
    </row>
    <row r="16" spans="1:9">
      <c r="A16" s="33" t="s">
        <v>632</v>
      </c>
    </row>
    <row r="17" spans="1:1">
      <c r="A17" s="33" t="s">
        <v>629</v>
      </c>
    </row>
  </sheetData>
  <mergeCells count="8">
    <mergeCell ref="A1:F1"/>
    <mergeCell ref="H2:H3"/>
    <mergeCell ref="I2:I3"/>
    <mergeCell ref="A2:A3"/>
    <mergeCell ref="B2:C3"/>
    <mergeCell ref="D2:D3"/>
    <mergeCell ref="E2:E3"/>
    <mergeCell ref="F2:F3"/>
  </mergeCells>
  <phoneticPr fontId="0" type="noConversion"/>
  <pageMargins left="0.75" right="0.36" top="1" bottom="1" header="0.5" footer="0.5"/>
  <pageSetup paperSize="9" orientation="portrait" r:id="rId1"/>
  <headerFooter alignWithMargins="0">
    <oddFooter>&amp;R&amp;A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7"/>
  <sheetViews>
    <sheetView showGridLines="0" workbookViewId="0">
      <selection activeCell="B6" sqref="B6"/>
    </sheetView>
  </sheetViews>
  <sheetFormatPr defaultColWidth="8.875" defaultRowHeight="15.75"/>
  <cols>
    <col min="1" max="1" width="16.875" style="27" customWidth="1"/>
    <col min="2" max="4" width="10.625" style="27" customWidth="1"/>
    <col min="5" max="16384" width="8.875" style="27"/>
  </cols>
  <sheetData>
    <row r="1" spans="1:4" ht="24" customHeight="1">
      <c r="A1" s="930" t="s">
        <v>638</v>
      </c>
      <c r="B1" s="930"/>
      <c r="C1" s="930"/>
      <c r="D1" s="930"/>
    </row>
    <row r="2" spans="1:4">
      <c r="A2" s="28" t="s">
        <v>637</v>
      </c>
      <c r="B2" s="28" t="s">
        <v>633</v>
      </c>
      <c r="C2" s="28" t="s">
        <v>634</v>
      </c>
      <c r="D2" s="28" t="s">
        <v>639</v>
      </c>
    </row>
    <row r="3" spans="1:4">
      <c r="A3" s="30" t="s">
        <v>635</v>
      </c>
      <c r="B3" s="53">
        <v>37567</v>
      </c>
      <c r="C3" s="53">
        <v>37588</v>
      </c>
      <c r="D3" s="54">
        <v>200</v>
      </c>
    </row>
    <row r="4" spans="1:4">
      <c r="A4" s="55" t="s">
        <v>636</v>
      </c>
      <c r="B4" s="56">
        <f>C3-B3</f>
        <v>21</v>
      </c>
      <c r="C4" s="57"/>
      <c r="D4" s="58"/>
    </row>
    <row r="5" spans="1:4">
      <c r="A5" s="55" t="s">
        <v>640</v>
      </c>
      <c r="B5" s="59">
        <f>B4*D3</f>
        <v>4200</v>
      </c>
      <c r="C5" s="60"/>
      <c r="D5" s="61"/>
    </row>
    <row r="7" spans="1:4">
      <c r="A7" s="33" t="s">
        <v>641</v>
      </c>
    </row>
  </sheetData>
  <mergeCells count="1">
    <mergeCell ref="A1:D1"/>
  </mergeCells>
  <phoneticPr fontId="0" type="noConversion"/>
  <pageMargins left="0.75" right="0.75" top="1" bottom="1" header="0.5" footer="0.5"/>
  <pageSetup paperSize="9" orientation="portrait" r:id="rId1"/>
  <headerFooter alignWithMargins="0">
    <oddFooter>&amp;R&amp;A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3"/>
  <sheetViews>
    <sheetView showGridLines="0" workbookViewId="0">
      <selection activeCell="F4" sqref="F4"/>
    </sheetView>
  </sheetViews>
  <sheetFormatPr defaultColWidth="8.875" defaultRowHeight="15.75"/>
  <cols>
    <col min="1" max="1" width="19.5" style="27" customWidth="1"/>
    <col min="2" max="16384" width="8.875" style="27"/>
  </cols>
  <sheetData>
    <row r="1" spans="1:6" ht="24" customHeight="1" thickBot="1">
      <c r="A1" s="927" t="s">
        <v>647</v>
      </c>
      <c r="B1" s="927"/>
      <c r="C1" s="927"/>
      <c r="D1" s="927"/>
      <c r="E1" s="927"/>
      <c r="F1" s="927"/>
    </row>
    <row r="2" spans="1:6" ht="16.5" thickTop="1">
      <c r="A2" s="940" t="s">
        <v>589</v>
      </c>
      <c r="B2" s="942" t="s">
        <v>597</v>
      </c>
      <c r="C2" s="942"/>
      <c r="D2" s="942"/>
      <c r="E2" s="942"/>
      <c r="F2" s="943" t="s">
        <v>649</v>
      </c>
    </row>
    <row r="3" spans="1:6" ht="16.5" thickBot="1">
      <c r="A3" s="941"/>
      <c r="B3" s="66" t="s">
        <v>642</v>
      </c>
      <c r="C3" s="66" t="s">
        <v>849</v>
      </c>
      <c r="D3" s="66" t="s">
        <v>850</v>
      </c>
      <c r="E3" s="66" t="s">
        <v>851</v>
      </c>
      <c r="F3" s="944"/>
    </row>
    <row r="4" spans="1:6" ht="16.5" thickTop="1">
      <c r="A4" s="68" t="s">
        <v>648</v>
      </c>
      <c r="B4" s="69">
        <v>8</v>
      </c>
      <c r="C4" s="69">
        <v>9</v>
      </c>
      <c r="D4" s="69">
        <v>9</v>
      </c>
      <c r="E4" s="69">
        <v>7</v>
      </c>
      <c r="F4" s="45" t="str">
        <f>IF(AND(AVERAGE(B4:E4)&gt;=5,B4&gt;=5),"Pass","Fail")</f>
        <v>Pass</v>
      </c>
    </row>
    <row r="5" spans="1:6">
      <c r="A5" s="70" t="s">
        <v>635</v>
      </c>
      <c r="B5" s="29">
        <v>4</v>
      </c>
      <c r="C5" s="29">
        <v>8</v>
      </c>
      <c r="D5" s="29">
        <v>8</v>
      </c>
      <c r="E5" s="29">
        <v>9</v>
      </c>
      <c r="F5" s="45" t="str">
        <f t="shared" ref="F5:F9" si="0">IF(AND(AVERAGE(B5:E5)&gt;=5,B5&gt;=5),"Pass","Fail")</f>
        <v>Fail</v>
      </c>
    </row>
    <row r="6" spans="1:6">
      <c r="A6" s="70" t="s">
        <v>644</v>
      </c>
      <c r="B6" s="29">
        <v>7</v>
      </c>
      <c r="C6" s="29">
        <v>5</v>
      </c>
      <c r="D6" s="29">
        <v>8</v>
      </c>
      <c r="E6" s="29">
        <v>6</v>
      </c>
      <c r="F6" s="45" t="str">
        <f t="shared" si="0"/>
        <v>Pass</v>
      </c>
    </row>
    <row r="7" spans="1:6">
      <c r="A7" s="70" t="s">
        <v>645</v>
      </c>
      <c r="B7" s="29">
        <v>6</v>
      </c>
      <c r="C7" s="29">
        <v>4</v>
      </c>
      <c r="D7" s="29">
        <v>7</v>
      </c>
      <c r="E7" s="29">
        <v>2</v>
      </c>
      <c r="F7" s="45" t="str">
        <f t="shared" si="0"/>
        <v>Fail</v>
      </c>
    </row>
    <row r="8" spans="1:6">
      <c r="A8" s="70" t="s">
        <v>643</v>
      </c>
      <c r="B8" s="29">
        <v>6</v>
      </c>
      <c r="C8" s="29">
        <v>7</v>
      </c>
      <c r="D8" s="29">
        <v>9</v>
      </c>
      <c r="E8" s="29">
        <v>7</v>
      </c>
      <c r="F8" s="45" t="str">
        <f t="shared" si="0"/>
        <v>Pass</v>
      </c>
    </row>
    <row r="9" spans="1:6" ht="16.5" thickBot="1">
      <c r="A9" s="71" t="s">
        <v>646</v>
      </c>
      <c r="B9" s="72">
        <v>8</v>
      </c>
      <c r="C9" s="72">
        <v>8</v>
      </c>
      <c r="D9" s="72">
        <v>9</v>
      </c>
      <c r="E9" s="72">
        <v>8</v>
      </c>
      <c r="F9" s="45" t="str">
        <f t="shared" si="0"/>
        <v>Pass</v>
      </c>
    </row>
    <row r="10" spans="1:6" ht="16.5" thickTop="1"/>
    <row r="11" spans="1:6">
      <c r="A11" s="27" t="s">
        <v>651</v>
      </c>
    </row>
    <row r="13" spans="1:6">
      <c r="A13" s="33" t="s">
        <v>650</v>
      </c>
    </row>
  </sheetData>
  <mergeCells count="4">
    <mergeCell ref="A1:F1"/>
    <mergeCell ref="A2:A3"/>
    <mergeCell ref="B2:E2"/>
    <mergeCell ref="F2:F3"/>
  </mergeCells>
  <phoneticPr fontId="0" type="noConversion"/>
  <pageMargins left="0.75" right="0.75" top="1" bottom="1" header="0.5" footer="0.5"/>
  <pageSetup paperSize="9" orientation="portrait" r:id="rId1"/>
  <headerFooter alignWithMargins="0">
    <oddFooter>&amp;R&amp;A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6"/>
  <sheetViews>
    <sheetView showGridLines="0" workbookViewId="0">
      <selection activeCell="E7" sqref="E7"/>
    </sheetView>
  </sheetViews>
  <sheetFormatPr defaultRowHeight="15.75"/>
  <cols>
    <col min="1" max="1" width="4.625" style="12" customWidth="1"/>
    <col min="2" max="2" width="5.875" style="12" customWidth="1"/>
    <col min="3" max="3" width="12.75" style="12" customWidth="1"/>
    <col min="4" max="4" width="11.375" style="12" customWidth="1"/>
    <col min="5" max="5" width="9.25" style="12" customWidth="1"/>
    <col min="6" max="6" width="8.25" style="12" customWidth="1"/>
    <col min="7" max="7" width="11.375" style="12" customWidth="1"/>
    <col min="8" max="8" width="8.875" style="12" customWidth="1"/>
    <col min="9" max="16384" width="9" style="12"/>
  </cols>
  <sheetData>
    <row r="1" spans="1:9" ht="24" customHeight="1" thickBot="1">
      <c r="A1" s="926" t="s">
        <v>659</v>
      </c>
      <c r="B1" s="926"/>
      <c r="C1" s="926"/>
      <c r="D1" s="926"/>
      <c r="E1" s="926"/>
    </row>
    <row r="2" spans="1:9" s="76" customFormat="1" ht="30" customHeight="1" thickTop="1" thickBot="1">
      <c r="A2" s="73" t="s">
        <v>842</v>
      </c>
      <c r="B2" s="74" t="s">
        <v>660</v>
      </c>
      <c r="C2" s="74" t="s">
        <v>663</v>
      </c>
      <c r="D2" s="74" t="s">
        <v>658</v>
      </c>
      <c r="E2" s="75" t="s">
        <v>662</v>
      </c>
    </row>
    <row r="3" spans="1:9" ht="16.5" thickTop="1">
      <c r="A3" s="17">
        <v>1</v>
      </c>
      <c r="B3" s="18" t="s">
        <v>861</v>
      </c>
      <c r="C3" s="77" t="str">
        <f>VLOOKUP(B3,$B$12:$C$15,2,0)</f>
        <v>Sắt F10</v>
      </c>
      <c r="D3" s="18" t="s">
        <v>1127</v>
      </c>
      <c r="E3" s="78">
        <f>HLOOKUP(D3,$F$11:$I$12,2,0)</f>
        <v>1000</v>
      </c>
    </row>
    <row r="4" spans="1:9">
      <c r="A4" s="23">
        <v>2</v>
      </c>
      <c r="B4" s="24" t="s">
        <v>862</v>
      </c>
      <c r="C4" s="77" t="str">
        <f t="shared" ref="C4:C8" si="0">VLOOKUP(B4,$B$12:$C$15,2,0)</f>
        <v>Sắt F12</v>
      </c>
      <c r="D4" s="24" t="s">
        <v>967</v>
      </c>
      <c r="E4" s="78">
        <f t="shared" ref="E4:E8" si="1">HLOOKUP(D4,$F$11:$I$12,2,0)</f>
        <v>1200</v>
      </c>
    </row>
    <row r="5" spans="1:9">
      <c r="A5" s="23">
        <v>3</v>
      </c>
      <c r="B5" s="24" t="s">
        <v>861</v>
      </c>
      <c r="C5" s="77" t="str">
        <f t="shared" si="0"/>
        <v>Sắt F10</v>
      </c>
      <c r="D5" s="24" t="s">
        <v>968</v>
      </c>
      <c r="E5" s="78">
        <f t="shared" si="1"/>
        <v>800</v>
      </c>
    </row>
    <row r="6" spans="1:9">
      <c r="A6" s="23">
        <v>4</v>
      </c>
      <c r="B6" s="24" t="s">
        <v>863</v>
      </c>
      <c r="C6" s="77" t="str">
        <f t="shared" si="0"/>
        <v>Sắt F15</v>
      </c>
      <c r="D6" s="24" t="s">
        <v>967</v>
      </c>
      <c r="E6" s="78">
        <f t="shared" si="1"/>
        <v>1200</v>
      </c>
    </row>
    <row r="7" spans="1:9">
      <c r="A7" s="23">
        <v>5</v>
      </c>
      <c r="B7" s="24" t="s">
        <v>864</v>
      </c>
      <c r="C7" s="77" t="str">
        <f t="shared" si="0"/>
        <v>Sắt F17</v>
      </c>
      <c r="D7" s="24" t="s">
        <v>969</v>
      </c>
      <c r="E7" s="78">
        <f t="shared" si="1"/>
        <v>850</v>
      </c>
    </row>
    <row r="8" spans="1:9" ht="16.5" thickBot="1">
      <c r="A8" s="79">
        <v>6</v>
      </c>
      <c r="B8" s="80" t="s">
        <v>862</v>
      </c>
      <c r="C8" s="77" t="str">
        <f t="shared" si="0"/>
        <v>Sắt F12</v>
      </c>
      <c r="D8" s="80" t="s">
        <v>1127</v>
      </c>
      <c r="E8" s="78">
        <f t="shared" si="1"/>
        <v>1000</v>
      </c>
    </row>
    <row r="9" spans="1:9" ht="16.5" thickTop="1"/>
    <row r="10" spans="1:9" ht="16.5" thickBot="1">
      <c r="B10" s="945" t="s">
        <v>652</v>
      </c>
      <c r="C10" s="945"/>
      <c r="E10" s="946" t="s">
        <v>653</v>
      </c>
      <c r="F10" s="946"/>
      <c r="G10" s="946"/>
      <c r="H10" s="946"/>
      <c r="I10" s="946"/>
    </row>
    <row r="11" spans="1:9" ht="16.5" customHeight="1" thickTop="1" thickBot="1">
      <c r="B11" s="73" t="s">
        <v>661</v>
      </c>
      <c r="C11" s="82" t="s">
        <v>663</v>
      </c>
      <c r="E11" s="62" t="s">
        <v>658</v>
      </c>
      <c r="F11" s="63" t="s">
        <v>967</v>
      </c>
      <c r="G11" s="63" t="s">
        <v>1127</v>
      </c>
      <c r="H11" s="63" t="s">
        <v>968</v>
      </c>
      <c r="I11" s="64" t="s">
        <v>969</v>
      </c>
    </row>
    <row r="12" spans="1:9" ht="16.5" customHeight="1" thickTop="1" thickBot="1">
      <c r="B12" s="83" t="s">
        <v>862</v>
      </c>
      <c r="C12" s="84" t="s">
        <v>654</v>
      </c>
      <c r="E12" s="65" t="s">
        <v>662</v>
      </c>
      <c r="F12" s="85">
        <v>1200</v>
      </c>
      <c r="G12" s="85">
        <v>1000</v>
      </c>
      <c r="H12" s="85">
        <v>800</v>
      </c>
      <c r="I12" s="86">
        <v>850</v>
      </c>
    </row>
    <row r="13" spans="1:9" ht="16.5" customHeight="1" thickTop="1">
      <c r="B13" s="87" t="s">
        <v>864</v>
      </c>
      <c r="C13" s="88" t="s">
        <v>655</v>
      </c>
    </row>
    <row r="14" spans="1:9" ht="16.5" customHeight="1">
      <c r="B14" s="87" t="s">
        <v>861</v>
      </c>
      <c r="C14" s="88" t="s">
        <v>656</v>
      </c>
    </row>
    <row r="15" spans="1:9" ht="16.5" customHeight="1" thickBot="1">
      <c r="B15" s="89" t="s">
        <v>863</v>
      </c>
      <c r="C15" s="90" t="s">
        <v>657</v>
      </c>
      <c r="E15" s="26" t="s">
        <v>664</v>
      </c>
    </row>
    <row r="16" spans="1:9" ht="16.5" thickTop="1">
      <c r="C16" s="91"/>
      <c r="D16" s="92"/>
      <c r="E16" s="92"/>
      <c r="F16" s="92"/>
      <c r="G16" s="92"/>
    </row>
  </sheetData>
  <mergeCells count="3">
    <mergeCell ref="A1:E1"/>
    <mergeCell ref="B10:C10"/>
    <mergeCell ref="E10:I10"/>
  </mergeCells>
  <phoneticPr fontId="0" type="noConversion"/>
  <pageMargins left="0.75" right="0.75" top="1" bottom="1" header="0.5" footer="0.5"/>
  <pageSetup paperSize="9" orientation="portrait" r:id="rId1"/>
  <headerFooter alignWithMargins="0">
    <oddFooter>&amp;R&amp;A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33"/>
  <sheetViews>
    <sheetView showGridLines="0" workbookViewId="0">
      <selection activeCell="M7" sqref="M7"/>
    </sheetView>
  </sheetViews>
  <sheetFormatPr defaultRowHeight="15.75"/>
  <cols>
    <col min="1" max="1" width="4" style="104" customWidth="1"/>
    <col min="2" max="2" width="5.875" style="104" customWidth="1"/>
    <col min="3" max="3" width="9" style="104" customWidth="1"/>
    <col min="4" max="4" width="5.875" style="104" customWidth="1"/>
    <col min="5" max="6" width="9" style="104" customWidth="1"/>
    <col min="7" max="7" width="9.625" style="104" customWidth="1"/>
    <col min="8" max="9" width="9.625" style="12" customWidth="1"/>
    <col min="10" max="16384" width="9" style="12"/>
  </cols>
  <sheetData>
    <row r="1" spans="1:13" ht="18.75">
      <c r="A1" s="951" t="s">
        <v>692</v>
      </c>
      <c r="B1" s="951"/>
      <c r="C1" s="951"/>
      <c r="D1" s="951"/>
      <c r="E1" s="951"/>
      <c r="F1" s="951"/>
      <c r="G1" s="951"/>
      <c r="H1" s="951"/>
      <c r="I1" s="951"/>
    </row>
    <row r="2" spans="1:13" ht="19.5" thickBot="1">
      <c r="A2" s="926" t="s">
        <v>665</v>
      </c>
      <c r="B2" s="926"/>
      <c r="C2" s="926"/>
      <c r="D2" s="926"/>
      <c r="E2" s="926"/>
      <c r="F2" s="926"/>
      <c r="G2" s="926"/>
      <c r="H2" s="926"/>
      <c r="I2" s="926"/>
      <c r="M2" s="858" t="s">
        <v>973</v>
      </c>
    </row>
    <row r="3" spans="1:13" ht="19.5" thickTop="1">
      <c r="A3" s="949" t="s">
        <v>686</v>
      </c>
      <c r="B3" s="950"/>
      <c r="C3" s="950"/>
      <c r="D3" s="950"/>
      <c r="E3" s="950"/>
      <c r="F3" s="93">
        <v>110</v>
      </c>
      <c r="G3" s="94"/>
      <c r="H3" s="95"/>
      <c r="I3" s="96"/>
      <c r="M3" s="24" t="s">
        <v>997</v>
      </c>
    </row>
    <row r="4" spans="1:13" ht="16.5" thickBot="1">
      <c r="A4" s="65" t="s">
        <v>842</v>
      </c>
      <c r="B4" s="66" t="s">
        <v>661</v>
      </c>
      <c r="C4" s="66" t="s">
        <v>663</v>
      </c>
      <c r="D4" s="66" t="s">
        <v>973</v>
      </c>
      <c r="E4" s="66" t="s">
        <v>681</v>
      </c>
      <c r="F4" s="66" t="s">
        <v>687</v>
      </c>
      <c r="G4" s="66" t="s">
        <v>688</v>
      </c>
      <c r="H4" s="66" t="s">
        <v>666</v>
      </c>
      <c r="I4" s="67" t="s">
        <v>671</v>
      </c>
      <c r="M4" s="24" t="s">
        <v>998</v>
      </c>
    </row>
    <row r="5" spans="1:13" ht="16.5" thickTop="1">
      <c r="A5" s="17">
        <v>1</v>
      </c>
      <c r="B5" s="19" t="s">
        <v>974</v>
      </c>
      <c r="C5" s="18" t="s">
        <v>682</v>
      </c>
      <c r="D5" s="18" t="s">
        <v>997</v>
      </c>
      <c r="E5" s="19">
        <v>15</v>
      </c>
      <c r="F5" s="19">
        <v>148</v>
      </c>
      <c r="G5" s="97">
        <f>F5*E5*$F$3</f>
        <v>244200</v>
      </c>
      <c r="H5" s="97"/>
      <c r="I5" s="98"/>
      <c r="M5" s="24" t="s">
        <v>999</v>
      </c>
    </row>
    <row r="6" spans="1:13">
      <c r="A6" s="23">
        <v>2</v>
      </c>
      <c r="B6" s="25" t="s">
        <v>977</v>
      </c>
      <c r="C6" s="24" t="s">
        <v>683</v>
      </c>
      <c r="D6" s="24" t="s">
        <v>998</v>
      </c>
      <c r="E6" s="25">
        <v>27</v>
      </c>
      <c r="F6" s="25">
        <v>128</v>
      </c>
      <c r="G6" s="97">
        <f t="shared" ref="G6:G25" si="0">F6*E6*$F$3</f>
        <v>380160</v>
      </c>
      <c r="H6" s="97"/>
      <c r="I6" s="98"/>
      <c r="M6" s="24" t="s">
        <v>1000</v>
      </c>
    </row>
    <row r="7" spans="1:13">
      <c r="A7" s="23">
        <v>3</v>
      </c>
      <c r="B7" s="25" t="s">
        <v>978</v>
      </c>
      <c r="C7" s="24" t="s">
        <v>693</v>
      </c>
      <c r="D7" s="24" t="s">
        <v>999</v>
      </c>
      <c r="E7" s="25">
        <v>10</v>
      </c>
      <c r="F7" s="25">
        <v>140</v>
      </c>
      <c r="G7" s="97">
        <f t="shared" si="0"/>
        <v>154000</v>
      </c>
      <c r="H7" s="97"/>
      <c r="I7" s="98"/>
      <c r="M7" s="24" t="s">
        <v>1001</v>
      </c>
    </row>
    <row r="8" spans="1:13">
      <c r="A8" s="23">
        <v>4</v>
      </c>
      <c r="B8" s="25" t="s">
        <v>979</v>
      </c>
      <c r="C8" s="24" t="s">
        <v>684</v>
      </c>
      <c r="D8" s="24" t="s">
        <v>998</v>
      </c>
      <c r="E8" s="25">
        <v>15</v>
      </c>
      <c r="F8" s="25">
        <v>146</v>
      </c>
      <c r="G8" s="97">
        <f t="shared" si="0"/>
        <v>240900</v>
      </c>
      <c r="H8" s="97"/>
      <c r="I8" s="98"/>
      <c r="M8"/>
    </row>
    <row r="9" spans="1:13">
      <c r="A9" s="23">
        <v>5</v>
      </c>
      <c r="B9" s="25" t="s">
        <v>980</v>
      </c>
      <c r="C9" s="24" t="s">
        <v>685</v>
      </c>
      <c r="D9" s="24" t="s">
        <v>1000</v>
      </c>
      <c r="E9" s="25">
        <v>10</v>
      </c>
      <c r="F9" s="25">
        <v>124</v>
      </c>
      <c r="G9" s="97">
        <f t="shared" si="0"/>
        <v>136400</v>
      </c>
      <c r="H9" s="97"/>
      <c r="I9" s="98"/>
      <c r="M9"/>
    </row>
    <row r="10" spans="1:13">
      <c r="A10" s="23">
        <v>6</v>
      </c>
      <c r="B10" s="25" t="s">
        <v>982</v>
      </c>
      <c r="C10" s="24" t="s">
        <v>676</v>
      </c>
      <c r="D10" s="24" t="s">
        <v>997</v>
      </c>
      <c r="E10" s="25">
        <v>15</v>
      </c>
      <c r="F10" s="25">
        <v>130</v>
      </c>
      <c r="G10" s="97">
        <f t="shared" si="0"/>
        <v>214500</v>
      </c>
      <c r="H10" s="97"/>
      <c r="I10" s="98"/>
      <c r="M10"/>
    </row>
    <row r="11" spans="1:13">
      <c r="A11" s="23">
        <v>7</v>
      </c>
      <c r="B11" s="25" t="s">
        <v>983</v>
      </c>
      <c r="C11" s="24" t="s">
        <v>691</v>
      </c>
      <c r="D11" s="24" t="s">
        <v>999</v>
      </c>
      <c r="E11" s="25">
        <v>17</v>
      </c>
      <c r="F11" s="25">
        <v>156</v>
      </c>
      <c r="G11" s="97">
        <f t="shared" si="0"/>
        <v>291720</v>
      </c>
      <c r="H11" s="97"/>
      <c r="I11" s="98"/>
      <c r="M11"/>
    </row>
    <row r="12" spans="1:13">
      <c r="A12" s="23">
        <v>8</v>
      </c>
      <c r="B12" s="25" t="s">
        <v>984</v>
      </c>
      <c r="C12" s="24" t="s">
        <v>667</v>
      </c>
      <c r="D12" s="24" t="s">
        <v>998</v>
      </c>
      <c r="E12" s="25">
        <v>29</v>
      </c>
      <c r="F12" s="25">
        <v>144</v>
      </c>
      <c r="G12" s="97">
        <f t="shared" si="0"/>
        <v>459360</v>
      </c>
      <c r="H12" s="97"/>
      <c r="I12" s="98"/>
      <c r="M12"/>
    </row>
    <row r="13" spans="1:13">
      <c r="A13" s="23">
        <v>9</v>
      </c>
      <c r="B13" s="25" t="s">
        <v>985</v>
      </c>
      <c r="C13" s="24" t="s">
        <v>670</v>
      </c>
      <c r="D13" s="24" t="s">
        <v>999</v>
      </c>
      <c r="E13" s="25">
        <v>12</v>
      </c>
      <c r="F13" s="25">
        <v>122</v>
      </c>
      <c r="G13" s="97">
        <f t="shared" si="0"/>
        <v>161040</v>
      </c>
      <c r="H13" s="97"/>
      <c r="I13" s="98"/>
      <c r="M13"/>
    </row>
    <row r="14" spans="1:13">
      <c r="A14" s="23">
        <v>10</v>
      </c>
      <c r="B14" s="25" t="s">
        <v>986</v>
      </c>
      <c r="C14" s="24" t="s">
        <v>668</v>
      </c>
      <c r="D14" s="24" t="s">
        <v>1001</v>
      </c>
      <c r="E14" s="25">
        <v>24</v>
      </c>
      <c r="F14" s="25">
        <v>124</v>
      </c>
      <c r="G14" s="97">
        <f t="shared" si="0"/>
        <v>327360</v>
      </c>
      <c r="H14" s="97"/>
      <c r="I14" s="98"/>
      <c r="M14"/>
    </row>
    <row r="15" spans="1:13">
      <c r="A15" s="23">
        <v>11</v>
      </c>
      <c r="B15" s="25" t="s">
        <v>987</v>
      </c>
      <c r="C15" s="24" t="s">
        <v>678</v>
      </c>
      <c r="D15" s="24" t="s">
        <v>997</v>
      </c>
      <c r="E15" s="25">
        <v>10</v>
      </c>
      <c r="F15" s="25">
        <v>140</v>
      </c>
      <c r="G15" s="97">
        <f t="shared" si="0"/>
        <v>154000</v>
      </c>
      <c r="H15" s="97"/>
      <c r="I15" s="98"/>
      <c r="M15"/>
    </row>
    <row r="16" spans="1:13">
      <c r="A16" s="23">
        <v>12</v>
      </c>
      <c r="B16" s="25" t="s">
        <v>988</v>
      </c>
      <c r="C16" s="24" t="s">
        <v>669</v>
      </c>
      <c r="D16" s="24" t="s">
        <v>1001</v>
      </c>
      <c r="E16" s="25">
        <v>28</v>
      </c>
      <c r="F16" s="25">
        <v>132</v>
      </c>
      <c r="G16" s="97">
        <f t="shared" si="0"/>
        <v>406560</v>
      </c>
      <c r="H16" s="97"/>
      <c r="I16" s="98"/>
      <c r="M16"/>
    </row>
    <row r="17" spans="1:13">
      <c r="A17" s="23">
        <v>13</v>
      </c>
      <c r="B17" s="25" t="s">
        <v>989</v>
      </c>
      <c r="C17" s="24" t="s">
        <v>696</v>
      </c>
      <c r="D17" s="24" t="s">
        <v>998</v>
      </c>
      <c r="E17" s="25">
        <v>26</v>
      </c>
      <c r="F17" s="25">
        <v>150</v>
      </c>
      <c r="G17" s="97">
        <f t="shared" si="0"/>
        <v>429000</v>
      </c>
      <c r="H17" s="97"/>
      <c r="I17" s="98"/>
      <c r="M17"/>
    </row>
    <row r="18" spans="1:13">
      <c r="A18" s="23">
        <v>14</v>
      </c>
      <c r="B18" s="25" t="s">
        <v>990</v>
      </c>
      <c r="C18" s="24" t="s">
        <v>672</v>
      </c>
      <c r="D18" s="24" t="s">
        <v>1000</v>
      </c>
      <c r="E18" s="25">
        <v>28</v>
      </c>
      <c r="F18" s="25">
        <v>144</v>
      </c>
      <c r="G18" s="97">
        <f t="shared" si="0"/>
        <v>443520</v>
      </c>
      <c r="H18" s="97"/>
      <c r="I18" s="98"/>
      <c r="M18"/>
    </row>
    <row r="19" spans="1:13">
      <c r="A19" s="23">
        <v>15</v>
      </c>
      <c r="B19" s="25" t="s">
        <v>991</v>
      </c>
      <c r="C19" s="24" t="s">
        <v>680</v>
      </c>
      <c r="D19" s="24" t="s">
        <v>997</v>
      </c>
      <c r="E19" s="25">
        <v>28</v>
      </c>
      <c r="F19" s="25">
        <v>132</v>
      </c>
      <c r="G19" s="97">
        <f t="shared" si="0"/>
        <v>406560</v>
      </c>
      <c r="H19" s="97"/>
      <c r="I19" s="98"/>
      <c r="M19"/>
    </row>
    <row r="20" spans="1:13">
      <c r="A20" s="23">
        <v>16</v>
      </c>
      <c r="B20" s="25" t="s">
        <v>992</v>
      </c>
      <c r="C20" s="24" t="s">
        <v>673</v>
      </c>
      <c r="D20" s="24" t="s">
        <v>999</v>
      </c>
      <c r="E20" s="25">
        <v>23</v>
      </c>
      <c r="F20" s="25">
        <v>126</v>
      </c>
      <c r="G20" s="97">
        <f t="shared" si="0"/>
        <v>318780</v>
      </c>
      <c r="H20" s="97"/>
      <c r="I20" s="98"/>
      <c r="M20"/>
    </row>
    <row r="21" spans="1:13">
      <c r="A21" s="23">
        <v>17</v>
      </c>
      <c r="B21" s="25" t="s">
        <v>993</v>
      </c>
      <c r="C21" s="24" t="s">
        <v>674</v>
      </c>
      <c r="D21" s="24" t="s">
        <v>998</v>
      </c>
      <c r="E21" s="25">
        <v>19</v>
      </c>
      <c r="F21" s="25">
        <v>124</v>
      </c>
      <c r="G21" s="97">
        <f t="shared" si="0"/>
        <v>259160</v>
      </c>
      <c r="H21" s="97"/>
      <c r="I21" s="98"/>
      <c r="M21"/>
    </row>
    <row r="22" spans="1:13">
      <c r="A22" s="23">
        <v>18</v>
      </c>
      <c r="B22" s="25" t="s">
        <v>994</v>
      </c>
      <c r="C22" s="24" t="s">
        <v>679</v>
      </c>
      <c r="D22" s="24" t="s">
        <v>1000</v>
      </c>
      <c r="E22" s="25">
        <v>11</v>
      </c>
      <c r="F22" s="25">
        <v>134</v>
      </c>
      <c r="G22" s="97">
        <f t="shared" si="0"/>
        <v>162140</v>
      </c>
      <c r="H22" s="97"/>
      <c r="I22" s="98"/>
      <c r="M22"/>
    </row>
    <row r="23" spans="1:13">
      <c r="A23" s="23">
        <v>19</v>
      </c>
      <c r="B23" s="25" t="s">
        <v>995</v>
      </c>
      <c r="C23" s="24" t="s">
        <v>675</v>
      </c>
      <c r="D23" s="24" t="s">
        <v>997</v>
      </c>
      <c r="E23" s="25">
        <v>14</v>
      </c>
      <c r="F23" s="25">
        <v>112</v>
      </c>
      <c r="G23" s="97">
        <f t="shared" si="0"/>
        <v>172480</v>
      </c>
      <c r="H23" s="97"/>
      <c r="I23" s="98"/>
    </row>
    <row r="24" spans="1:13" ht="16.5" thickBot="1">
      <c r="A24" s="99">
        <v>20</v>
      </c>
      <c r="B24" s="100" t="s">
        <v>996</v>
      </c>
      <c r="C24" s="101" t="s">
        <v>677</v>
      </c>
      <c r="D24" s="101" t="s">
        <v>1000</v>
      </c>
      <c r="E24" s="100">
        <v>22</v>
      </c>
      <c r="F24" s="100">
        <v>158</v>
      </c>
      <c r="G24" s="97">
        <f t="shared" si="0"/>
        <v>382360</v>
      </c>
      <c r="H24" s="97"/>
      <c r="I24" s="98"/>
    </row>
    <row r="25" spans="1:13" ht="19.5" customHeight="1" thickTop="1" thickBot="1">
      <c r="A25" s="947" t="s">
        <v>576</v>
      </c>
      <c r="B25" s="948"/>
      <c r="C25" s="948"/>
      <c r="D25" s="948"/>
      <c r="E25" s="948"/>
      <c r="F25" s="948"/>
      <c r="G25" s="97">
        <f t="shared" si="0"/>
        <v>0</v>
      </c>
      <c r="H25" s="102"/>
      <c r="I25" s="103"/>
    </row>
    <row r="26" spans="1:13" ht="16.5" thickTop="1"/>
    <row r="27" spans="1:13">
      <c r="A27" s="105" t="s">
        <v>689</v>
      </c>
    </row>
    <row r="28" spans="1:13">
      <c r="A28" s="105" t="s">
        <v>697</v>
      </c>
    </row>
    <row r="29" spans="1:13">
      <c r="A29" s="105" t="s">
        <v>694</v>
      </c>
      <c r="B29" s="105"/>
      <c r="C29" s="106"/>
    </row>
    <row r="30" spans="1:13">
      <c r="A30" s="105" t="s">
        <v>695</v>
      </c>
      <c r="C30" s="106"/>
    </row>
    <row r="31" spans="1:13">
      <c r="A31" s="105" t="s">
        <v>690</v>
      </c>
    </row>
    <row r="32" spans="1:13">
      <c r="A32" s="26"/>
    </row>
    <row r="33" spans="1:1">
      <c r="A33" s="107"/>
    </row>
  </sheetData>
  <mergeCells count="4">
    <mergeCell ref="A25:F25"/>
    <mergeCell ref="A3:E3"/>
    <mergeCell ref="A1:I1"/>
    <mergeCell ref="A2:I2"/>
  </mergeCells>
  <phoneticPr fontId="0" type="noConversion"/>
  <pageMargins left="0.75" right="0.75" top="1" bottom="1" header="0.5" footer="0.5"/>
  <pageSetup paperSize="9" orientation="portrait" r:id="rId1"/>
  <headerFooter alignWithMargins="0">
    <oddFooter>&amp;R&amp;A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7"/>
  <sheetViews>
    <sheetView showGridLines="0" zoomScaleNormal="100" workbookViewId="0">
      <selection activeCell="M12" sqref="M12"/>
    </sheetView>
  </sheetViews>
  <sheetFormatPr defaultRowHeight="15.75"/>
  <cols>
    <col min="1" max="1" width="5.75" style="12" customWidth="1"/>
    <col min="2" max="2" width="9.875" style="12" bestFit="1" customWidth="1"/>
    <col min="3" max="3" width="15" style="12" customWidth="1"/>
    <col min="4" max="4" width="6.25" style="12" customWidth="1"/>
    <col min="5" max="5" width="5.875" style="12" customWidth="1"/>
    <col min="6" max="6" width="6.875" style="12" customWidth="1"/>
    <col min="7" max="7" width="5.75" style="12" customWidth="1"/>
    <col min="8" max="8" width="14.25" style="12" bestFit="1" customWidth="1"/>
    <col min="9" max="9" width="12.875" style="12" bestFit="1" customWidth="1"/>
    <col min="10" max="10" width="17.25" style="12" customWidth="1"/>
    <col min="11" max="11" width="17.5" style="12" customWidth="1"/>
    <col min="12" max="13" width="15.25" style="12" bestFit="1" customWidth="1"/>
    <col min="14" max="14" width="17.875" style="12" bestFit="1" customWidth="1"/>
    <col min="15" max="16384" width="9" style="12"/>
  </cols>
  <sheetData>
    <row r="1" spans="1:15" ht="36" customHeight="1" thickBot="1">
      <c r="A1" s="927" t="s">
        <v>156</v>
      </c>
      <c r="B1" s="927"/>
      <c r="C1" s="927"/>
      <c r="D1" s="927"/>
      <c r="E1" s="927"/>
      <c r="F1" s="927"/>
      <c r="G1" s="927"/>
      <c r="H1" s="927"/>
      <c r="I1" s="927"/>
      <c r="J1" s="927"/>
      <c r="K1" s="927"/>
      <c r="L1" s="927"/>
      <c r="M1" s="927"/>
      <c r="N1" s="927"/>
    </row>
    <row r="2" spans="1:15" s="108" customFormat="1" ht="16.5" thickTop="1">
      <c r="A2" s="932" t="s">
        <v>148</v>
      </c>
      <c r="B2" s="937"/>
      <c r="C2" s="937" t="s">
        <v>150</v>
      </c>
      <c r="D2" s="937" t="s">
        <v>149</v>
      </c>
      <c r="E2" s="937" t="s">
        <v>681</v>
      </c>
      <c r="F2" s="937" t="s">
        <v>154</v>
      </c>
      <c r="G2" s="937" t="s">
        <v>687</v>
      </c>
      <c r="H2" s="937"/>
      <c r="I2" s="937" t="s">
        <v>688</v>
      </c>
      <c r="J2" s="937"/>
      <c r="K2" s="937" t="s">
        <v>157</v>
      </c>
      <c r="L2" s="937"/>
      <c r="M2" s="937"/>
      <c r="N2" s="934" t="s">
        <v>151</v>
      </c>
    </row>
    <row r="3" spans="1:15" s="108" customFormat="1" ht="15.75" customHeight="1">
      <c r="A3" s="41" t="s">
        <v>699</v>
      </c>
      <c r="B3" s="109" t="s">
        <v>152</v>
      </c>
      <c r="C3" s="955"/>
      <c r="D3" s="955"/>
      <c r="E3" s="955"/>
      <c r="F3" s="955"/>
      <c r="G3" s="109" t="s">
        <v>1026</v>
      </c>
      <c r="H3" s="109" t="s">
        <v>1027</v>
      </c>
      <c r="I3" s="109" t="s">
        <v>1026</v>
      </c>
      <c r="J3" s="109" t="s">
        <v>1027</v>
      </c>
      <c r="K3" s="109" t="s">
        <v>698</v>
      </c>
      <c r="L3" s="109" t="s">
        <v>158</v>
      </c>
      <c r="M3" s="109" t="s">
        <v>159</v>
      </c>
      <c r="N3" s="954"/>
    </row>
    <row r="4" spans="1:15" s="104" customFormat="1" ht="16.5" thickBot="1">
      <c r="A4" s="110">
        <v>-1</v>
      </c>
      <c r="B4" s="111">
        <v>-2</v>
      </c>
      <c r="C4" s="111">
        <v>-3</v>
      </c>
      <c r="D4" s="111">
        <v>-4</v>
      </c>
      <c r="E4" s="111">
        <v>-5</v>
      </c>
      <c r="F4" s="111">
        <v>-6</v>
      </c>
      <c r="G4" s="111">
        <v>-7</v>
      </c>
      <c r="H4" s="111">
        <v>-8</v>
      </c>
      <c r="I4" s="111">
        <v>-9</v>
      </c>
      <c r="J4" s="111">
        <v>-10</v>
      </c>
      <c r="K4" s="111">
        <v>-11</v>
      </c>
      <c r="L4" s="111">
        <v>-12</v>
      </c>
      <c r="M4" s="111">
        <v>-13</v>
      </c>
      <c r="N4" s="112">
        <v>-14</v>
      </c>
    </row>
    <row r="5" spans="1:15" ht="16.5" thickTop="1">
      <c r="A5" s="83" t="s">
        <v>1044</v>
      </c>
      <c r="B5" s="113">
        <v>37593</v>
      </c>
      <c r="C5" s="18" t="s">
        <v>1035</v>
      </c>
      <c r="D5" s="114" t="s">
        <v>1043</v>
      </c>
      <c r="E5" s="115">
        <v>20</v>
      </c>
      <c r="F5" s="115">
        <v>14000</v>
      </c>
      <c r="G5" s="115">
        <v>450</v>
      </c>
      <c r="H5" s="861">
        <f>G5*F5</f>
        <v>6300000</v>
      </c>
      <c r="I5" s="860">
        <f>G5*E5</f>
        <v>9000</v>
      </c>
      <c r="J5" s="861">
        <f>F5*I5</f>
        <v>126000000</v>
      </c>
      <c r="K5" s="859">
        <f>VLOOKUP(LEFT(A5,2),$B$17:$C$20,2,0)*J5</f>
        <v>5040000</v>
      </c>
      <c r="L5" s="861">
        <f>IF(J5&lt;100000000,J5*2%,IF(J5&lt;=200000000,J5*3%,J5*4%))</f>
        <v>3780000</v>
      </c>
      <c r="M5" s="861">
        <f>IF(E5&lt;30,J5*1%,IF(AND(E5&gt;=30,E5&lt;50),J5*1.5%,J5*2%))</f>
        <v>1260000</v>
      </c>
      <c r="N5" s="861">
        <f>SUM(J5:M5)</f>
        <v>136080000</v>
      </c>
    </row>
    <row r="6" spans="1:15">
      <c r="A6" s="87" t="s">
        <v>1028</v>
      </c>
      <c r="B6" s="117">
        <v>37599</v>
      </c>
      <c r="C6" s="24" t="s">
        <v>1036</v>
      </c>
      <c r="D6" s="118" t="s">
        <v>1043</v>
      </c>
      <c r="E6" s="119">
        <v>20</v>
      </c>
      <c r="F6" s="119">
        <v>14450</v>
      </c>
      <c r="G6" s="119">
        <v>650</v>
      </c>
      <c r="H6" s="861">
        <f t="shared" ref="H6:H12" si="0">G6*F6</f>
        <v>9392500</v>
      </c>
      <c r="I6" s="860">
        <f t="shared" ref="I6:I12" si="1">G6*E6</f>
        <v>13000</v>
      </c>
      <c r="J6" s="861">
        <f t="shared" ref="J6:J12" si="2">F6*I6</f>
        <v>187850000</v>
      </c>
      <c r="K6" s="859">
        <f t="shared" ref="K6:K12" si="3">VLOOKUP(LEFT(A6,2),$B$17:$C$20,2,0)*J6</f>
        <v>11271000</v>
      </c>
      <c r="L6" s="861">
        <f t="shared" ref="L6:L12" si="4">IF(J6&lt;100000000,J6*2%,IF(J6&lt;=200000000,J6*3%,J6*4%))</f>
        <v>5635500</v>
      </c>
      <c r="M6" s="861">
        <f t="shared" ref="M6:M12" si="5">IF(E6&lt;30,J6*1%,IF(AND(E6&gt;=30,E6&lt;50),J6*1.5%,J6*2%))</f>
        <v>1878500</v>
      </c>
      <c r="N6" s="861">
        <f t="shared" ref="N6:N12" si="6">SUM(J6:M6)</f>
        <v>206635000</v>
      </c>
    </row>
    <row r="7" spans="1:15">
      <c r="A7" s="87" t="s">
        <v>1029</v>
      </c>
      <c r="B7" s="117">
        <v>37599</v>
      </c>
      <c r="C7" s="24" t="s">
        <v>1037</v>
      </c>
      <c r="D7" s="118" t="s">
        <v>1043</v>
      </c>
      <c r="E7" s="119">
        <v>50</v>
      </c>
      <c r="F7" s="119">
        <v>14500</v>
      </c>
      <c r="G7" s="119">
        <v>250</v>
      </c>
      <c r="H7" s="861">
        <f t="shared" si="0"/>
        <v>3625000</v>
      </c>
      <c r="I7" s="860">
        <f t="shared" si="1"/>
        <v>12500</v>
      </c>
      <c r="J7" s="861">
        <f t="shared" si="2"/>
        <v>181250000</v>
      </c>
      <c r="K7" s="859">
        <f t="shared" si="3"/>
        <v>7250000</v>
      </c>
      <c r="L7" s="861">
        <f t="shared" si="4"/>
        <v>5437500</v>
      </c>
      <c r="M7" s="861">
        <f t="shared" si="5"/>
        <v>3625000</v>
      </c>
      <c r="N7" s="861">
        <f t="shared" si="6"/>
        <v>197562500</v>
      </c>
    </row>
    <row r="8" spans="1:15">
      <c r="A8" s="87" t="s">
        <v>1030</v>
      </c>
      <c r="B8" s="117">
        <v>37600</v>
      </c>
      <c r="C8" s="24" t="s">
        <v>1038</v>
      </c>
      <c r="D8" s="118" t="s">
        <v>1043</v>
      </c>
      <c r="E8" s="119">
        <v>55</v>
      </c>
      <c r="F8" s="119">
        <v>14800</v>
      </c>
      <c r="G8" s="119">
        <v>630</v>
      </c>
      <c r="H8" s="861">
        <f t="shared" si="0"/>
        <v>9324000</v>
      </c>
      <c r="I8" s="860">
        <f t="shared" si="1"/>
        <v>34650</v>
      </c>
      <c r="J8" s="861">
        <f t="shared" si="2"/>
        <v>512820000</v>
      </c>
      <c r="K8" s="859">
        <f t="shared" si="3"/>
        <v>25641000</v>
      </c>
      <c r="L8" s="861">
        <f t="shared" si="4"/>
        <v>20512800</v>
      </c>
      <c r="M8" s="861">
        <f t="shared" si="5"/>
        <v>10256400</v>
      </c>
      <c r="N8" s="861">
        <f t="shared" si="6"/>
        <v>569230200</v>
      </c>
    </row>
    <row r="9" spans="1:15">
      <c r="A9" s="87" t="s">
        <v>1031</v>
      </c>
      <c r="B9" s="117">
        <v>37600</v>
      </c>
      <c r="C9" s="24" t="s">
        <v>1039</v>
      </c>
      <c r="D9" s="118" t="s">
        <v>1043</v>
      </c>
      <c r="E9" s="119">
        <v>30</v>
      </c>
      <c r="F9" s="119">
        <v>14020</v>
      </c>
      <c r="G9" s="119">
        <v>350</v>
      </c>
      <c r="H9" s="861">
        <f t="shared" si="0"/>
        <v>4907000</v>
      </c>
      <c r="I9" s="860">
        <f t="shared" si="1"/>
        <v>10500</v>
      </c>
      <c r="J9" s="861">
        <f t="shared" si="2"/>
        <v>147210000</v>
      </c>
      <c r="K9" s="859">
        <f t="shared" si="3"/>
        <v>2944200</v>
      </c>
      <c r="L9" s="861">
        <f t="shared" si="4"/>
        <v>4416300</v>
      </c>
      <c r="M9" s="861">
        <f t="shared" si="5"/>
        <v>2208150</v>
      </c>
      <c r="N9" s="861">
        <f t="shared" si="6"/>
        <v>156778650</v>
      </c>
    </row>
    <row r="10" spans="1:15">
      <c r="A10" s="87" t="s">
        <v>1032</v>
      </c>
      <c r="B10" s="117">
        <v>37605</v>
      </c>
      <c r="C10" s="24" t="s">
        <v>1040</v>
      </c>
      <c r="D10" s="118" t="s">
        <v>1043</v>
      </c>
      <c r="E10" s="119">
        <v>28</v>
      </c>
      <c r="F10" s="119">
        <v>14650</v>
      </c>
      <c r="G10" s="119">
        <v>250</v>
      </c>
      <c r="H10" s="861">
        <f t="shared" si="0"/>
        <v>3662500</v>
      </c>
      <c r="I10" s="860">
        <f t="shared" si="1"/>
        <v>7000</v>
      </c>
      <c r="J10" s="861">
        <f t="shared" si="2"/>
        <v>102550000</v>
      </c>
      <c r="K10" s="859">
        <f t="shared" si="3"/>
        <v>4102000</v>
      </c>
      <c r="L10" s="861">
        <f t="shared" si="4"/>
        <v>3076500</v>
      </c>
      <c r="M10" s="861">
        <f t="shared" si="5"/>
        <v>1025500</v>
      </c>
      <c r="N10" s="861">
        <f t="shared" si="6"/>
        <v>110754000</v>
      </c>
    </row>
    <row r="11" spans="1:15">
      <c r="A11" s="87" t="s">
        <v>1034</v>
      </c>
      <c r="B11" s="117">
        <v>37608</v>
      </c>
      <c r="C11" s="24" t="s">
        <v>1041</v>
      </c>
      <c r="D11" s="118" t="s">
        <v>1043</v>
      </c>
      <c r="E11" s="119">
        <v>34</v>
      </c>
      <c r="F11" s="119">
        <v>14400</v>
      </c>
      <c r="G11" s="119">
        <v>550</v>
      </c>
      <c r="H11" s="861">
        <f t="shared" si="0"/>
        <v>7920000</v>
      </c>
      <c r="I11" s="860">
        <f t="shared" si="1"/>
        <v>18700</v>
      </c>
      <c r="J11" s="861">
        <f t="shared" si="2"/>
        <v>269280000</v>
      </c>
      <c r="K11" s="859">
        <f t="shared" si="3"/>
        <v>13464000</v>
      </c>
      <c r="L11" s="861">
        <f t="shared" si="4"/>
        <v>10771200</v>
      </c>
      <c r="M11" s="861">
        <f t="shared" si="5"/>
        <v>4039200</v>
      </c>
      <c r="N11" s="861">
        <f t="shared" si="6"/>
        <v>297554400</v>
      </c>
    </row>
    <row r="12" spans="1:15" ht="16.5" thickBot="1">
      <c r="A12" s="120" t="s">
        <v>1033</v>
      </c>
      <c r="B12" s="121">
        <v>37610</v>
      </c>
      <c r="C12" s="101" t="s">
        <v>1042</v>
      </c>
      <c r="D12" s="122" t="s">
        <v>1043</v>
      </c>
      <c r="E12" s="123">
        <v>72</v>
      </c>
      <c r="F12" s="123">
        <v>14000</v>
      </c>
      <c r="G12" s="123">
        <v>300</v>
      </c>
      <c r="H12" s="861">
        <f t="shared" si="0"/>
        <v>4200000</v>
      </c>
      <c r="I12" s="860">
        <f t="shared" si="1"/>
        <v>21600</v>
      </c>
      <c r="J12" s="861">
        <f t="shared" si="2"/>
        <v>302400000</v>
      </c>
      <c r="K12" s="859">
        <f t="shared" si="3"/>
        <v>6048000</v>
      </c>
      <c r="L12" s="861">
        <f t="shared" si="4"/>
        <v>12096000</v>
      </c>
      <c r="M12" s="861">
        <f t="shared" si="5"/>
        <v>6048000</v>
      </c>
      <c r="N12" s="861">
        <f t="shared" si="6"/>
        <v>326592000</v>
      </c>
    </row>
    <row r="13" spans="1:15" ht="17.25" thickTop="1" thickBot="1">
      <c r="A13" s="952" t="s">
        <v>576</v>
      </c>
      <c r="B13" s="953"/>
      <c r="C13" s="953"/>
      <c r="D13" s="953"/>
      <c r="E13" s="953"/>
      <c r="F13" s="953"/>
      <c r="G13" s="953"/>
      <c r="H13" s="953"/>
      <c r="I13" s="860">
        <f t="shared" ref="I13:N13" si="7">SUM(I5:I12)</f>
        <v>126950</v>
      </c>
      <c r="J13" s="861">
        <f t="shared" si="7"/>
        <v>1829360000</v>
      </c>
      <c r="K13" s="861">
        <f t="shared" si="7"/>
        <v>75760200</v>
      </c>
      <c r="L13" s="861">
        <f t="shared" si="7"/>
        <v>65725800</v>
      </c>
      <c r="M13" s="861">
        <f t="shared" si="7"/>
        <v>30340750</v>
      </c>
      <c r="N13" s="861">
        <f t="shared" si="7"/>
        <v>2001186750</v>
      </c>
      <c r="O13" s="97"/>
    </row>
    <row r="14" spans="1:15" ht="16.5" thickTop="1"/>
    <row r="15" spans="1:15" ht="16.5" thickBot="1">
      <c r="A15" s="946" t="s">
        <v>155</v>
      </c>
      <c r="B15" s="946"/>
      <c r="C15" s="946"/>
    </row>
    <row r="16" spans="1:15" ht="17.25" thickTop="1" thickBot="1">
      <c r="A16" s="124"/>
      <c r="B16" s="124" t="s">
        <v>146</v>
      </c>
      <c r="C16" s="16" t="s">
        <v>147</v>
      </c>
    </row>
    <row r="17" spans="1:3" ht="15.75" customHeight="1" thickTop="1">
      <c r="A17" s="125"/>
      <c r="B17" s="128" t="s">
        <v>1044</v>
      </c>
      <c r="C17" s="129">
        <v>0.04</v>
      </c>
    </row>
    <row r="18" spans="1:3" ht="15" customHeight="1">
      <c r="A18" s="130"/>
      <c r="B18" s="128" t="s">
        <v>1045</v>
      </c>
      <c r="C18" s="131">
        <v>0.02</v>
      </c>
    </row>
    <row r="19" spans="1:3" ht="15" customHeight="1">
      <c r="A19" s="130"/>
      <c r="B19" s="128" t="s">
        <v>1046</v>
      </c>
      <c r="C19" s="131">
        <v>0.06</v>
      </c>
    </row>
    <row r="20" spans="1:3" ht="15.75" customHeight="1" thickBot="1">
      <c r="A20" s="132"/>
      <c r="B20" s="133" t="s">
        <v>1047</v>
      </c>
      <c r="C20" s="134">
        <v>0.05</v>
      </c>
    </row>
    <row r="21" spans="1:3" ht="16.5" thickTop="1"/>
    <row r="22" spans="1:3">
      <c r="A22" s="26" t="s">
        <v>700</v>
      </c>
    </row>
    <row r="23" spans="1:3">
      <c r="A23" s="26" t="s">
        <v>701</v>
      </c>
    </row>
    <row r="24" spans="1:3">
      <c r="A24" s="26" t="s">
        <v>702</v>
      </c>
    </row>
    <row r="25" spans="1:3">
      <c r="A25" s="26" t="s">
        <v>153</v>
      </c>
    </row>
    <row r="26" spans="1:3">
      <c r="A26" s="26" t="s">
        <v>160</v>
      </c>
    </row>
    <row r="27" spans="1:3">
      <c r="A27" s="26"/>
      <c r="B27" s="26" t="s">
        <v>161</v>
      </c>
    </row>
    <row r="28" spans="1:3">
      <c r="A28" s="26"/>
      <c r="B28" s="26" t="s">
        <v>162</v>
      </c>
    </row>
    <row r="29" spans="1:3">
      <c r="A29" s="26"/>
      <c r="B29" s="26" t="s">
        <v>163</v>
      </c>
    </row>
    <row r="30" spans="1:3">
      <c r="A30" s="26" t="s">
        <v>164</v>
      </c>
      <c r="B30" s="26"/>
    </row>
    <row r="31" spans="1:3">
      <c r="A31" s="26"/>
      <c r="B31" s="26" t="s">
        <v>165</v>
      </c>
    </row>
    <row r="32" spans="1:3">
      <c r="A32" s="26"/>
      <c r="B32" s="26" t="s">
        <v>166</v>
      </c>
    </row>
    <row r="33" spans="1:2">
      <c r="A33" s="26"/>
      <c r="B33" s="26" t="s">
        <v>167</v>
      </c>
    </row>
    <row r="34" spans="1:2">
      <c r="A34" s="26" t="s">
        <v>703</v>
      </c>
      <c r="B34" s="26"/>
    </row>
    <row r="35" spans="1:2">
      <c r="A35" s="26" t="s">
        <v>168</v>
      </c>
      <c r="B35" s="26"/>
    </row>
    <row r="37" spans="1:2">
      <c r="A37" s="135" t="s">
        <v>169</v>
      </c>
    </row>
  </sheetData>
  <mergeCells count="12">
    <mergeCell ref="A15:C15"/>
    <mergeCell ref="A2:B2"/>
    <mergeCell ref="C2:C3"/>
    <mergeCell ref="D2:D3"/>
    <mergeCell ref="F2:F3"/>
    <mergeCell ref="G2:H2"/>
    <mergeCell ref="A13:H13"/>
    <mergeCell ref="A1:N1"/>
    <mergeCell ref="I2:J2"/>
    <mergeCell ref="K2:M2"/>
    <mergeCell ref="N2:N3"/>
    <mergeCell ref="E2:E3"/>
  </mergeCells>
  <phoneticPr fontId="0" type="noConversion"/>
  <pageMargins left="0.45" right="0.56000000000000005" top="1" bottom="1" header="0.5" footer="0.5"/>
  <pageSetup paperSize="9" orientation="landscape" r:id="rId1"/>
  <headerFooter alignWithMargins="0">
    <oddFooter>&amp;R&amp;A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34"/>
  <sheetViews>
    <sheetView showGridLines="0" zoomScaleNormal="100" workbookViewId="0">
      <selection activeCell="K5" sqref="K5"/>
    </sheetView>
  </sheetViews>
  <sheetFormatPr defaultRowHeight="15.75"/>
  <cols>
    <col min="1" max="1" width="3.625" style="12" customWidth="1"/>
    <col min="2" max="2" width="7.25" style="12" customWidth="1"/>
    <col min="3" max="3" width="9" style="12" customWidth="1"/>
    <col min="4" max="4" width="5.625" style="12" customWidth="1"/>
    <col min="5" max="5" width="7.5" style="12" customWidth="1"/>
    <col min="6" max="6" width="9.5" style="12" customWidth="1"/>
    <col min="7" max="8" width="5.625" style="12" customWidth="1"/>
    <col min="9" max="9" width="9" style="12" customWidth="1"/>
    <col min="10" max="10" width="9.5" style="12" customWidth="1"/>
    <col min="11" max="11" width="10" style="12" customWidth="1"/>
    <col min="12" max="16384" width="9" style="12"/>
  </cols>
  <sheetData>
    <row r="1" spans="1:11" ht="24" customHeight="1">
      <c r="A1" s="951" t="s">
        <v>192</v>
      </c>
      <c r="B1" s="951"/>
      <c r="C1" s="951"/>
      <c r="D1" s="951"/>
      <c r="E1" s="951"/>
      <c r="F1" s="951"/>
      <c r="G1" s="951"/>
      <c r="H1" s="951"/>
      <c r="I1" s="951"/>
      <c r="J1" s="951"/>
      <c r="K1" s="951"/>
    </row>
    <row r="2" spans="1:11" s="137" customFormat="1" ht="15.75" customHeight="1">
      <c r="A2" s="959" t="s">
        <v>188</v>
      </c>
      <c r="B2" s="959"/>
      <c r="C2" s="959"/>
      <c r="D2" s="959" t="s">
        <v>189</v>
      </c>
      <c r="E2" s="959"/>
      <c r="F2" s="136">
        <v>3.25</v>
      </c>
      <c r="G2" s="959" t="s">
        <v>190</v>
      </c>
      <c r="H2" s="959"/>
      <c r="I2" s="136">
        <v>2.75</v>
      </c>
      <c r="J2" s="960" t="s">
        <v>181</v>
      </c>
      <c r="K2" s="960" t="s">
        <v>182</v>
      </c>
    </row>
    <row r="3" spans="1:11" s="139" customFormat="1" ht="30" customHeight="1">
      <c r="A3" s="138" t="s">
        <v>842</v>
      </c>
      <c r="B3" s="138" t="s">
        <v>193</v>
      </c>
      <c r="C3" s="138" t="s">
        <v>183</v>
      </c>
      <c r="D3" s="138" t="s">
        <v>196</v>
      </c>
      <c r="E3" s="138" t="s">
        <v>194</v>
      </c>
      <c r="F3" s="138" t="s">
        <v>184</v>
      </c>
      <c r="G3" s="138" t="s">
        <v>196</v>
      </c>
      <c r="H3" s="138" t="s">
        <v>194</v>
      </c>
      <c r="I3" s="138" t="s">
        <v>184</v>
      </c>
      <c r="J3" s="961"/>
      <c r="K3" s="961"/>
    </row>
    <row r="4" spans="1:11" ht="15" customHeight="1">
      <c r="A4" s="959" t="s">
        <v>201</v>
      </c>
      <c r="B4" s="959"/>
      <c r="C4" s="959"/>
      <c r="D4" s="140">
        <f>SUM(D5:D14)</f>
        <v>237</v>
      </c>
      <c r="E4" s="140">
        <f>SUM(E5:E14)</f>
        <v>51</v>
      </c>
      <c r="F4" s="141">
        <f>SUM(F6:F14)</f>
        <v>450872.5</v>
      </c>
      <c r="G4" s="140">
        <f>SUM(G5:G14)</f>
        <v>225</v>
      </c>
      <c r="H4" s="142">
        <f>SUM(H5:H14)</f>
        <v>42</v>
      </c>
      <c r="I4" s="143">
        <f>SUM(I6:I14)</f>
        <v>360868.75</v>
      </c>
      <c r="J4" s="143"/>
      <c r="K4" s="143">
        <f>SUM(K5:K14)</f>
        <v>892775</v>
      </c>
    </row>
    <row r="5" spans="1:11">
      <c r="A5" s="25">
        <v>1</v>
      </c>
      <c r="B5" s="24" t="s">
        <v>175</v>
      </c>
      <c r="C5" s="25">
        <v>490</v>
      </c>
      <c r="D5" s="25">
        <v>28</v>
      </c>
      <c r="E5" s="25">
        <v>2</v>
      </c>
      <c r="F5" s="144">
        <f>(D5+E5*1.5)*C5*$F$2</f>
        <v>49367.5</v>
      </c>
      <c r="G5" s="25">
        <v>22</v>
      </c>
      <c r="H5" s="119">
        <v>1</v>
      </c>
      <c r="I5" s="145">
        <f>(G5+H5*1.5)*C5*$I$2</f>
        <v>31666.25</v>
      </c>
      <c r="J5" s="145"/>
      <c r="K5" s="145">
        <f>I5+F5</f>
        <v>81033.75</v>
      </c>
    </row>
    <row r="6" spans="1:11">
      <c r="A6" s="25">
        <v>2</v>
      </c>
      <c r="B6" s="24" t="s">
        <v>185</v>
      </c>
      <c r="C6" s="25">
        <v>400</v>
      </c>
      <c r="D6" s="25">
        <v>24</v>
      </c>
      <c r="E6" s="25">
        <v>8</v>
      </c>
      <c r="F6" s="144">
        <f t="shared" ref="F6:F14" si="0">(D6+E6*1.5)*C6*$F$2</f>
        <v>46800</v>
      </c>
      <c r="G6" s="25">
        <v>26</v>
      </c>
      <c r="H6" s="119">
        <v>6</v>
      </c>
      <c r="I6" s="145">
        <f t="shared" ref="I6:I14" si="1">(G6+H6*1.5)*C6*$I$2</f>
        <v>38500</v>
      </c>
      <c r="J6" s="145"/>
      <c r="K6" s="145">
        <f t="shared" ref="K6:K14" si="2">I6+F6</f>
        <v>85300</v>
      </c>
    </row>
    <row r="7" spans="1:11">
      <c r="A7" s="25">
        <v>3</v>
      </c>
      <c r="B7" s="24" t="s">
        <v>1004</v>
      </c>
      <c r="C7" s="25">
        <v>360</v>
      </c>
      <c r="D7" s="25">
        <v>23</v>
      </c>
      <c r="E7" s="25">
        <v>9</v>
      </c>
      <c r="F7" s="144">
        <f t="shared" si="0"/>
        <v>42705</v>
      </c>
      <c r="G7" s="25">
        <v>20</v>
      </c>
      <c r="H7" s="119">
        <v>4</v>
      </c>
      <c r="I7" s="145">
        <f t="shared" si="1"/>
        <v>25740</v>
      </c>
      <c r="J7" s="145"/>
      <c r="K7" s="145">
        <f t="shared" si="2"/>
        <v>68445</v>
      </c>
    </row>
    <row r="8" spans="1:11">
      <c r="A8" s="25">
        <v>4</v>
      </c>
      <c r="B8" s="24" t="s">
        <v>187</v>
      </c>
      <c r="C8" s="25">
        <v>600</v>
      </c>
      <c r="D8" s="25">
        <v>19</v>
      </c>
      <c r="E8" s="25">
        <v>9</v>
      </c>
      <c r="F8" s="144">
        <f t="shared" si="0"/>
        <v>63375</v>
      </c>
      <c r="G8" s="25">
        <v>21</v>
      </c>
      <c r="H8" s="119">
        <v>6</v>
      </c>
      <c r="I8" s="145">
        <f t="shared" si="1"/>
        <v>49500</v>
      </c>
      <c r="J8" s="145"/>
      <c r="K8" s="145">
        <f t="shared" si="2"/>
        <v>112875</v>
      </c>
    </row>
    <row r="9" spans="1:11">
      <c r="A9" s="25">
        <v>5</v>
      </c>
      <c r="B9" s="24" t="s">
        <v>180</v>
      </c>
      <c r="C9" s="25">
        <v>580</v>
      </c>
      <c r="D9" s="25">
        <v>21</v>
      </c>
      <c r="E9" s="25">
        <v>0</v>
      </c>
      <c r="F9" s="144">
        <f t="shared" si="0"/>
        <v>39585</v>
      </c>
      <c r="G9" s="25">
        <v>24</v>
      </c>
      <c r="H9" s="119">
        <v>5</v>
      </c>
      <c r="I9" s="145">
        <f t="shared" si="1"/>
        <v>50242.5</v>
      </c>
      <c r="J9" s="145"/>
      <c r="K9" s="145">
        <f t="shared" si="2"/>
        <v>89827.5</v>
      </c>
    </row>
    <row r="10" spans="1:11">
      <c r="A10" s="25">
        <v>6</v>
      </c>
      <c r="B10" s="24" t="s">
        <v>170</v>
      </c>
      <c r="C10" s="25">
        <v>310</v>
      </c>
      <c r="D10" s="25">
        <v>24</v>
      </c>
      <c r="E10" s="25">
        <v>5</v>
      </c>
      <c r="F10" s="144">
        <f t="shared" si="0"/>
        <v>31736.25</v>
      </c>
      <c r="G10" s="25">
        <v>17</v>
      </c>
      <c r="H10" s="119">
        <v>10</v>
      </c>
      <c r="I10" s="145">
        <f t="shared" si="1"/>
        <v>27280</v>
      </c>
      <c r="J10" s="145"/>
      <c r="K10" s="145">
        <f t="shared" si="2"/>
        <v>59016.25</v>
      </c>
    </row>
    <row r="11" spans="1:11">
      <c r="A11" s="25">
        <v>7</v>
      </c>
      <c r="B11" s="24" t="s">
        <v>1005</v>
      </c>
      <c r="C11" s="25">
        <v>620</v>
      </c>
      <c r="D11" s="25">
        <v>23</v>
      </c>
      <c r="E11" s="25">
        <v>0</v>
      </c>
      <c r="F11" s="144">
        <f t="shared" si="0"/>
        <v>46345</v>
      </c>
      <c r="G11" s="25">
        <v>26</v>
      </c>
      <c r="H11" s="119">
        <v>4</v>
      </c>
      <c r="I11" s="145">
        <f t="shared" si="1"/>
        <v>54560</v>
      </c>
      <c r="J11" s="145"/>
      <c r="K11" s="145">
        <f t="shared" si="2"/>
        <v>100905</v>
      </c>
    </row>
    <row r="12" spans="1:11">
      <c r="A12" s="25">
        <v>8</v>
      </c>
      <c r="B12" s="24" t="s">
        <v>186</v>
      </c>
      <c r="C12" s="25">
        <v>520</v>
      </c>
      <c r="D12" s="25">
        <v>26</v>
      </c>
      <c r="E12" s="25">
        <v>9</v>
      </c>
      <c r="F12" s="144">
        <f t="shared" si="0"/>
        <v>66755</v>
      </c>
      <c r="G12" s="25">
        <v>29</v>
      </c>
      <c r="H12" s="119">
        <v>1</v>
      </c>
      <c r="I12" s="145">
        <f t="shared" si="1"/>
        <v>43615</v>
      </c>
      <c r="J12" s="145"/>
      <c r="K12" s="145">
        <f t="shared" si="2"/>
        <v>110370</v>
      </c>
    </row>
    <row r="13" spans="1:11">
      <c r="A13" s="25">
        <v>9</v>
      </c>
      <c r="B13" s="24" t="s">
        <v>1006</v>
      </c>
      <c r="C13" s="25">
        <v>490</v>
      </c>
      <c r="D13" s="25">
        <v>25</v>
      </c>
      <c r="E13" s="25">
        <v>1</v>
      </c>
      <c r="F13" s="144">
        <f t="shared" si="0"/>
        <v>42201.25</v>
      </c>
      <c r="G13" s="25">
        <v>19</v>
      </c>
      <c r="H13" s="119">
        <v>4</v>
      </c>
      <c r="I13" s="145">
        <f t="shared" si="1"/>
        <v>33687.5</v>
      </c>
      <c r="J13" s="145"/>
      <c r="K13" s="145">
        <f t="shared" si="2"/>
        <v>75888.75</v>
      </c>
    </row>
    <row r="14" spans="1:11">
      <c r="A14" s="25">
        <v>10</v>
      </c>
      <c r="B14" s="24" t="s">
        <v>620</v>
      </c>
      <c r="C14" s="25">
        <v>610</v>
      </c>
      <c r="D14" s="25">
        <v>24</v>
      </c>
      <c r="E14" s="25">
        <v>8</v>
      </c>
      <c r="F14" s="144">
        <f t="shared" si="0"/>
        <v>71370</v>
      </c>
      <c r="G14" s="25">
        <v>21</v>
      </c>
      <c r="H14" s="119">
        <v>1</v>
      </c>
      <c r="I14" s="145">
        <f t="shared" si="1"/>
        <v>37743.75</v>
      </c>
      <c r="J14" s="145"/>
      <c r="K14" s="145">
        <f t="shared" si="2"/>
        <v>109113.75</v>
      </c>
    </row>
    <row r="15" spans="1:11">
      <c r="A15" s="959" t="s">
        <v>173</v>
      </c>
      <c r="B15" s="959"/>
      <c r="C15" s="959"/>
      <c r="D15" s="140">
        <f t="shared" ref="D15:I15" si="3">SUM(D16:D25)</f>
        <v>223</v>
      </c>
      <c r="E15" s="140">
        <f t="shared" si="3"/>
        <v>62</v>
      </c>
      <c r="F15" s="143">
        <f t="shared" si="3"/>
        <v>489222.5</v>
      </c>
      <c r="G15" s="140">
        <f t="shared" si="3"/>
        <v>214</v>
      </c>
      <c r="H15" s="140">
        <f t="shared" si="3"/>
        <v>60</v>
      </c>
      <c r="I15" s="143">
        <f t="shared" si="3"/>
        <v>404813.75</v>
      </c>
      <c r="J15" s="143"/>
      <c r="K15" s="143">
        <f>SUM(K16:K25)</f>
        <v>894036.25</v>
      </c>
    </row>
    <row r="16" spans="1:11">
      <c r="A16" s="25">
        <v>11</v>
      </c>
      <c r="B16" s="24" t="s">
        <v>176</v>
      </c>
      <c r="C16" s="25">
        <v>360</v>
      </c>
      <c r="D16" s="25">
        <v>19</v>
      </c>
      <c r="E16" s="25">
        <v>0</v>
      </c>
      <c r="F16" s="145">
        <f>(D16+E16*1.5)*C16*$F$2</f>
        <v>22230</v>
      </c>
      <c r="G16" s="25">
        <v>19</v>
      </c>
      <c r="H16" s="25">
        <v>4</v>
      </c>
      <c r="I16" s="145">
        <f>(G16+H16*1.5)*C16*$I$2</f>
        <v>24750</v>
      </c>
      <c r="J16" s="145"/>
      <c r="K16" s="145">
        <f>I16+F16</f>
        <v>46980</v>
      </c>
    </row>
    <row r="17" spans="1:13">
      <c r="A17" s="25">
        <v>12</v>
      </c>
      <c r="B17" s="24" t="s">
        <v>172</v>
      </c>
      <c r="C17" s="25">
        <v>520</v>
      </c>
      <c r="D17" s="25">
        <v>23</v>
      </c>
      <c r="E17" s="25">
        <v>8</v>
      </c>
      <c r="F17" s="145">
        <f t="shared" ref="F17:F25" si="4">(D17+E17*1.5)*C17*$F$2</f>
        <v>59150</v>
      </c>
      <c r="G17" s="25">
        <v>17</v>
      </c>
      <c r="H17" s="25">
        <v>6</v>
      </c>
      <c r="I17" s="145">
        <f t="shared" ref="I17:I25" si="5">(G17+H17*1.5)*C17*$I$2</f>
        <v>37180</v>
      </c>
      <c r="J17" s="145"/>
      <c r="K17" s="145">
        <f t="shared" ref="K17:K25" si="6">I17+F17</f>
        <v>96330</v>
      </c>
    </row>
    <row r="18" spans="1:13">
      <c r="A18" s="25">
        <v>13</v>
      </c>
      <c r="B18" s="24" t="s">
        <v>1002</v>
      </c>
      <c r="C18" s="25">
        <v>490</v>
      </c>
      <c r="D18" s="25">
        <v>19</v>
      </c>
      <c r="E18" s="25">
        <v>9</v>
      </c>
      <c r="F18" s="145">
        <f t="shared" si="4"/>
        <v>51756.25</v>
      </c>
      <c r="G18" s="25">
        <v>26</v>
      </c>
      <c r="H18" s="25">
        <v>5</v>
      </c>
      <c r="I18" s="145">
        <f t="shared" si="5"/>
        <v>45141.25</v>
      </c>
      <c r="J18" s="145"/>
      <c r="K18" s="145">
        <f t="shared" si="6"/>
        <v>96897.5</v>
      </c>
      <c r="M18" s="22"/>
    </row>
    <row r="19" spans="1:13">
      <c r="A19" s="25">
        <v>14</v>
      </c>
      <c r="B19" s="24" t="s">
        <v>177</v>
      </c>
      <c r="C19" s="25">
        <v>600</v>
      </c>
      <c r="D19" s="25">
        <v>21</v>
      </c>
      <c r="E19" s="25">
        <v>8</v>
      </c>
      <c r="F19" s="145">
        <f t="shared" si="4"/>
        <v>64350</v>
      </c>
      <c r="G19" s="25">
        <v>29</v>
      </c>
      <c r="H19" s="25">
        <v>10</v>
      </c>
      <c r="I19" s="145">
        <f t="shared" si="5"/>
        <v>72600</v>
      </c>
      <c r="J19" s="145"/>
      <c r="K19" s="145">
        <f t="shared" si="6"/>
        <v>136950</v>
      </c>
    </row>
    <row r="20" spans="1:13">
      <c r="A20" s="25">
        <v>15</v>
      </c>
      <c r="B20" s="24" t="s">
        <v>174</v>
      </c>
      <c r="C20" s="25">
        <v>580</v>
      </c>
      <c r="D20" s="25">
        <v>24</v>
      </c>
      <c r="E20" s="25">
        <v>9</v>
      </c>
      <c r="F20" s="145">
        <f t="shared" si="4"/>
        <v>70687.5</v>
      </c>
      <c r="G20" s="25">
        <v>19</v>
      </c>
      <c r="H20" s="25">
        <v>4</v>
      </c>
      <c r="I20" s="145">
        <f t="shared" si="5"/>
        <v>39875</v>
      </c>
      <c r="J20" s="145"/>
      <c r="K20" s="145">
        <f t="shared" si="6"/>
        <v>110562.5</v>
      </c>
    </row>
    <row r="21" spans="1:13">
      <c r="A21" s="25">
        <v>16</v>
      </c>
      <c r="B21" s="24" t="s">
        <v>178</v>
      </c>
      <c r="C21" s="25">
        <v>310</v>
      </c>
      <c r="D21" s="25">
        <v>23</v>
      </c>
      <c r="E21" s="25">
        <v>9</v>
      </c>
      <c r="F21" s="145">
        <f t="shared" si="4"/>
        <v>36773.75</v>
      </c>
      <c r="G21" s="25">
        <v>19</v>
      </c>
      <c r="H21" s="25">
        <v>4</v>
      </c>
      <c r="I21" s="145">
        <f t="shared" si="5"/>
        <v>21312.5</v>
      </c>
      <c r="J21" s="145"/>
      <c r="K21" s="145">
        <f t="shared" si="6"/>
        <v>58086.25</v>
      </c>
    </row>
    <row r="22" spans="1:13">
      <c r="A22" s="25">
        <v>17</v>
      </c>
      <c r="B22" s="24" t="s">
        <v>171</v>
      </c>
      <c r="C22" s="25">
        <v>620</v>
      </c>
      <c r="D22" s="25">
        <v>24</v>
      </c>
      <c r="E22" s="25">
        <v>0</v>
      </c>
      <c r="F22" s="145">
        <f t="shared" si="4"/>
        <v>48360</v>
      </c>
      <c r="G22" s="25">
        <v>22</v>
      </c>
      <c r="H22" s="25">
        <v>5</v>
      </c>
      <c r="I22" s="145">
        <f t="shared" si="5"/>
        <v>50297.5</v>
      </c>
      <c r="J22" s="145"/>
      <c r="K22" s="145">
        <f t="shared" si="6"/>
        <v>98657.5</v>
      </c>
    </row>
    <row r="23" spans="1:13">
      <c r="A23" s="25">
        <v>18</v>
      </c>
      <c r="B23" s="24" t="s">
        <v>179</v>
      </c>
      <c r="C23" s="25">
        <v>560</v>
      </c>
      <c r="D23" s="25">
        <v>17</v>
      </c>
      <c r="E23" s="25">
        <v>10</v>
      </c>
      <c r="F23" s="145">
        <f t="shared" si="4"/>
        <v>58240</v>
      </c>
      <c r="G23" s="25">
        <v>21</v>
      </c>
      <c r="H23" s="25">
        <v>10</v>
      </c>
      <c r="I23" s="145">
        <f t="shared" si="5"/>
        <v>55440</v>
      </c>
      <c r="J23" s="145"/>
      <c r="K23" s="145">
        <f t="shared" si="6"/>
        <v>113680</v>
      </c>
    </row>
    <row r="24" spans="1:13">
      <c r="A24" s="25">
        <v>19</v>
      </c>
      <c r="B24" s="24" t="s">
        <v>1003</v>
      </c>
      <c r="C24" s="25">
        <v>420</v>
      </c>
      <c r="D24" s="25">
        <v>25</v>
      </c>
      <c r="E24" s="25">
        <v>7</v>
      </c>
      <c r="F24" s="145">
        <f t="shared" si="4"/>
        <v>48457.5</v>
      </c>
      <c r="G24" s="25">
        <v>23</v>
      </c>
      <c r="H24" s="25">
        <v>4</v>
      </c>
      <c r="I24" s="145">
        <f t="shared" si="5"/>
        <v>33495</v>
      </c>
      <c r="J24" s="145"/>
      <c r="K24" s="145">
        <f t="shared" si="6"/>
        <v>81952.5</v>
      </c>
    </row>
    <row r="25" spans="1:13">
      <c r="A25" s="25">
        <v>20</v>
      </c>
      <c r="B25" s="24" t="s">
        <v>185</v>
      </c>
      <c r="C25" s="25">
        <v>290</v>
      </c>
      <c r="D25" s="25">
        <v>28</v>
      </c>
      <c r="E25" s="25">
        <v>2</v>
      </c>
      <c r="F25" s="145">
        <f t="shared" si="4"/>
        <v>29217.5</v>
      </c>
      <c r="G25" s="25">
        <v>19</v>
      </c>
      <c r="H25" s="25">
        <v>8</v>
      </c>
      <c r="I25" s="145">
        <f t="shared" si="5"/>
        <v>24722.5</v>
      </c>
      <c r="J25" s="145"/>
      <c r="K25" s="145">
        <f t="shared" si="6"/>
        <v>53940</v>
      </c>
      <c r="M25" s="22"/>
    </row>
    <row r="26" spans="1:13">
      <c r="A26" s="956" t="s">
        <v>202</v>
      </c>
      <c r="B26" s="957"/>
      <c r="C26" s="958"/>
      <c r="D26" s="140">
        <f>D4+D15</f>
        <v>460</v>
      </c>
      <c r="E26" s="140">
        <f>E4+E15</f>
        <v>113</v>
      </c>
      <c r="F26" s="143">
        <f>SUM(F15,F4)</f>
        <v>940095</v>
      </c>
      <c r="G26" s="142">
        <f>G15+G4</f>
        <v>439</v>
      </c>
      <c r="H26" s="142">
        <f>H15+H4</f>
        <v>102</v>
      </c>
      <c r="I26" s="143">
        <f>SUM(I15,I4)</f>
        <v>765682.5</v>
      </c>
      <c r="J26" s="143"/>
      <c r="K26" s="146">
        <v>3000000</v>
      </c>
    </row>
    <row r="28" spans="1:13">
      <c r="A28" s="26" t="s">
        <v>197</v>
      </c>
    </row>
    <row r="29" spans="1:13">
      <c r="A29" s="26" t="s">
        <v>198</v>
      </c>
    </row>
    <row r="30" spans="1:13">
      <c r="A30" s="26" t="s">
        <v>199</v>
      </c>
    </row>
    <row r="31" spans="1:13">
      <c r="A31" s="26" t="s">
        <v>200</v>
      </c>
    </row>
    <row r="32" spans="1:13">
      <c r="A32" s="26" t="s">
        <v>195</v>
      </c>
      <c r="B32" s="26"/>
    </row>
    <row r="33" spans="1:1">
      <c r="A33" s="26" t="s">
        <v>191</v>
      </c>
    </row>
    <row r="34" spans="1:1">
      <c r="A34" s="107"/>
    </row>
  </sheetData>
  <mergeCells count="9">
    <mergeCell ref="A26:C26"/>
    <mergeCell ref="G2:H2"/>
    <mergeCell ref="A1:K1"/>
    <mergeCell ref="J2:J3"/>
    <mergeCell ref="K2:K3"/>
    <mergeCell ref="A4:C4"/>
    <mergeCell ref="A15:C15"/>
    <mergeCell ref="A2:C2"/>
    <mergeCell ref="D2:E2"/>
  </mergeCells>
  <phoneticPr fontId="0" type="noConversion"/>
  <pageMargins left="0.75" right="0.75" top="1" bottom="1" header="0.5" footer="0.5"/>
  <pageSetup paperSize="9" orientation="portrait" r:id="rId1"/>
  <headerFooter alignWithMargins="0">
    <oddFooter>&amp;R&amp;A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3"/>
  <sheetViews>
    <sheetView showGridLines="0" workbookViewId="0">
      <selection activeCell="E5" sqref="E5"/>
    </sheetView>
  </sheetViews>
  <sheetFormatPr defaultRowHeight="15.75"/>
  <cols>
    <col min="1" max="1" width="4.125" style="104" customWidth="1"/>
    <col min="2" max="2" width="7.125" style="12" customWidth="1"/>
    <col min="3" max="3" width="10.625" style="12" customWidth="1"/>
    <col min="4" max="4" width="6.875" style="12" customWidth="1"/>
    <col min="5" max="5" width="8.75" style="12" customWidth="1"/>
    <col min="6" max="6" width="4.75" style="12" customWidth="1"/>
    <col min="7" max="7" width="6.75" style="12" customWidth="1"/>
    <col min="8" max="8" width="9.75" style="12" customWidth="1"/>
    <col min="9" max="9" width="10.75" style="12" customWidth="1"/>
    <col min="10" max="10" width="10.5" style="12" customWidth="1"/>
    <col min="11" max="16384" width="9" style="12"/>
  </cols>
  <sheetData>
    <row r="1" spans="1:10" ht="24" customHeight="1" thickBot="1">
      <c r="A1" s="962" t="s">
        <v>209</v>
      </c>
      <c r="B1" s="962"/>
      <c r="C1" s="962"/>
      <c r="D1" s="962"/>
      <c r="E1" s="962"/>
      <c r="G1" s="962" t="s">
        <v>216</v>
      </c>
      <c r="H1" s="962"/>
      <c r="I1" s="962"/>
      <c r="J1" s="962"/>
    </row>
    <row r="2" spans="1:10" s="76" customFormat="1" ht="34.5" customHeight="1" thickTop="1" thickBot="1">
      <c r="A2" s="73" t="s">
        <v>842</v>
      </c>
      <c r="B2" s="74" t="s">
        <v>211</v>
      </c>
      <c r="C2" s="74" t="s">
        <v>212</v>
      </c>
      <c r="D2" s="74" t="s">
        <v>213</v>
      </c>
      <c r="E2" s="75" t="s">
        <v>151</v>
      </c>
      <c r="G2" s="73" t="s">
        <v>211</v>
      </c>
      <c r="H2" s="74" t="s">
        <v>212</v>
      </c>
      <c r="I2" s="74" t="s">
        <v>214</v>
      </c>
      <c r="J2" s="75" t="s">
        <v>215</v>
      </c>
    </row>
    <row r="3" spans="1:10" ht="16.5" thickTop="1">
      <c r="A3" s="17">
        <v>1</v>
      </c>
      <c r="B3" s="18" t="s">
        <v>1007</v>
      </c>
      <c r="C3" s="77" t="str">
        <f>VLOOKUP(B3,$G$3:$H$9,2,0)</f>
        <v>Hà Nội</v>
      </c>
      <c r="D3" s="19">
        <v>8</v>
      </c>
      <c r="E3" s="78">
        <f>(D3-3)*VLOOKUP(B3,$G$2:$J$9,4,0)+(D3-D3+3)*VLOOKUP(B3,$G$2:$J$9,3,0)</f>
        <v>28000</v>
      </c>
      <c r="G3" s="83" t="s">
        <v>1009</v>
      </c>
      <c r="H3" s="18" t="s">
        <v>205</v>
      </c>
      <c r="I3" s="147">
        <v>2000</v>
      </c>
      <c r="J3" s="148">
        <v>700</v>
      </c>
    </row>
    <row r="4" spans="1:10">
      <c r="A4" s="23">
        <v>2</v>
      </c>
      <c r="B4" s="24" t="s">
        <v>1008</v>
      </c>
      <c r="C4" s="77" t="str">
        <f t="shared" ref="C4:C10" si="0">VLOOKUP(B4,$G$3:$H$9,2,0)</f>
        <v>Vĩnh Long</v>
      </c>
      <c r="D4" s="25">
        <v>9</v>
      </c>
      <c r="E4" s="78">
        <f t="shared" ref="E4:E10" si="1">(D4-3)*VLOOKUP(B4,$G$2:$J$9,4,0)+(D4-D4+3)*VLOOKUP(B4,$G$2:$J$9,3,0)</f>
        <v>10200</v>
      </c>
      <c r="G4" s="87" t="s">
        <v>1012</v>
      </c>
      <c r="H4" s="24" t="s">
        <v>206</v>
      </c>
      <c r="I4" s="149">
        <v>3500</v>
      </c>
      <c r="J4" s="150">
        <v>1200</v>
      </c>
    </row>
    <row r="5" spans="1:10">
      <c r="A5" s="23">
        <v>3</v>
      </c>
      <c r="B5" s="24" t="s">
        <v>1009</v>
      </c>
      <c r="C5" s="77" t="str">
        <f t="shared" si="0"/>
        <v>Đà Lạt</v>
      </c>
      <c r="D5" s="25">
        <v>3</v>
      </c>
      <c r="E5" s="78">
        <f t="shared" si="1"/>
        <v>6000</v>
      </c>
      <c r="G5" s="87" t="s">
        <v>1007</v>
      </c>
      <c r="H5" s="24" t="s">
        <v>207</v>
      </c>
      <c r="I5" s="149">
        <v>6000</v>
      </c>
      <c r="J5" s="150">
        <v>2000</v>
      </c>
    </row>
    <row r="6" spans="1:10">
      <c r="A6" s="23">
        <v>4</v>
      </c>
      <c r="B6" s="24" t="s">
        <v>1009</v>
      </c>
      <c r="C6" s="77" t="str">
        <f t="shared" si="0"/>
        <v>Đà Lạt</v>
      </c>
      <c r="D6" s="25">
        <v>5</v>
      </c>
      <c r="E6" s="78">
        <f t="shared" si="1"/>
        <v>7400</v>
      </c>
      <c r="G6" s="87" t="s">
        <v>1011</v>
      </c>
      <c r="H6" s="24" t="s">
        <v>203</v>
      </c>
      <c r="I6" s="149">
        <v>4000</v>
      </c>
      <c r="J6" s="150">
        <v>1500</v>
      </c>
    </row>
    <row r="7" spans="1:10">
      <c r="A7" s="23">
        <v>5</v>
      </c>
      <c r="B7" s="24" t="s">
        <v>1010</v>
      </c>
      <c r="C7" s="77" t="str">
        <f t="shared" si="0"/>
        <v>Sông Bé</v>
      </c>
      <c r="D7" s="25">
        <v>7</v>
      </c>
      <c r="E7" s="78">
        <f t="shared" si="1"/>
        <v>4600</v>
      </c>
      <c r="G7" s="87" t="s">
        <v>1010</v>
      </c>
      <c r="H7" s="24" t="s">
        <v>210</v>
      </c>
      <c r="I7" s="149">
        <v>1000</v>
      </c>
      <c r="J7" s="150">
        <v>400</v>
      </c>
    </row>
    <row r="8" spans="1:10">
      <c r="A8" s="23">
        <v>6</v>
      </c>
      <c r="B8" s="24" t="s">
        <v>1011</v>
      </c>
      <c r="C8" s="77" t="str">
        <f t="shared" si="0"/>
        <v>Huế</v>
      </c>
      <c r="D8" s="25">
        <v>14</v>
      </c>
      <c r="E8" s="78">
        <f t="shared" si="1"/>
        <v>28500</v>
      </c>
      <c r="G8" s="87" t="s">
        <v>1008</v>
      </c>
      <c r="H8" s="24" t="s">
        <v>204</v>
      </c>
      <c r="I8" s="149">
        <v>2000</v>
      </c>
      <c r="J8" s="150">
        <v>700</v>
      </c>
    </row>
    <row r="9" spans="1:10" ht="16.5" thickBot="1">
      <c r="A9" s="23">
        <v>7</v>
      </c>
      <c r="B9" s="24" t="s">
        <v>1012</v>
      </c>
      <c r="C9" s="77" t="str">
        <f t="shared" si="0"/>
        <v>Đà Nẵng</v>
      </c>
      <c r="D9" s="25">
        <v>6</v>
      </c>
      <c r="E9" s="78">
        <f t="shared" si="1"/>
        <v>14100</v>
      </c>
      <c r="G9" s="89" t="s">
        <v>1013</v>
      </c>
      <c r="H9" s="80" t="s">
        <v>208</v>
      </c>
      <c r="I9" s="151">
        <v>1500</v>
      </c>
      <c r="J9" s="152">
        <v>500</v>
      </c>
    </row>
    <row r="10" spans="1:10" ht="17.25" thickTop="1" thickBot="1">
      <c r="A10" s="79">
        <v>8</v>
      </c>
      <c r="B10" s="80" t="s">
        <v>1013</v>
      </c>
      <c r="C10" s="77" t="str">
        <f t="shared" si="0"/>
        <v>Vũng Tàu</v>
      </c>
      <c r="D10" s="153">
        <v>8</v>
      </c>
      <c r="E10" s="78">
        <f t="shared" si="1"/>
        <v>7000</v>
      </c>
    </row>
    <row r="11" spans="1:10" ht="16.5" thickTop="1"/>
    <row r="12" spans="1:10">
      <c r="A12" s="26" t="s">
        <v>229</v>
      </c>
    </row>
    <row r="13" spans="1:10">
      <c r="A13" s="105" t="s">
        <v>230</v>
      </c>
    </row>
  </sheetData>
  <mergeCells count="2">
    <mergeCell ref="A1:E1"/>
    <mergeCell ref="G1:J1"/>
  </mergeCells>
  <phoneticPr fontId="0" type="noConversion"/>
  <pageMargins left="0.75" right="0.75" top="1" bottom="1" header="0.5" footer="0.5"/>
  <pageSetup paperSize="9" orientation="portrait" r:id="rId1"/>
  <headerFooter alignWithMargins="0">
    <oddFooter>&amp;R&amp;A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7"/>
  <sheetViews>
    <sheetView showGridLines="0" workbookViewId="0">
      <selection activeCell="H7" sqref="H7"/>
    </sheetView>
  </sheetViews>
  <sheetFormatPr defaultRowHeight="15.75"/>
  <cols>
    <col min="1" max="1" width="4.5" style="12" customWidth="1"/>
    <col min="2" max="5" width="9" style="12" customWidth="1"/>
    <col min="6" max="6" width="10.75" style="12" customWidth="1"/>
    <col min="7" max="7" width="9.375" style="12" bestFit="1" customWidth="1"/>
    <col min="8" max="8" width="10.75" style="12" customWidth="1"/>
    <col min="9" max="16384" width="9" style="12"/>
  </cols>
  <sheetData>
    <row r="1" spans="1:8" ht="24" customHeight="1" thickBot="1">
      <c r="A1" s="927" t="s">
        <v>249</v>
      </c>
      <c r="B1" s="927"/>
      <c r="C1" s="927"/>
      <c r="D1" s="927"/>
      <c r="E1" s="927"/>
      <c r="F1" s="927"/>
      <c r="G1" s="927"/>
      <c r="H1" s="927"/>
    </row>
    <row r="2" spans="1:8" ht="17.25" thickTop="1" thickBot="1">
      <c r="A2" s="14" t="s">
        <v>842</v>
      </c>
      <c r="B2" s="15" t="s">
        <v>237</v>
      </c>
      <c r="C2" s="15" t="s">
        <v>238</v>
      </c>
      <c r="D2" s="15" t="s">
        <v>681</v>
      </c>
      <c r="E2" s="15" t="s">
        <v>687</v>
      </c>
      <c r="F2" s="15" t="s">
        <v>688</v>
      </c>
      <c r="G2" s="15" t="s">
        <v>240</v>
      </c>
      <c r="H2" s="16" t="s">
        <v>151</v>
      </c>
    </row>
    <row r="3" spans="1:8" ht="16.5" thickTop="1">
      <c r="A3" s="17">
        <v>1</v>
      </c>
      <c r="B3" s="18" t="s">
        <v>232</v>
      </c>
      <c r="C3" s="18" t="s">
        <v>1014</v>
      </c>
      <c r="D3" s="154">
        <v>20</v>
      </c>
      <c r="E3" s="154">
        <v>51500</v>
      </c>
      <c r="F3" s="20">
        <f>D3*E3</f>
        <v>1030000</v>
      </c>
      <c r="G3" s="20">
        <f>3%*F3</f>
        <v>30900</v>
      </c>
      <c r="H3" s="78">
        <f>SUM(F3:G3)</f>
        <v>1060900</v>
      </c>
    </row>
    <row r="4" spans="1:8">
      <c r="A4" s="23">
        <v>2</v>
      </c>
      <c r="B4" s="24" t="s">
        <v>241</v>
      </c>
      <c r="C4" s="24" t="s">
        <v>1015</v>
      </c>
      <c r="D4" s="146">
        <v>10</v>
      </c>
      <c r="E4" s="146">
        <v>40000</v>
      </c>
      <c r="F4" s="20">
        <f t="shared" ref="F4:F11" si="0">D4*E4</f>
        <v>400000</v>
      </c>
      <c r="G4" s="20">
        <f t="shared" ref="G4:G11" si="1">3%*F4</f>
        <v>12000</v>
      </c>
      <c r="H4" s="78">
        <f t="shared" ref="H4:H11" si="2">SUM(F4:G4)</f>
        <v>412000</v>
      </c>
    </row>
    <row r="5" spans="1:8">
      <c r="A5" s="23">
        <v>3</v>
      </c>
      <c r="B5" s="24" t="s">
        <v>242</v>
      </c>
      <c r="C5" s="24" t="s">
        <v>235</v>
      </c>
      <c r="D5" s="146">
        <v>50</v>
      </c>
      <c r="E5" s="146">
        <v>25000</v>
      </c>
      <c r="F5" s="20">
        <f t="shared" si="0"/>
        <v>1250000</v>
      </c>
      <c r="G5" s="20">
        <f t="shared" si="1"/>
        <v>37500</v>
      </c>
      <c r="H5" s="78">
        <f t="shared" si="2"/>
        <v>1287500</v>
      </c>
    </row>
    <row r="6" spans="1:8">
      <c r="A6" s="23">
        <v>4</v>
      </c>
      <c r="B6" s="24" t="s">
        <v>231</v>
      </c>
      <c r="C6" s="24" t="s">
        <v>246</v>
      </c>
      <c r="D6" s="146">
        <v>5000</v>
      </c>
      <c r="E6" s="146">
        <v>200</v>
      </c>
      <c r="F6" s="20">
        <f t="shared" si="0"/>
        <v>1000000</v>
      </c>
      <c r="G6" s="20">
        <f t="shared" si="1"/>
        <v>30000</v>
      </c>
      <c r="H6" s="78">
        <f t="shared" si="2"/>
        <v>1030000</v>
      </c>
    </row>
    <row r="7" spans="1:8">
      <c r="A7" s="23">
        <v>5</v>
      </c>
      <c r="B7" s="24" t="s">
        <v>247</v>
      </c>
      <c r="C7" s="24" t="s">
        <v>234</v>
      </c>
      <c r="D7" s="146">
        <v>50</v>
      </c>
      <c r="E7" s="146">
        <v>200000</v>
      </c>
      <c r="F7" s="20">
        <f t="shared" si="0"/>
        <v>10000000</v>
      </c>
      <c r="G7" s="20">
        <f t="shared" si="1"/>
        <v>300000</v>
      </c>
      <c r="H7" s="78">
        <f t="shared" si="2"/>
        <v>10300000</v>
      </c>
    </row>
    <row r="8" spans="1:8">
      <c r="A8" s="23">
        <v>6</v>
      </c>
      <c r="B8" s="24" t="s">
        <v>236</v>
      </c>
      <c r="C8" s="24" t="s">
        <v>1016</v>
      </c>
      <c r="D8" s="146">
        <v>15</v>
      </c>
      <c r="E8" s="146">
        <v>25000</v>
      </c>
      <c r="F8" s="20">
        <f t="shared" si="0"/>
        <v>375000</v>
      </c>
      <c r="G8" s="20">
        <f t="shared" si="1"/>
        <v>11250</v>
      </c>
      <c r="H8" s="78">
        <f t="shared" si="2"/>
        <v>386250</v>
      </c>
    </row>
    <row r="9" spans="1:8">
      <c r="A9" s="23">
        <v>7</v>
      </c>
      <c r="B9" s="24" t="s">
        <v>233</v>
      </c>
      <c r="C9" s="24" t="s">
        <v>1016</v>
      </c>
      <c r="D9" s="146">
        <v>1000</v>
      </c>
      <c r="E9" s="146">
        <v>25000</v>
      </c>
      <c r="F9" s="20">
        <f t="shared" si="0"/>
        <v>25000000</v>
      </c>
      <c r="G9" s="20">
        <f t="shared" si="1"/>
        <v>750000</v>
      </c>
      <c r="H9" s="78">
        <f t="shared" si="2"/>
        <v>25750000</v>
      </c>
    </row>
    <row r="10" spans="1:8">
      <c r="A10" s="23">
        <v>8</v>
      </c>
      <c r="B10" s="24" t="s">
        <v>239</v>
      </c>
      <c r="C10" s="24" t="s">
        <v>1016</v>
      </c>
      <c r="D10" s="146">
        <v>5</v>
      </c>
      <c r="E10" s="146">
        <v>30000</v>
      </c>
      <c r="F10" s="20">
        <f t="shared" si="0"/>
        <v>150000</v>
      </c>
      <c r="G10" s="20">
        <f t="shared" si="1"/>
        <v>4500</v>
      </c>
      <c r="H10" s="78">
        <f t="shared" si="2"/>
        <v>154500</v>
      </c>
    </row>
    <row r="11" spans="1:8" ht="16.5" thickBot="1">
      <c r="A11" s="99">
        <v>9</v>
      </c>
      <c r="B11" s="101" t="s">
        <v>248</v>
      </c>
      <c r="C11" s="101" t="s">
        <v>1016</v>
      </c>
      <c r="D11" s="155">
        <v>50</v>
      </c>
      <c r="E11" s="155">
        <v>2000</v>
      </c>
      <c r="F11" s="20">
        <f t="shared" si="0"/>
        <v>100000</v>
      </c>
      <c r="G11" s="20">
        <f t="shared" si="1"/>
        <v>3000</v>
      </c>
      <c r="H11" s="78">
        <f t="shared" si="2"/>
        <v>103000</v>
      </c>
    </row>
    <row r="12" spans="1:8" ht="18" customHeight="1" thickTop="1" thickBot="1">
      <c r="A12" s="963" t="s">
        <v>576</v>
      </c>
      <c r="B12" s="964"/>
      <c r="C12" s="964"/>
      <c r="D12" s="964"/>
      <c r="E12" s="964"/>
      <c r="F12" s="158">
        <f>SUM(F3:F11)</f>
        <v>39305000</v>
      </c>
      <c r="G12" s="158">
        <f>SUM(G3:G11)</f>
        <v>1179150</v>
      </c>
      <c r="H12" s="159">
        <f>SUM(H3:H11)</f>
        <v>40484150</v>
      </c>
    </row>
    <row r="13" spans="1:8" ht="16.5" thickTop="1"/>
    <row r="14" spans="1:8">
      <c r="A14" s="26" t="s">
        <v>243</v>
      </c>
    </row>
    <row r="15" spans="1:8">
      <c r="A15" s="26" t="s">
        <v>244</v>
      </c>
    </row>
    <row r="16" spans="1:8">
      <c r="A16" s="26" t="s">
        <v>245</v>
      </c>
    </row>
    <row r="17" spans="1:1">
      <c r="A17" s="26" t="s">
        <v>250</v>
      </c>
    </row>
  </sheetData>
  <mergeCells count="2">
    <mergeCell ref="A1:H1"/>
    <mergeCell ref="A12:E12"/>
  </mergeCells>
  <phoneticPr fontId="0" type="noConversion"/>
  <pageMargins left="0.75" right="0.75" top="1" bottom="1" header="0.5" footer="0.5"/>
  <pageSetup paperSize="9" orientation="portrait" r:id="rId1"/>
  <headerFooter alignWithMargins="0">
    <oddFooter>&amp;R&amp;A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28"/>
  <sheetViews>
    <sheetView showGridLines="0" topLeftCell="A4" workbookViewId="0">
      <selection activeCell="H21" sqref="H21"/>
    </sheetView>
  </sheetViews>
  <sheetFormatPr defaultRowHeight="15.75"/>
  <cols>
    <col min="1" max="1" width="4.75" style="12" customWidth="1"/>
    <col min="2" max="2" width="16" style="12" customWidth="1"/>
    <col min="3" max="3" width="6.75" style="12" customWidth="1"/>
    <col min="4" max="4" width="11.625" style="12" bestFit="1" customWidth="1"/>
    <col min="5" max="5" width="9" style="12" customWidth="1"/>
    <col min="6" max="6" width="10" style="12" customWidth="1"/>
    <col min="7" max="7" width="9.625" style="12" bestFit="1" customWidth="1"/>
    <col min="8" max="16384" width="9" style="12"/>
  </cols>
  <sheetData>
    <row r="1" spans="1:8" ht="24" customHeight="1">
      <c r="A1" s="927" t="s">
        <v>588</v>
      </c>
      <c r="B1" s="927"/>
      <c r="C1" s="927"/>
      <c r="D1" s="927"/>
      <c r="E1" s="927"/>
      <c r="F1" s="927"/>
      <c r="G1" s="927"/>
      <c r="H1" s="927"/>
    </row>
    <row r="2" spans="1:8">
      <c r="F2" s="24" t="s">
        <v>265</v>
      </c>
      <c r="G2" s="24"/>
      <c r="H2" s="160">
        <v>24</v>
      </c>
    </row>
    <row r="3" spans="1:8" ht="16.5" thickBot="1">
      <c r="F3" s="101" t="s">
        <v>256</v>
      </c>
      <c r="G3" s="101"/>
      <c r="H3" s="155">
        <v>1000000</v>
      </c>
    </row>
    <row r="4" spans="1:8" ht="30" customHeight="1" thickTop="1" thickBot="1">
      <c r="A4" s="73" t="s">
        <v>1017</v>
      </c>
      <c r="B4" s="74" t="s">
        <v>589</v>
      </c>
      <c r="C4" s="74" t="s">
        <v>266</v>
      </c>
      <c r="D4" s="74" t="s">
        <v>579</v>
      </c>
      <c r="E4" s="74" t="s">
        <v>577</v>
      </c>
      <c r="F4" s="74" t="s">
        <v>580</v>
      </c>
      <c r="G4" s="74" t="s">
        <v>255</v>
      </c>
      <c r="H4" s="75" t="s">
        <v>263</v>
      </c>
    </row>
    <row r="5" spans="1:8" ht="16.5" thickTop="1">
      <c r="A5" s="17">
        <v>1</v>
      </c>
      <c r="B5" s="18" t="s">
        <v>590</v>
      </c>
      <c r="C5" s="19">
        <v>25</v>
      </c>
      <c r="D5" s="20">
        <f>($H$3/$H$2)*C5</f>
        <v>1041666.6666666666</v>
      </c>
      <c r="E5" s="20">
        <f>IF(C5&gt;=26,200000,100000)</f>
        <v>100000</v>
      </c>
      <c r="F5" s="20">
        <f>SUM(D5:E5)</f>
        <v>1141666.6666666665</v>
      </c>
      <c r="G5" s="20">
        <f>IF(C5&gt;=26,80%*D5,60%*D5)</f>
        <v>625000</v>
      </c>
      <c r="H5" s="78">
        <f>F5-G5</f>
        <v>516666.66666666651</v>
      </c>
    </row>
    <row r="6" spans="1:8">
      <c r="A6" s="23">
        <v>2</v>
      </c>
      <c r="B6" s="24" t="s">
        <v>587</v>
      </c>
      <c r="C6" s="25">
        <v>27</v>
      </c>
      <c r="D6" s="20">
        <f t="shared" ref="D6:D17" si="0">($H$3/$H$2)*C6</f>
        <v>1125000</v>
      </c>
      <c r="E6" s="20">
        <f t="shared" ref="E6:E17" si="1">IF(C6&gt;=26,200000,100000)</f>
        <v>200000</v>
      </c>
      <c r="F6" s="20">
        <f t="shared" ref="F6:F17" si="2">SUM(D6:E6)</f>
        <v>1325000</v>
      </c>
      <c r="G6" s="20">
        <f t="shared" ref="G6:G17" si="3">IF(C6&gt;=26,80%*D6,60%*D6)</f>
        <v>900000</v>
      </c>
      <c r="H6" s="78">
        <f t="shared" ref="H6:H17" si="4">F6-G6</f>
        <v>425000</v>
      </c>
    </row>
    <row r="7" spans="1:8">
      <c r="A7" s="23">
        <v>3</v>
      </c>
      <c r="B7" s="24" t="s">
        <v>574</v>
      </c>
      <c r="C7" s="25">
        <v>26</v>
      </c>
      <c r="D7" s="20">
        <f t="shared" si="0"/>
        <v>1083333.3333333333</v>
      </c>
      <c r="E7" s="20">
        <f t="shared" si="1"/>
        <v>200000</v>
      </c>
      <c r="F7" s="20">
        <f t="shared" si="2"/>
        <v>1283333.3333333333</v>
      </c>
      <c r="G7" s="20">
        <f t="shared" si="3"/>
        <v>866666.66666666663</v>
      </c>
      <c r="H7" s="78">
        <f t="shared" si="4"/>
        <v>416666.66666666663</v>
      </c>
    </row>
    <row r="8" spans="1:8">
      <c r="A8" s="23">
        <v>4</v>
      </c>
      <c r="B8" s="24" t="s">
        <v>581</v>
      </c>
      <c r="C8" s="25">
        <v>25</v>
      </c>
      <c r="D8" s="20">
        <f t="shared" si="0"/>
        <v>1041666.6666666666</v>
      </c>
      <c r="E8" s="20">
        <f t="shared" si="1"/>
        <v>100000</v>
      </c>
      <c r="F8" s="20">
        <f t="shared" si="2"/>
        <v>1141666.6666666665</v>
      </c>
      <c r="G8" s="20">
        <f t="shared" si="3"/>
        <v>625000</v>
      </c>
      <c r="H8" s="78">
        <f t="shared" si="4"/>
        <v>516666.66666666651</v>
      </c>
    </row>
    <row r="9" spans="1:8">
      <c r="A9" s="23">
        <v>5</v>
      </c>
      <c r="B9" s="24" t="s">
        <v>578</v>
      </c>
      <c r="C9" s="25">
        <v>24</v>
      </c>
      <c r="D9" s="20">
        <f t="shared" si="0"/>
        <v>1000000</v>
      </c>
      <c r="E9" s="20">
        <f t="shared" si="1"/>
        <v>100000</v>
      </c>
      <c r="F9" s="20">
        <f t="shared" si="2"/>
        <v>1100000</v>
      </c>
      <c r="G9" s="20">
        <f t="shared" si="3"/>
        <v>600000</v>
      </c>
      <c r="H9" s="78">
        <f t="shared" si="4"/>
        <v>500000</v>
      </c>
    </row>
    <row r="10" spans="1:8">
      <c r="A10" s="23">
        <v>6</v>
      </c>
      <c r="B10" s="24" t="s">
        <v>258</v>
      </c>
      <c r="C10" s="25">
        <v>28</v>
      </c>
      <c r="D10" s="20">
        <f t="shared" si="0"/>
        <v>1166666.6666666665</v>
      </c>
      <c r="E10" s="20">
        <f t="shared" si="1"/>
        <v>200000</v>
      </c>
      <c r="F10" s="20">
        <f t="shared" si="2"/>
        <v>1366666.6666666665</v>
      </c>
      <c r="G10" s="20">
        <f t="shared" si="3"/>
        <v>933333.33333333326</v>
      </c>
      <c r="H10" s="78">
        <f t="shared" si="4"/>
        <v>433333.33333333326</v>
      </c>
    </row>
    <row r="11" spans="1:8">
      <c r="A11" s="23">
        <v>7</v>
      </c>
      <c r="B11" s="24" t="s">
        <v>586</v>
      </c>
      <c r="C11" s="25">
        <v>27</v>
      </c>
      <c r="D11" s="20">
        <f t="shared" si="0"/>
        <v>1125000</v>
      </c>
      <c r="E11" s="20">
        <f t="shared" si="1"/>
        <v>200000</v>
      </c>
      <c r="F11" s="20">
        <f t="shared" si="2"/>
        <v>1325000</v>
      </c>
      <c r="G11" s="20">
        <f t="shared" si="3"/>
        <v>900000</v>
      </c>
      <c r="H11" s="78">
        <f t="shared" si="4"/>
        <v>425000</v>
      </c>
    </row>
    <row r="12" spans="1:8">
      <c r="A12" s="23">
        <v>8</v>
      </c>
      <c r="B12" s="24" t="s">
        <v>260</v>
      </c>
      <c r="C12" s="25">
        <v>26</v>
      </c>
      <c r="D12" s="20">
        <f t="shared" si="0"/>
        <v>1083333.3333333333</v>
      </c>
      <c r="E12" s="20">
        <f t="shared" si="1"/>
        <v>200000</v>
      </c>
      <c r="F12" s="20">
        <f t="shared" si="2"/>
        <v>1283333.3333333333</v>
      </c>
      <c r="G12" s="20">
        <f t="shared" si="3"/>
        <v>866666.66666666663</v>
      </c>
      <c r="H12" s="78">
        <f t="shared" si="4"/>
        <v>416666.66666666663</v>
      </c>
    </row>
    <row r="13" spans="1:8">
      <c r="A13" s="23">
        <v>9</v>
      </c>
      <c r="B13" s="24" t="s">
        <v>267</v>
      </c>
      <c r="C13" s="25">
        <v>25</v>
      </c>
      <c r="D13" s="20">
        <f t="shared" si="0"/>
        <v>1041666.6666666666</v>
      </c>
      <c r="E13" s="20">
        <f t="shared" si="1"/>
        <v>100000</v>
      </c>
      <c r="F13" s="20">
        <f t="shared" si="2"/>
        <v>1141666.6666666665</v>
      </c>
      <c r="G13" s="20">
        <f t="shared" si="3"/>
        <v>625000</v>
      </c>
      <c r="H13" s="78">
        <f t="shared" si="4"/>
        <v>516666.66666666651</v>
      </c>
    </row>
    <row r="14" spans="1:8">
      <c r="A14" s="23">
        <v>10</v>
      </c>
      <c r="B14" s="24" t="s">
        <v>253</v>
      </c>
      <c r="C14" s="25">
        <v>26</v>
      </c>
      <c r="D14" s="20">
        <f t="shared" si="0"/>
        <v>1083333.3333333333</v>
      </c>
      <c r="E14" s="20">
        <f t="shared" si="1"/>
        <v>200000</v>
      </c>
      <c r="F14" s="20">
        <f t="shared" si="2"/>
        <v>1283333.3333333333</v>
      </c>
      <c r="G14" s="20">
        <f t="shared" si="3"/>
        <v>866666.66666666663</v>
      </c>
      <c r="H14" s="78">
        <f t="shared" si="4"/>
        <v>416666.66666666663</v>
      </c>
    </row>
    <row r="15" spans="1:8">
      <c r="A15" s="23">
        <v>11</v>
      </c>
      <c r="B15" s="24" t="s">
        <v>261</v>
      </c>
      <c r="C15" s="25">
        <v>24</v>
      </c>
      <c r="D15" s="20">
        <f t="shared" si="0"/>
        <v>1000000</v>
      </c>
      <c r="E15" s="20">
        <f t="shared" si="1"/>
        <v>100000</v>
      </c>
      <c r="F15" s="20">
        <f t="shared" si="2"/>
        <v>1100000</v>
      </c>
      <c r="G15" s="20">
        <f t="shared" si="3"/>
        <v>600000</v>
      </c>
      <c r="H15" s="78">
        <f t="shared" si="4"/>
        <v>500000</v>
      </c>
    </row>
    <row r="16" spans="1:8">
      <c r="A16" s="23">
        <v>12</v>
      </c>
      <c r="B16" s="24" t="s">
        <v>262</v>
      </c>
      <c r="C16" s="25">
        <v>27</v>
      </c>
      <c r="D16" s="20">
        <f t="shared" si="0"/>
        <v>1125000</v>
      </c>
      <c r="E16" s="20">
        <f t="shared" si="1"/>
        <v>200000</v>
      </c>
      <c r="F16" s="20">
        <f t="shared" si="2"/>
        <v>1325000</v>
      </c>
      <c r="G16" s="20">
        <f t="shared" si="3"/>
        <v>900000</v>
      </c>
      <c r="H16" s="78">
        <f t="shared" si="4"/>
        <v>425000</v>
      </c>
    </row>
    <row r="17" spans="1:8" ht="16.5" thickBot="1">
      <c r="A17" s="99">
        <v>13</v>
      </c>
      <c r="B17" s="101" t="s">
        <v>259</v>
      </c>
      <c r="C17" s="100">
        <v>25</v>
      </c>
      <c r="D17" s="20">
        <f t="shared" si="0"/>
        <v>1041666.6666666666</v>
      </c>
      <c r="E17" s="20">
        <f t="shared" si="1"/>
        <v>100000</v>
      </c>
      <c r="F17" s="20">
        <f t="shared" si="2"/>
        <v>1141666.6666666665</v>
      </c>
      <c r="G17" s="20">
        <f t="shared" si="3"/>
        <v>625000</v>
      </c>
      <c r="H17" s="78">
        <f t="shared" si="4"/>
        <v>516666.66666666651</v>
      </c>
    </row>
    <row r="18" spans="1:8" ht="17.25" thickTop="1" thickBot="1">
      <c r="A18" s="965" t="s">
        <v>254</v>
      </c>
      <c r="B18" s="966"/>
      <c r="C18" s="966"/>
      <c r="D18" s="161">
        <f>SUM(D5:D17)</f>
        <v>13958333.333333334</v>
      </c>
      <c r="E18" s="161">
        <f>SUM(E5:E17)</f>
        <v>2000000</v>
      </c>
      <c r="F18" s="161">
        <f>SUM(F5:F17)</f>
        <v>15958333.333333332</v>
      </c>
      <c r="G18" s="161">
        <f>SUM(G5:G17)</f>
        <v>9933333.333333334</v>
      </c>
      <c r="H18" s="161">
        <f>SUM(H5:H17)</f>
        <v>6025000</v>
      </c>
    </row>
    <row r="19" spans="1:8" ht="17.25" thickTop="1" thickBot="1">
      <c r="A19" s="967" t="s">
        <v>275</v>
      </c>
      <c r="B19" s="968"/>
      <c r="C19" s="968"/>
      <c r="D19" s="161">
        <f>AVERAGE(D5:D17)</f>
        <v>1073717.9487179487</v>
      </c>
      <c r="E19" s="161">
        <f>AVERAGE(E5:E17)</f>
        <v>153846.15384615384</v>
      </c>
      <c r="F19" s="161">
        <f>AVERAGE(F5:F17)</f>
        <v>1227564.1025641025</v>
      </c>
      <c r="G19" s="161">
        <f>AVERAGE(G5:G17)</f>
        <v>764102.56410256412</v>
      </c>
      <c r="H19" s="161">
        <f>AVERAGE(H5:H17)</f>
        <v>463461.53846153844</v>
      </c>
    </row>
    <row r="20" spans="1:8" ht="17.25" thickTop="1" thickBot="1">
      <c r="A20" s="967" t="s">
        <v>251</v>
      </c>
      <c r="B20" s="968"/>
      <c r="C20" s="968"/>
      <c r="D20" s="161">
        <f>MAX(D5:D17)</f>
        <v>1166666.6666666665</v>
      </c>
      <c r="E20" s="161">
        <f>MAX(E5:E17)</f>
        <v>200000</v>
      </c>
      <c r="F20" s="161">
        <f>MAX(F5:F17)</f>
        <v>1366666.6666666665</v>
      </c>
      <c r="G20" s="161">
        <f>MAX(G5:G17)</f>
        <v>933333.33333333326</v>
      </c>
      <c r="H20" s="161">
        <f>MAX(H5:H17)</f>
        <v>516666.66666666651</v>
      </c>
    </row>
    <row r="21" spans="1:8" ht="17.25" thickTop="1" thickBot="1">
      <c r="A21" s="928" t="s">
        <v>252</v>
      </c>
      <c r="B21" s="929"/>
      <c r="C21" s="929"/>
      <c r="D21" s="161">
        <f>MIN(D5:D17)</f>
        <v>1000000</v>
      </c>
      <c r="E21" s="161">
        <f>MIN(E5:E17)</f>
        <v>100000</v>
      </c>
      <c r="F21" s="161">
        <f>MIN(F5:F17)</f>
        <v>1100000</v>
      </c>
      <c r="G21" s="161">
        <f>MIN(G5:G17)</f>
        <v>600000</v>
      </c>
      <c r="H21" s="161">
        <f>MIN(H5:H17)</f>
        <v>416666.66666666663</v>
      </c>
    </row>
    <row r="22" spans="1:8" ht="16.5" thickTop="1"/>
    <row r="23" spans="1:8">
      <c r="A23" s="26" t="s">
        <v>268</v>
      </c>
    </row>
    <row r="24" spans="1:8">
      <c r="A24" s="26" t="s">
        <v>273</v>
      </c>
    </row>
    <row r="25" spans="1:8">
      <c r="A25" s="26" t="s">
        <v>257</v>
      </c>
    </row>
    <row r="26" spans="1:8">
      <c r="A26" s="26" t="s">
        <v>274</v>
      </c>
    </row>
    <row r="27" spans="1:8">
      <c r="A27" s="26" t="s">
        <v>264</v>
      </c>
    </row>
    <row r="28" spans="1:8">
      <c r="A28" s="26" t="s">
        <v>276</v>
      </c>
    </row>
  </sheetData>
  <mergeCells count="5">
    <mergeCell ref="A21:C21"/>
    <mergeCell ref="A1:H1"/>
    <mergeCell ref="A18:C18"/>
    <mergeCell ref="A19:C19"/>
    <mergeCell ref="A20:C20"/>
  </mergeCells>
  <phoneticPr fontId="0" type="noConversion"/>
  <pageMargins left="0.75" right="0.75" top="1" bottom="1" header="0.5" footer="0.5"/>
  <pageSetup paperSize="9" orientation="portrait" r:id="rId1"/>
  <headerFooter alignWithMargins="0">
    <oddFooter>&amp;R&amp;A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6"/>
  <sheetViews>
    <sheetView showGridLines="0" workbookViewId="0">
      <selection activeCell="G9" sqref="G9"/>
    </sheetView>
  </sheetViews>
  <sheetFormatPr defaultRowHeight="15.75"/>
  <cols>
    <col min="1" max="1" width="4.75" style="12" customWidth="1"/>
    <col min="2" max="2" width="10.875" style="12" customWidth="1"/>
    <col min="3" max="5" width="9" style="12" customWidth="1"/>
    <col min="6" max="6" width="10.125" style="12" customWidth="1"/>
    <col min="7" max="7" width="10.25" style="12" customWidth="1"/>
    <col min="8" max="16384" width="9" style="12"/>
  </cols>
  <sheetData>
    <row r="1" spans="1:7" ht="24" customHeight="1">
      <c r="A1" s="927" t="s">
        <v>292</v>
      </c>
      <c r="B1" s="927"/>
      <c r="C1" s="927"/>
      <c r="D1" s="927"/>
      <c r="E1" s="927"/>
      <c r="F1" s="927"/>
      <c r="G1" s="927"/>
    </row>
    <row r="2" spans="1:7">
      <c r="A2" s="12" t="s">
        <v>293</v>
      </c>
      <c r="E2" s="12" t="s">
        <v>288</v>
      </c>
      <c r="G2" s="22">
        <v>25000</v>
      </c>
    </row>
    <row r="3" spans="1:7">
      <c r="A3" s="12" t="s">
        <v>382</v>
      </c>
    </row>
    <row r="4" spans="1:7" ht="16.5" thickBot="1">
      <c r="A4" s="12" t="s">
        <v>289</v>
      </c>
    </row>
    <row r="5" spans="1:7" ht="18" customHeight="1" thickTop="1" thickBot="1">
      <c r="A5" s="14" t="s">
        <v>1017</v>
      </c>
      <c r="B5" s="15" t="s">
        <v>280</v>
      </c>
      <c r="C5" s="15" t="s">
        <v>281</v>
      </c>
      <c r="D5" s="15" t="s">
        <v>278</v>
      </c>
      <c r="E5" s="15" t="s">
        <v>1018</v>
      </c>
      <c r="F5" s="15" t="s">
        <v>290</v>
      </c>
      <c r="G5" s="16" t="s">
        <v>277</v>
      </c>
    </row>
    <row r="6" spans="1:7" ht="16.5" thickTop="1">
      <c r="A6" s="17">
        <v>4</v>
      </c>
      <c r="B6" s="18" t="s">
        <v>291</v>
      </c>
      <c r="C6" s="115">
        <v>20</v>
      </c>
      <c r="D6" s="115">
        <v>4</v>
      </c>
      <c r="E6" s="115">
        <v>4</v>
      </c>
      <c r="F6" s="115">
        <v>2</v>
      </c>
      <c r="G6" s="620">
        <f t="shared" ref="G6:G11" si="0">C6*D6*E6*F6*$G$2</f>
        <v>16000000</v>
      </c>
    </row>
    <row r="7" spans="1:7">
      <c r="A7" s="23">
        <v>5</v>
      </c>
      <c r="B7" s="24" t="s">
        <v>287</v>
      </c>
      <c r="C7" s="119">
        <v>20</v>
      </c>
      <c r="D7" s="119">
        <v>4</v>
      </c>
      <c r="E7" s="119">
        <v>2</v>
      </c>
      <c r="F7" s="119">
        <v>4</v>
      </c>
      <c r="G7" s="620">
        <f t="shared" si="0"/>
        <v>16000000</v>
      </c>
    </row>
    <row r="8" spans="1:7">
      <c r="A8" s="23">
        <v>3</v>
      </c>
      <c r="B8" s="24" t="s">
        <v>284</v>
      </c>
      <c r="C8" s="119">
        <v>12</v>
      </c>
      <c r="D8" s="119">
        <v>1</v>
      </c>
      <c r="E8" s="119">
        <v>6</v>
      </c>
      <c r="F8" s="119">
        <v>2</v>
      </c>
      <c r="G8" s="620">
        <f t="shared" si="0"/>
        <v>3600000</v>
      </c>
    </row>
    <row r="9" spans="1:7">
      <c r="A9" s="23">
        <v>2</v>
      </c>
      <c r="B9" s="24" t="s">
        <v>285</v>
      </c>
      <c r="C9" s="119">
        <v>10</v>
      </c>
      <c r="D9" s="119">
        <v>4</v>
      </c>
      <c r="E9" s="119">
        <v>1</v>
      </c>
      <c r="F9" s="119">
        <v>3</v>
      </c>
      <c r="G9" s="620">
        <f t="shared" si="0"/>
        <v>3000000</v>
      </c>
    </row>
    <row r="10" spans="1:7">
      <c r="A10" s="23">
        <v>1</v>
      </c>
      <c r="B10" s="24" t="s">
        <v>286</v>
      </c>
      <c r="C10" s="119">
        <v>4</v>
      </c>
      <c r="D10" s="119">
        <v>4</v>
      </c>
      <c r="E10" s="119">
        <v>3</v>
      </c>
      <c r="F10" s="119">
        <v>2</v>
      </c>
      <c r="G10" s="620">
        <f t="shared" si="0"/>
        <v>2400000</v>
      </c>
    </row>
    <row r="11" spans="1:7" ht="16.5" thickBot="1">
      <c r="A11" s="99">
        <v>6</v>
      </c>
      <c r="B11" s="101" t="s">
        <v>282</v>
      </c>
      <c r="C11" s="123">
        <v>10</v>
      </c>
      <c r="D11" s="123">
        <v>4</v>
      </c>
      <c r="E11" s="123">
        <v>1</v>
      </c>
      <c r="F11" s="123">
        <v>1</v>
      </c>
      <c r="G11" s="620">
        <f t="shared" si="0"/>
        <v>1000000</v>
      </c>
    </row>
    <row r="12" spans="1:7" ht="21" customHeight="1" thickTop="1" thickBot="1">
      <c r="A12" s="963" t="s">
        <v>279</v>
      </c>
      <c r="B12" s="964"/>
      <c r="C12" s="964"/>
      <c r="D12" s="964"/>
      <c r="E12" s="964"/>
      <c r="F12" s="964"/>
      <c r="G12" s="621">
        <f>SUM(G6:G11)</f>
        <v>42000000</v>
      </c>
    </row>
    <row r="13" spans="1:7" ht="16.5" thickTop="1"/>
    <row r="14" spans="1:7">
      <c r="A14" s="26" t="s">
        <v>383</v>
      </c>
    </row>
    <row r="15" spans="1:7">
      <c r="A15" s="26" t="s">
        <v>384</v>
      </c>
    </row>
    <row r="16" spans="1:7">
      <c r="A16" s="26" t="s">
        <v>283</v>
      </c>
    </row>
  </sheetData>
  <sortState ref="A6:G11">
    <sortCondition descending="1" ref="G6:G11"/>
  </sortState>
  <mergeCells count="2">
    <mergeCell ref="A12:F12"/>
    <mergeCell ref="A1:G1"/>
  </mergeCells>
  <phoneticPr fontId="0" type="noConversion"/>
  <pageMargins left="0.75" right="0.75" top="1" bottom="1" header="0.5" footer="0.5"/>
  <pageSetup paperSize="9" orientation="portrait" r:id="rId1"/>
  <headerFooter alignWithMargins="0">
    <oddFooter>&amp;R&amp;A</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L16"/>
  <sheetViews>
    <sheetView showGridLines="0" workbookViewId="0">
      <selection activeCell="L8" sqref="L8"/>
    </sheetView>
  </sheetViews>
  <sheetFormatPr defaultRowHeight="15.75"/>
  <cols>
    <col min="1" max="1" width="4.75" style="12" customWidth="1"/>
    <col min="2" max="2" width="12.75" style="12" customWidth="1"/>
    <col min="3" max="3" width="6.875" style="12" customWidth="1"/>
    <col min="4" max="9" width="5.625" style="12" customWidth="1"/>
    <col min="10" max="10" width="11.5" style="12" customWidth="1"/>
    <col min="11" max="11" width="12.875" style="12" customWidth="1"/>
    <col min="12" max="12" width="8.375" style="12" customWidth="1"/>
    <col min="13" max="16384" width="9" style="12"/>
  </cols>
  <sheetData>
    <row r="1" spans="1:12" ht="24" customHeight="1" thickBot="1">
      <c r="A1" s="927" t="s">
        <v>389</v>
      </c>
      <c r="B1" s="927"/>
      <c r="C1" s="927"/>
      <c r="D1" s="927"/>
      <c r="E1" s="927"/>
      <c r="F1" s="927"/>
      <c r="G1" s="927"/>
      <c r="H1" s="927"/>
      <c r="I1" s="927"/>
      <c r="J1" s="927"/>
      <c r="K1" s="927"/>
      <c r="L1" s="927"/>
    </row>
    <row r="2" spans="1:12" ht="18" customHeight="1" thickTop="1" thickBot="1">
      <c r="A2" s="14" t="s">
        <v>1017</v>
      </c>
      <c r="B2" s="953" t="s">
        <v>401</v>
      </c>
      <c r="C2" s="953"/>
      <c r="D2" s="15" t="s">
        <v>600</v>
      </c>
      <c r="E2" s="15" t="s">
        <v>841</v>
      </c>
      <c r="F2" s="15" t="s">
        <v>398</v>
      </c>
      <c r="G2" s="15" t="s">
        <v>1019</v>
      </c>
      <c r="H2" s="15" t="s">
        <v>386</v>
      </c>
      <c r="I2" s="15" t="s">
        <v>1021</v>
      </c>
      <c r="J2" s="15" t="s">
        <v>393</v>
      </c>
      <c r="K2" s="15" t="s">
        <v>385</v>
      </c>
      <c r="L2" s="16" t="s">
        <v>392</v>
      </c>
    </row>
    <row r="3" spans="1:12" ht="16.5" thickTop="1">
      <c r="A3" s="17">
        <v>1</v>
      </c>
      <c r="B3" s="18" t="s">
        <v>403</v>
      </c>
      <c r="C3" s="18" t="s">
        <v>390</v>
      </c>
      <c r="D3" s="115">
        <v>10</v>
      </c>
      <c r="E3" s="162">
        <v>2.5</v>
      </c>
      <c r="F3" s="162">
        <v>4</v>
      </c>
      <c r="G3" s="162">
        <v>3.5</v>
      </c>
      <c r="H3" s="162">
        <v>9</v>
      </c>
      <c r="I3" s="162">
        <v>6</v>
      </c>
      <c r="J3" s="615">
        <f>(D3*7+E3*5+F3*6+G3*5+H3*7+I3*10)/40</f>
        <v>6.1749999999999998</v>
      </c>
      <c r="K3" s="163" t="str">
        <f>IF(J3&lt;5,"Kem",IF(J3&lt;7,"TB",IF(J3&lt;9,"Kha","Gioi")))</f>
        <v>TB</v>
      </c>
      <c r="L3" s="164">
        <f>RANK(J3,$J$3:$J$8)</f>
        <v>3</v>
      </c>
    </row>
    <row r="4" spans="1:12">
      <c r="A4" s="23">
        <v>2</v>
      </c>
      <c r="B4" s="24" t="s">
        <v>404</v>
      </c>
      <c r="C4" s="24" t="s">
        <v>387</v>
      </c>
      <c r="D4" s="165">
        <v>2</v>
      </c>
      <c r="E4" s="165">
        <v>9</v>
      </c>
      <c r="F4" s="165">
        <v>9</v>
      </c>
      <c r="G4" s="165">
        <v>1</v>
      </c>
      <c r="H4" s="165">
        <v>8</v>
      </c>
      <c r="I4" s="165">
        <v>8</v>
      </c>
      <c r="J4" s="615">
        <f t="shared" ref="J4:J8" si="0">(D4*7+E4*5+F4*6+G4*5+H4*7+I4*10)/40</f>
        <v>6.35</v>
      </c>
      <c r="K4" s="163" t="str">
        <f t="shared" ref="K4:K8" si="1">IF(J4&lt;5,"Kem",IF(J4&lt;7,"TB",IF(J4&lt;9,"Kha","Gioi")))</f>
        <v>TB</v>
      </c>
      <c r="L4" s="164">
        <f t="shared" ref="L4:L8" si="2">RANK(J4,$J$3:$J$8)</f>
        <v>2</v>
      </c>
    </row>
    <row r="5" spans="1:12">
      <c r="A5" s="23">
        <v>3</v>
      </c>
      <c r="B5" s="24" t="s">
        <v>402</v>
      </c>
      <c r="C5" s="24" t="s">
        <v>613</v>
      </c>
      <c r="D5" s="165">
        <v>8</v>
      </c>
      <c r="E5" s="165">
        <v>1</v>
      </c>
      <c r="F5" s="165">
        <v>9</v>
      </c>
      <c r="G5" s="165">
        <v>2</v>
      </c>
      <c r="H5" s="165">
        <v>2</v>
      </c>
      <c r="I5" s="165">
        <v>2</v>
      </c>
      <c r="J5" s="615">
        <f t="shared" si="0"/>
        <v>3.9750000000000001</v>
      </c>
      <c r="K5" s="163" t="str">
        <f t="shared" si="1"/>
        <v>Kem</v>
      </c>
      <c r="L5" s="164">
        <f t="shared" si="2"/>
        <v>4</v>
      </c>
    </row>
    <row r="6" spans="1:12">
      <c r="A6" s="23">
        <v>4</v>
      </c>
      <c r="B6" s="24" t="s">
        <v>395</v>
      </c>
      <c r="C6" s="24" t="s">
        <v>387</v>
      </c>
      <c r="D6" s="165">
        <v>2</v>
      </c>
      <c r="E6" s="165">
        <v>6</v>
      </c>
      <c r="F6" s="165">
        <v>3</v>
      </c>
      <c r="G6" s="165">
        <v>5</v>
      </c>
      <c r="H6" s="165">
        <v>1.5</v>
      </c>
      <c r="I6" s="165">
        <v>4</v>
      </c>
      <c r="J6" s="615">
        <f t="shared" si="0"/>
        <v>3.4375</v>
      </c>
      <c r="K6" s="163" t="str">
        <f t="shared" si="1"/>
        <v>Kem</v>
      </c>
      <c r="L6" s="164">
        <f t="shared" si="2"/>
        <v>6</v>
      </c>
    </row>
    <row r="7" spans="1:12">
      <c r="A7" s="23">
        <v>5</v>
      </c>
      <c r="B7" s="24" t="s">
        <v>388</v>
      </c>
      <c r="C7" s="24" t="s">
        <v>1020</v>
      </c>
      <c r="D7" s="165">
        <v>4</v>
      </c>
      <c r="E7" s="165">
        <v>1.5</v>
      </c>
      <c r="F7" s="165">
        <v>1</v>
      </c>
      <c r="G7" s="119">
        <v>10</v>
      </c>
      <c r="H7" s="165">
        <v>9</v>
      </c>
      <c r="I7" s="165">
        <v>0</v>
      </c>
      <c r="J7" s="615">
        <f t="shared" si="0"/>
        <v>3.8624999999999998</v>
      </c>
      <c r="K7" s="163" t="str">
        <f t="shared" si="1"/>
        <v>Kem</v>
      </c>
      <c r="L7" s="164">
        <f t="shared" si="2"/>
        <v>5</v>
      </c>
    </row>
    <row r="8" spans="1:12" ht="16.5" thickBot="1">
      <c r="A8" s="79">
        <v>6</v>
      </c>
      <c r="B8" s="80" t="s">
        <v>394</v>
      </c>
      <c r="C8" s="80" t="s">
        <v>579</v>
      </c>
      <c r="D8" s="166">
        <v>9</v>
      </c>
      <c r="E8" s="166">
        <v>8</v>
      </c>
      <c r="F8" s="167">
        <v>10</v>
      </c>
      <c r="G8" s="166">
        <v>8.5</v>
      </c>
      <c r="H8" s="166">
        <v>9</v>
      </c>
      <c r="I8" s="167">
        <v>10</v>
      </c>
      <c r="J8" s="615">
        <f t="shared" si="0"/>
        <v>9.2125000000000004</v>
      </c>
      <c r="K8" s="163" t="str">
        <f t="shared" si="1"/>
        <v>Gioi</v>
      </c>
      <c r="L8" s="164">
        <f t="shared" si="2"/>
        <v>1</v>
      </c>
    </row>
    <row r="9" spans="1:12" ht="16.5" thickTop="1"/>
    <row r="10" spans="1:12">
      <c r="A10" s="26" t="s">
        <v>406</v>
      </c>
    </row>
    <row r="11" spans="1:12">
      <c r="A11" s="26" t="s">
        <v>391</v>
      </c>
    </row>
    <row r="12" spans="1:12">
      <c r="A12" s="26"/>
      <c r="B12" s="26" t="s">
        <v>400</v>
      </c>
    </row>
    <row r="13" spans="1:12">
      <c r="A13" s="26"/>
      <c r="B13" s="26" t="s">
        <v>405</v>
      </c>
    </row>
    <row r="14" spans="1:12">
      <c r="A14" s="26"/>
      <c r="B14" s="26" t="s">
        <v>399</v>
      </c>
    </row>
    <row r="15" spans="1:12">
      <c r="A15" s="26"/>
      <c r="B15" s="26" t="s">
        <v>396</v>
      </c>
    </row>
    <row r="16" spans="1:12">
      <c r="A16" s="26" t="s">
        <v>397</v>
      </c>
    </row>
  </sheetData>
  <mergeCells count="2">
    <mergeCell ref="A1:L1"/>
    <mergeCell ref="B2:C2"/>
  </mergeCells>
  <phoneticPr fontId="0" type="noConversion"/>
  <pageMargins left="0.75" right="0.75" top="1" bottom="1" header="0.5" footer="0.5"/>
  <pageSetup paperSize="9" orientation="portrait" r:id="rId1"/>
  <headerFooter alignWithMargins="0">
    <oddFooter>&amp;R&amp;A</oddFooter>
  </headerFooter>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18"/>
  <sheetViews>
    <sheetView showGridLines="0" zoomScaleNormal="100" workbookViewId="0">
      <selection activeCell="I3" sqref="I3"/>
    </sheetView>
  </sheetViews>
  <sheetFormatPr defaultRowHeight="15.75"/>
  <cols>
    <col min="1" max="1" width="5" style="12" customWidth="1"/>
    <col min="2" max="2" width="17.125" style="12" customWidth="1"/>
    <col min="3" max="3" width="7.25" style="12" customWidth="1"/>
    <col min="4" max="4" width="5.625" style="12" customWidth="1"/>
    <col min="5" max="6" width="9.875" style="12" bestFit="1" customWidth="1"/>
    <col min="7" max="7" width="8.125" style="12" customWidth="1"/>
    <col min="8" max="8" width="8" style="12" customWidth="1"/>
    <col min="9" max="9" width="16" style="12" customWidth="1"/>
    <col min="10" max="16384" width="9" style="12"/>
  </cols>
  <sheetData>
    <row r="1" spans="1:9" ht="24" customHeight="1" thickBot="1">
      <c r="A1" s="927" t="s">
        <v>412</v>
      </c>
      <c r="B1" s="927"/>
      <c r="C1" s="927"/>
      <c r="D1" s="927"/>
      <c r="E1" s="927"/>
      <c r="F1" s="927"/>
      <c r="G1" s="927"/>
      <c r="H1" s="927"/>
      <c r="I1" s="927"/>
    </row>
    <row r="2" spans="1:9" ht="17.25" thickTop="1" thickBot="1">
      <c r="A2" s="14" t="s">
        <v>1017</v>
      </c>
      <c r="B2" s="953" t="s">
        <v>401</v>
      </c>
      <c r="C2" s="953"/>
      <c r="D2" s="15" t="s">
        <v>385</v>
      </c>
      <c r="E2" s="15" t="s">
        <v>633</v>
      </c>
      <c r="F2" s="15" t="s">
        <v>634</v>
      </c>
      <c r="G2" s="15" t="s">
        <v>410</v>
      </c>
      <c r="H2" s="15" t="s">
        <v>413</v>
      </c>
      <c r="I2" s="16" t="s">
        <v>408</v>
      </c>
    </row>
    <row r="3" spans="1:9" ht="17.25" thickTop="1" thickBot="1">
      <c r="A3" s="862">
        <v>4</v>
      </c>
      <c r="B3" s="169" t="s">
        <v>411</v>
      </c>
      <c r="C3" s="170" t="s">
        <v>1021</v>
      </c>
      <c r="D3" s="863" t="s">
        <v>1024</v>
      </c>
      <c r="E3" s="172">
        <v>37627</v>
      </c>
      <c r="F3" s="172">
        <v>37635</v>
      </c>
      <c r="G3" s="173">
        <f>F3-E3</f>
        <v>8</v>
      </c>
      <c r="H3" s="174">
        <f>VLOOKUP(D3,$D$10:$E$13,2,0)</f>
        <v>200</v>
      </c>
      <c r="I3" s="175">
        <f>H3*$I$10*G3</f>
        <v>24672000</v>
      </c>
    </row>
    <row r="4" spans="1:9" ht="17.25" thickTop="1" thickBot="1">
      <c r="A4" s="23">
        <v>1</v>
      </c>
      <c r="B4" s="176" t="s">
        <v>418</v>
      </c>
      <c r="C4" s="177" t="s">
        <v>390</v>
      </c>
      <c r="D4" s="25" t="s">
        <v>1022</v>
      </c>
      <c r="E4" s="117">
        <v>37623</v>
      </c>
      <c r="F4" s="117">
        <v>37633</v>
      </c>
      <c r="G4" s="173">
        <f>F4-E4</f>
        <v>10</v>
      </c>
      <c r="H4" s="174">
        <f>VLOOKUP(D4,$D$10:$E$13,2,0)</f>
        <v>100</v>
      </c>
      <c r="I4" s="175">
        <f>H4*$I$10*G4</f>
        <v>15420000</v>
      </c>
    </row>
    <row r="5" spans="1:9" ht="17.25" thickTop="1" thickBot="1">
      <c r="A5" s="23">
        <v>2</v>
      </c>
      <c r="B5" s="176" t="s">
        <v>404</v>
      </c>
      <c r="C5" s="177" t="s">
        <v>387</v>
      </c>
      <c r="D5" s="25" t="s">
        <v>1023</v>
      </c>
      <c r="E5" s="117">
        <v>37624</v>
      </c>
      <c r="F5" s="117">
        <v>37636</v>
      </c>
      <c r="G5" s="173">
        <f>F5-E5</f>
        <v>12</v>
      </c>
      <c r="H5" s="174">
        <f>VLOOKUP(D5,$D$10:$E$13,2,0)</f>
        <v>150</v>
      </c>
      <c r="I5" s="175">
        <f>H5*$I$10*G5</f>
        <v>27756000</v>
      </c>
    </row>
    <row r="6" spans="1:9" ht="17.25" thickTop="1" thickBot="1">
      <c r="A6" s="23">
        <v>3</v>
      </c>
      <c r="B6" s="176" t="s">
        <v>407</v>
      </c>
      <c r="C6" s="177" t="s">
        <v>409</v>
      </c>
      <c r="D6" s="25" t="s">
        <v>1022</v>
      </c>
      <c r="E6" s="117">
        <v>37626</v>
      </c>
      <c r="F6" s="117">
        <v>37629</v>
      </c>
      <c r="G6" s="173">
        <f>F6-E6</f>
        <v>3</v>
      </c>
      <c r="H6" s="174">
        <f>VLOOKUP(D6,$D$10:$E$13,2,0)</f>
        <v>100</v>
      </c>
      <c r="I6" s="175">
        <f>H6*$I$10*G6</f>
        <v>4626000</v>
      </c>
    </row>
    <row r="7" spans="1:9" ht="17.25" thickTop="1" thickBot="1">
      <c r="A7" s="79">
        <v>5</v>
      </c>
      <c r="B7" s="178" t="s">
        <v>417</v>
      </c>
      <c r="C7" s="179" t="s">
        <v>409</v>
      </c>
      <c r="D7" s="153" t="s">
        <v>1025</v>
      </c>
      <c r="E7" s="180">
        <v>37629</v>
      </c>
      <c r="F7" s="180">
        <v>37649</v>
      </c>
      <c r="G7" s="173">
        <f>F7-E7</f>
        <v>20</v>
      </c>
      <c r="H7" s="174">
        <f>VLOOKUP(D7,$D$10:$E$13,2,0)</f>
        <v>250</v>
      </c>
      <c r="I7" s="175">
        <f>H7*$I$10*G7</f>
        <v>77100000</v>
      </c>
    </row>
    <row r="8" spans="1:9" ht="16.5" thickTop="1"/>
    <row r="9" spans="1:9">
      <c r="D9" s="969" t="s">
        <v>414</v>
      </c>
      <c r="E9" s="969"/>
    </row>
    <row r="10" spans="1:9">
      <c r="D10" s="25" t="s">
        <v>1022</v>
      </c>
      <c r="E10" s="616">
        <v>100</v>
      </c>
      <c r="G10" s="24" t="s">
        <v>415</v>
      </c>
      <c r="H10" s="24"/>
      <c r="I10" s="182">
        <v>15420</v>
      </c>
    </row>
    <row r="11" spans="1:9">
      <c r="D11" s="25" t="s">
        <v>1023</v>
      </c>
      <c r="E11" s="616">
        <v>150</v>
      </c>
    </row>
    <row r="12" spans="1:9">
      <c r="D12" s="25" t="s">
        <v>1024</v>
      </c>
      <c r="E12" s="616">
        <v>200</v>
      </c>
    </row>
    <row r="13" spans="1:9">
      <c r="D13" s="25" t="s">
        <v>1025</v>
      </c>
      <c r="E13" s="616">
        <v>250</v>
      </c>
    </row>
    <row r="14" spans="1:9">
      <c r="E14" s="104"/>
    </row>
    <row r="15" spans="1:9">
      <c r="A15" s="26" t="s">
        <v>420</v>
      </c>
    </row>
    <row r="16" spans="1:9">
      <c r="A16" s="26" t="s">
        <v>416</v>
      </c>
    </row>
    <row r="17" spans="1:1">
      <c r="A17" s="26" t="s">
        <v>421</v>
      </c>
    </row>
    <row r="18" spans="1:1">
      <c r="A18" s="26" t="s">
        <v>419</v>
      </c>
    </row>
  </sheetData>
  <sortState ref="I3:I7">
    <sortCondition descending="1" ref="I3:I7"/>
  </sortState>
  <mergeCells count="3">
    <mergeCell ref="B2:C2"/>
    <mergeCell ref="D9:E9"/>
    <mergeCell ref="A1:I1"/>
  </mergeCells>
  <phoneticPr fontId="0" type="noConversion"/>
  <pageMargins left="0.5" right="0.5" top="1" bottom="1" header="0.5" footer="0.5"/>
  <pageSetup paperSize="9" orientation="portrait" r:id="rId1"/>
  <headerFooter alignWithMargins="0">
    <oddFooter>&amp;R&amp;A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26"/>
  <sheetViews>
    <sheetView showGridLines="0" topLeftCell="A7" workbookViewId="0">
      <selection activeCell="K17" sqref="K17"/>
    </sheetView>
  </sheetViews>
  <sheetFormatPr defaultRowHeight="15.75"/>
  <cols>
    <col min="1" max="1" width="3.625" style="12" customWidth="1"/>
    <col min="2" max="2" width="9" style="12" customWidth="1"/>
    <col min="3" max="3" width="5.25" style="12" customWidth="1"/>
    <col min="4" max="4" width="6.625" style="12" customWidth="1"/>
    <col min="5" max="5" width="8.625" style="12" customWidth="1"/>
    <col min="6" max="6" width="6.625" style="12" customWidth="1"/>
    <col min="7" max="7" width="8.625" style="12" customWidth="1"/>
    <col min="8" max="8" width="6.625" style="12" customWidth="1"/>
    <col min="9" max="9" width="8.625" style="12" customWidth="1"/>
    <col min="10" max="10" width="8.75" style="12" customWidth="1"/>
    <col min="11" max="11" width="7.875" style="12" bestFit="1" customWidth="1"/>
    <col min="12" max="16384" width="9" style="12"/>
  </cols>
  <sheetData>
    <row r="1" spans="1:13" ht="24" customHeight="1" thickBot="1">
      <c r="A1" s="927" t="s">
        <v>2415</v>
      </c>
      <c r="B1" s="927"/>
      <c r="C1" s="927"/>
      <c r="D1" s="927"/>
      <c r="E1" s="927"/>
      <c r="F1" s="927"/>
      <c r="G1" s="927"/>
      <c r="H1" s="927"/>
      <c r="I1" s="927"/>
      <c r="J1" s="927"/>
      <c r="K1" s="927"/>
    </row>
    <row r="2" spans="1:13" s="34" customFormat="1" ht="16.5" thickTop="1">
      <c r="A2" s="940" t="s">
        <v>842</v>
      </c>
      <c r="B2" s="942" t="s">
        <v>663</v>
      </c>
      <c r="C2" s="937" t="s">
        <v>687</v>
      </c>
      <c r="D2" s="942" t="s">
        <v>425</v>
      </c>
      <c r="E2" s="942"/>
      <c r="F2" s="942" t="s">
        <v>424</v>
      </c>
      <c r="G2" s="942"/>
      <c r="H2" s="942" t="s">
        <v>2412</v>
      </c>
      <c r="I2" s="942"/>
      <c r="J2" s="937" t="s">
        <v>426</v>
      </c>
      <c r="K2" s="943" t="s">
        <v>2405</v>
      </c>
    </row>
    <row r="3" spans="1:13" s="34" customFormat="1" ht="31.5">
      <c r="A3" s="973"/>
      <c r="B3" s="974"/>
      <c r="C3" s="955"/>
      <c r="D3" s="109" t="s">
        <v>681</v>
      </c>
      <c r="E3" s="109" t="s">
        <v>151</v>
      </c>
      <c r="F3" s="109" t="s">
        <v>681</v>
      </c>
      <c r="G3" s="109" t="s">
        <v>151</v>
      </c>
      <c r="H3" s="109" t="s">
        <v>681</v>
      </c>
      <c r="I3" s="109" t="s">
        <v>151</v>
      </c>
      <c r="J3" s="955"/>
      <c r="K3" s="978"/>
    </row>
    <row r="4" spans="1:13" ht="16.5" thickBot="1">
      <c r="A4" s="110">
        <v>-1</v>
      </c>
      <c r="B4" s="111">
        <v>-2</v>
      </c>
      <c r="C4" s="111">
        <v>-3</v>
      </c>
      <c r="D4" s="111">
        <v>-4</v>
      </c>
      <c r="E4" s="111">
        <v>-5</v>
      </c>
      <c r="F4" s="111">
        <v>-6</v>
      </c>
      <c r="G4" s="111">
        <v>-7</v>
      </c>
      <c r="H4" s="111">
        <v>-8</v>
      </c>
      <c r="I4" s="111">
        <v>-9</v>
      </c>
      <c r="J4" s="111">
        <v>-10</v>
      </c>
      <c r="K4" s="112">
        <v>-11</v>
      </c>
    </row>
    <row r="5" spans="1:13" ht="16.5" thickTop="1">
      <c r="A5" s="17">
        <v>1</v>
      </c>
      <c r="B5" s="18" t="s">
        <v>232</v>
      </c>
      <c r="C5" s="18">
        <v>100</v>
      </c>
      <c r="D5" s="18">
        <v>120</v>
      </c>
      <c r="E5" s="20">
        <f>C5*D5</f>
        <v>12000</v>
      </c>
      <c r="F5" s="18">
        <v>100</v>
      </c>
      <c r="G5" s="20">
        <f>F5*C5</f>
        <v>10000</v>
      </c>
      <c r="H5" s="18">
        <v>50</v>
      </c>
      <c r="I5" s="20">
        <f>H5*C5</f>
        <v>5000</v>
      </c>
      <c r="J5" s="20">
        <f>SUM(I5,G5,E5)</f>
        <v>27000</v>
      </c>
      <c r="K5" s="617">
        <f>J5/$J$17</f>
        <v>0.10779303736825295</v>
      </c>
    </row>
    <row r="6" spans="1:13">
      <c r="A6" s="23">
        <v>2</v>
      </c>
      <c r="B6" s="24" t="s">
        <v>233</v>
      </c>
      <c r="C6" s="24">
        <v>50</v>
      </c>
      <c r="D6" s="24">
        <v>140</v>
      </c>
      <c r="E6" s="20">
        <f t="shared" ref="E6:E16" si="0">C6*D6</f>
        <v>7000</v>
      </c>
      <c r="F6" s="18">
        <v>100</v>
      </c>
      <c r="G6" s="20">
        <f t="shared" ref="G6:G16" si="1">F6*C6</f>
        <v>5000</v>
      </c>
      <c r="H6" s="18">
        <v>50</v>
      </c>
      <c r="I6" s="20">
        <f t="shared" ref="I6:I16" si="2">H6*C6</f>
        <v>2500</v>
      </c>
      <c r="J6" s="20">
        <f t="shared" ref="J6:J16" si="3">SUM(I6,G6,E6)</f>
        <v>14500</v>
      </c>
      <c r="K6" s="617">
        <f t="shared" ref="K6:K16" si="4">J6/$J$17</f>
        <v>5.7888853401469181E-2</v>
      </c>
    </row>
    <row r="7" spans="1:13">
      <c r="A7" s="23">
        <v>3</v>
      </c>
      <c r="B7" s="24" t="s">
        <v>2417</v>
      </c>
      <c r="C7" s="24">
        <v>60</v>
      </c>
      <c r="D7" s="24">
        <v>60</v>
      </c>
      <c r="E7" s="20">
        <f t="shared" si="0"/>
        <v>3600</v>
      </c>
      <c r="F7" s="18">
        <v>100</v>
      </c>
      <c r="G7" s="20">
        <f t="shared" si="1"/>
        <v>6000</v>
      </c>
      <c r="H7" s="18">
        <v>50</v>
      </c>
      <c r="I7" s="20">
        <f t="shared" si="2"/>
        <v>3000</v>
      </c>
      <c r="J7" s="20">
        <f t="shared" si="3"/>
        <v>12600</v>
      </c>
      <c r="K7" s="617">
        <f t="shared" si="4"/>
        <v>5.0303417438518044E-2</v>
      </c>
    </row>
    <row r="8" spans="1:13">
      <c r="A8" s="23">
        <v>4</v>
      </c>
      <c r="B8" s="24" t="s">
        <v>2413</v>
      </c>
      <c r="C8" s="24">
        <v>70</v>
      </c>
      <c r="D8" s="24">
        <v>70</v>
      </c>
      <c r="E8" s="20">
        <f t="shared" si="0"/>
        <v>4900</v>
      </c>
      <c r="F8" s="18">
        <v>100</v>
      </c>
      <c r="G8" s="20">
        <f t="shared" si="1"/>
        <v>7000</v>
      </c>
      <c r="H8" s="18">
        <v>50</v>
      </c>
      <c r="I8" s="20">
        <f t="shared" si="2"/>
        <v>3500</v>
      </c>
      <c r="J8" s="20">
        <f t="shared" si="3"/>
        <v>15400</v>
      </c>
      <c r="K8" s="617">
        <f t="shared" si="4"/>
        <v>6.1481954647077612E-2</v>
      </c>
    </row>
    <row r="9" spans="1:13">
      <c r="A9" s="23">
        <v>5</v>
      </c>
      <c r="B9" s="24" t="s">
        <v>236</v>
      </c>
      <c r="C9" s="24">
        <v>120</v>
      </c>
      <c r="D9" s="24">
        <v>30</v>
      </c>
      <c r="E9" s="20">
        <f t="shared" si="0"/>
        <v>3600</v>
      </c>
      <c r="F9" s="18">
        <v>100</v>
      </c>
      <c r="G9" s="20">
        <f t="shared" si="1"/>
        <v>12000</v>
      </c>
      <c r="H9" s="18">
        <v>50</v>
      </c>
      <c r="I9" s="20">
        <f t="shared" si="2"/>
        <v>6000</v>
      </c>
      <c r="J9" s="20">
        <f t="shared" si="3"/>
        <v>21600</v>
      </c>
      <c r="K9" s="617">
        <f t="shared" si="4"/>
        <v>8.6234429894602366E-2</v>
      </c>
    </row>
    <row r="10" spans="1:13">
      <c r="A10" s="23">
        <v>6</v>
      </c>
      <c r="B10" s="24" t="s">
        <v>2403</v>
      </c>
      <c r="C10" s="24">
        <v>160</v>
      </c>
      <c r="D10" s="24">
        <v>90</v>
      </c>
      <c r="E10" s="20">
        <f t="shared" si="0"/>
        <v>14400</v>
      </c>
      <c r="F10" s="18">
        <v>100</v>
      </c>
      <c r="G10" s="20">
        <f t="shared" si="1"/>
        <v>16000</v>
      </c>
      <c r="H10" s="18">
        <v>50</v>
      </c>
      <c r="I10" s="20">
        <f t="shared" si="2"/>
        <v>8000</v>
      </c>
      <c r="J10" s="20">
        <f t="shared" si="3"/>
        <v>38400</v>
      </c>
      <c r="K10" s="617">
        <f t="shared" si="4"/>
        <v>0.15330565314595976</v>
      </c>
    </row>
    <row r="11" spans="1:13">
      <c r="A11" s="23">
        <v>7</v>
      </c>
      <c r="B11" s="24" t="s">
        <v>423</v>
      </c>
      <c r="C11" s="24">
        <v>200</v>
      </c>
      <c r="D11" s="24">
        <v>150</v>
      </c>
      <c r="E11" s="20">
        <f t="shared" si="0"/>
        <v>30000</v>
      </c>
      <c r="F11" s="18">
        <v>100</v>
      </c>
      <c r="G11" s="20">
        <f t="shared" si="1"/>
        <v>20000</v>
      </c>
      <c r="H11" s="18">
        <v>50</v>
      </c>
      <c r="I11" s="20">
        <f t="shared" si="2"/>
        <v>10000</v>
      </c>
      <c r="J11" s="20">
        <f t="shared" si="3"/>
        <v>60000</v>
      </c>
      <c r="K11" s="617">
        <f t="shared" si="4"/>
        <v>0.23954008304056212</v>
      </c>
    </row>
    <row r="12" spans="1:13">
      <c r="A12" s="23">
        <v>8</v>
      </c>
      <c r="B12" s="24" t="s">
        <v>422</v>
      </c>
      <c r="C12" s="24">
        <v>30</v>
      </c>
      <c r="D12" s="24">
        <v>200</v>
      </c>
      <c r="E12" s="20">
        <f t="shared" si="0"/>
        <v>6000</v>
      </c>
      <c r="F12" s="18">
        <v>100</v>
      </c>
      <c r="G12" s="20">
        <f t="shared" si="1"/>
        <v>3000</v>
      </c>
      <c r="H12" s="18">
        <v>50</v>
      </c>
      <c r="I12" s="20">
        <f t="shared" si="2"/>
        <v>1500</v>
      </c>
      <c r="J12" s="20">
        <f t="shared" si="3"/>
        <v>10500</v>
      </c>
      <c r="K12" s="617">
        <f t="shared" si="4"/>
        <v>4.191951453209837E-2</v>
      </c>
      <c r="M12" s="12" t="s">
        <v>540</v>
      </c>
    </row>
    <row r="13" spans="1:13">
      <c r="A13" s="23">
        <v>9</v>
      </c>
      <c r="B13" s="24" t="s">
        <v>2406</v>
      </c>
      <c r="C13" s="24">
        <v>50</v>
      </c>
      <c r="D13" s="24">
        <v>37</v>
      </c>
      <c r="E13" s="20">
        <f t="shared" si="0"/>
        <v>1850</v>
      </c>
      <c r="F13" s="18">
        <v>100</v>
      </c>
      <c r="G13" s="20">
        <f t="shared" si="1"/>
        <v>5000</v>
      </c>
      <c r="H13" s="18">
        <v>50</v>
      </c>
      <c r="I13" s="20">
        <f t="shared" si="2"/>
        <v>2500</v>
      </c>
      <c r="J13" s="20">
        <f t="shared" si="3"/>
        <v>9350</v>
      </c>
      <c r="K13" s="617">
        <f t="shared" si="4"/>
        <v>3.7328329607154265E-2</v>
      </c>
    </row>
    <row r="14" spans="1:13">
      <c r="A14" s="23">
        <v>10</v>
      </c>
      <c r="B14" s="24" t="s">
        <v>2404</v>
      </c>
      <c r="C14" s="24">
        <v>80</v>
      </c>
      <c r="D14" s="24">
        <v>20</v>
      </c>
      <c r="E14" s="20">
        <f t="shared" si="0"/>
        <v>1600</v>
      </c>
      <c r="F14" s="18">
        <v>100</v>
      </c>
      <c r="G14" s="20">
        <f t="shared" si="1"/>
        <v>8000</v>
      </c>
      <c r="H14" s="18">
        <v>50</v>
      </c>
      <c r="I14" s="20">
        <f t="shared" si="2"/>
        <v>4000</v>
      </c>
      <c r="J14" s="20">
        <f t="shared" si="3"/>
        <v>13600</v>
      </c>
      <c r="K14" s="617">
        <f t="shared" si="4"/>
        <v>5.4295752155860751E-2</v>
      </c>
    </row>
    <row r="15" spans="1:13">
      <c r="A15" s="23">
        <v>11</v>
      </c>
      <c r="B15" s="24" t="s">
        <v>2416</v>
      </c>
      <c r="C15" s="24">
        <v>130</v>
      </c>
      <c r="D15" s="24">
        <v>45</v>
      </c>
      <c r="E15" s="20">
        <f t="shared" si="0"/>
        <v>5850</v>
      </c>
      <c r="F15" s="18">
        <v>100</v>
      </c>
      <c r="G15" s="20">
        <f t="shared" si="1"/>
        <v>13000</v>
      </c>
      <c r="H15" s="18">
        <v>50</v>
      </c>
      <c r="I15" s="20">
        <f t="shared" si="2"/>
        <v>6500</v>
      </c>
      <c r="J15" s="20">
        <f t="shared" si="3"/>
        <v>25350</v>
      </c>
      <c r="K15" s="617">
        <f t="shared" si="4"/>
        <v>0.1012056850846375</v>
      </c>
    </row>
    <row r="16" spans="1:13" ht="16.5" thickBot="1">
      <c r="A16" s="99">
        <v>12</v>
      </c>
      <c r="B16" s="101" t="s">
        <v>2408</v>
      </c>
      <c r="C16" s="101">
        <v>10</v>
      </c>
      <c r="D16" s="101">
        <v>68</v>
      </c>
      <c r="E16" s="20">
        <f t="shared" si="0"/>
        <v>680</v>
      </c>
      <c r="F16" s="18">
        <v>100</v>
      </c>
      <c r="G16" s="20">
        <f t="shared" si="1"/>
        <v>1000</v>
      </c>
      <c r="H16" s="18">
        <v>50</v>
      </c>
      <c r="I16" s="20">
        <f t="shared" si="2"/>
        <v>500</v>
      </c>
      <c r="J16" s="20">
        <f t="shared" si="3"/>
        <v>2180</v>
      </c>
      <c r="K16" s="617">
        <f t="shared" si="4"/>
        <v>8.7032896838070903E-3</v>
      </c>
    </row>
    <row r="17" spans="1:11" ht="16.5" thickTop="1">
      <c r="A17" s="975" t="s">
        <v>2407</v>
      </c>
      <c r="B17" s="976"/>
      <c r="C17" s="977"/>
      <c r="D17" s="184">
        <v>-12</v>
      </c>
      <c r="E17" s="185">
        <f>SUM(E5:E16)</f>
        <v>91480</v>
      </c>
      <c r="F17" s="186"/>
      <c r="G17" s="185">
        <f>SUM(G5:G16)</f>
        <v>106000</v>
      </c>
      <c r="H17" s="186"/>
      <c r="I17" s="185">
        <f>SUM(I5:I16)</f>
        <v>53000</v>
      </c>
      <c r="J17" s="185">
        <f>SUM(J5:J16)</f>
        <v>250480</v>
      </c>
      <c r="K17" s="187">
        <f>SUM(K5:K16)</f>
        <v>1</v>
      </c>
    </row>
    <row r="18" spans="1:11" ht="16.5" thickBot="1">
      <c r="A18" s="970" t="s">
        <v>2405</v>
      </c>
      <c r="B18" s="971"/>
      <c r="C18" s="972"/>
      <c r="D18" s="188">
        <v>-13</v>
      </c>
      <c r="E18" s="189"/>
      <c r="F18" s="189"/>
      <c r="G18" s="189"/>
      <c r="H18" s="189"/>
      <c r="I18" s="189"/>
      <c r="J18" s="189"/>
      <c r="K18" s="90"/>
    </row>
    <row r="19" spans="1:11" ht="16.5" thickTop="1"/>
    <row r="20" spans="1:11">
      <c r="A20" s="26" t="s">
        <v>2418</v>
      </c>
    </row>
    <row r="21" spans="1:11">
      <c r="B21" s="190" t="s">
        <v>2409</v>
      </c>
    </row>
    <row r="22" spans="1:11">
      <c r="B22" s="26" t="s">
        <v>1057</v>
      </c>
    </row>
    <row r="23" spans="1:11">
      <c r="B23" s="26" t="s">
        <v>2410</v>
      </c>
    </row>
    <row r="24" spans="1:11">
      <c r="A24" s="26" t="s">
        <v>2419</v>
      </c>
    </row>
    <row r="25" spans="1:11">
      <c r="B25" s="26" t="s">
        <v>2414</v>
      </c>
    </row>
    <row r="26" spans="1:11">
      <c r="B26" s="190" t="s">
        <v>2411</v>
      </c>
    </row>
  </sheetData>
  <mergeCells count="11">
    <mergeCell ref="A18:C18"/>
    <mergeCell ref="C2:C3"/>
    <mergeCell ref="D2:E2"/>
    <mergeCell ref="F2:G2"/>
    <mergeCell ref="A1:K1"/>
    <mergeCell ref="A2:A3"/>
    <mergeCell ref="B2:B3"/>
    <mergeCell ref="A17:C17"/>
    <mergeCell ref="H2:I2"/>
    <mergeCell ref="J2:J3"/>
    <mergeCell ref="K2:K3"/>
  </mergeCells>
  <phoneticPr fontId="0" type="noConversion"/>
  <pageMargins left="0.75" right="0.75" top="1" bottom="1" header="0.5" footer="0.5"/>
  <pageSetup paperSize="9" orientation="portrait" r:id="rId1"/>
  <headerFooter alignWithMargins="0">
    <oddFooter>&amp;R&amp;A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I28"/>
  <sheetViews>
    <sheetView showGridLines="0" workbookViewId="0">
      <selection activeCell="I13" sqref="I13"/>
    </sheetView>
  </sheetViews>
  <sheetFormatPr defaultColWidth="8.875" defaultRowHeight="15.75"/>
  <cols>
    <col min="1" max="1" width="3.5" style="27" customWidth="1"/>
    <col min="2" max="2" width="5.875" style="27" customWidth="1"/>
    <col min="3" max="3" width="17.25" style="27" customWidth="1"/>
    <col min="4" max="4" width="10.625" style="27" customWidth="1"/>
    <col min="5" max="5" width="8.125" style="27" customWidth="1"/>
    <col min="6" max="6" width="7.5" style="27" customWidth="1"/>
    <col min="7" max="7" width="6" style="27" customWidth="1"/>
    <col min="8" max="8" width="10.375" style="27" customWidth="1"/>
    <col min="9" max="9" width="10.625" style="27" customWidth="1"/>
    <col min="10" max="16384" width="8.875" style="27"/>
  </cols>
  <sheetData>
    <row r="1" spans="1:9" ht="24" customHeight="1" thickBot="1">
      <c r="A1" s="927" t="s">
        <v>2433</v>
      </c>
      <c r="B1" s="927"/>
      <c r="C1" s="927"/>
      <c r="D1" s="927"/>
      <c r="E1" s="927"/>
      <c r="F1" s="927"/>
      <c r="G1" s="927"/>
      <c r="H1" s="927"/>
      <c r="I1" s="927"/>
    </row>
    <row r="2" spans="1:9" s="194" customFormat="1" ht="14.25" thickTop="1" thickBot="1">
      <c r="A2" s="191" t="s">
        <v>842</v>
      </c>
      <c r="B2" s="192" t="s">
        <v>2432</v>
      </c>
      <c r="C2" s="192" t="s">
        <v>589</v>
      </c>
      <c r="D2" s="192" t="s">
        <v>2439</v>
      </c>
      <c r="E2" s="192" t="s">
        <v>614</v>
      </c>
      <c r="F2" s="192" t="s">
        <v>1058</v>
      </c>
      <c r="G2" s="192" t="s">
        <v>2422</v>
      </c>
      <c r="H2" s="192" t="s">
        <v>579</v>
      </c>
      <c r="I2" s="193" t="s">
        <v>2424</v>
      </c>
    </row>
    <row r="3" spans="1:9" ht="16.5" thickTop="1">
      <c r="A3" s="42">
        <v>1</v>
      </c>
      <c r="B3" s="43" t="s">
        <v>1070</v>
      </c>
      <c r="C3" s="195" t="s">
        <v>2420</v>
      </c>
      <c r="D3" s="266" t="str">
        <f>IF(LEFT(B3,1)="G","GD",IF(LEFT(B3,1)="P","PGD",IF(RIGHT(B3,1)="A","Ke hoach",IF(RIGHT(B3,1)="C","Ke toan","Hanh chinh"))))</f>
        <v>GD</v>
      </c>
      <c r="E3" s="69" t="s">
        <v>2427</v>
      </c>
      <c r="F3" s="618">
        <f>IF(E3=$E$3,100000,IF(E3=$E$4,80000,IF(E3=$E$5,60000,IF(E3=$E$6,50000,0))))</f>
        <v>100000</v>
      </c>
      <c r="G3" s="69">
        <v>5.47</v>
      </c>
      <c r="H3" s="618">
        <f>290000*G3</f>
        <v>1586300</v>
      </c>
      <c r="I3" s="197">
        <f>H3+F3</f>
        <v>1686300</v>
      </c>
    </row>
    <row r="4" spans="1:9">
      <c r="A4" s="48">
        <v>2</v>
      </c>
      <c r="B4" s="30" t="s">
        <v>1071</v>
      </c>
      <c r="C4" s="198" t="s">
        <v>2434</v>
      </c>
      <c r="D4" s="266" t="str">
        <f t="shared" ref="D4:D12" si="0">IF(LEFT(B4,1)="G","GD",IF(LEFT(B4,1)="P","PGD",IF(RIGHT(B4,1)="A","Ke hoach",IF(RIGHT(B4,1)="C","Ke toan","Hanh chinh"))))</f>
        <v>PGD</v>
      </c>
      <c r="E4" s="29" t="s">
        <v>2428</v>
      </c>
      <c r="F4" s="618">
        <f t="shared" ref="F4:F12" si="1">IF(E4=$E$3,100000,IF(E4=$E$4,80000,IF(E4=$E$5,60000,IF(E4=$E$6,50000,0))))</f>
        <v>80000</v>
      </c>
      <c r="G4" s="29">
        <v>4.79</v>
      </c>
      <c r="H4" s="618">
        <f t="shared" ref="H4:H12" si="2">290000*G4</f>
        <v>1389100</v>
      </c>
      <c r="I4" s="197">
        <f t="shared" ref="I4:I12" si="3">H4+F4</f>
        <v>1469100</v>
      </c>
    </row>
    <row r="5" spans="1:9">
      <c r="A5" s="48">
        <v>3</v>
      </c>
      <c r="B5" s="30" t="s">
        <v>1059</v>
      </c>
      <c r="C5" s="198" t="s">
        <v>2435</v>
      </c>
      <c r="D5" s="266" t="str">
        <f t="shared" si="0"/>
        <v>Ke hoach</v>
      </c>
      <c r="E5" s="29" t="s">
        <v>845</v>
      </c>
      <c r="F5" s="618">
        <f t="shared" si="1"/>
        <v>60000</v>
      </c>
      <c r="G5" s="29">
        <v>4.54</v>
      </c>
      <c r="H5" s="618">
        <f t="shared" si="2"/>
        <v>1316600</v>
      </c>
      <c r="I5" s="197">
        <f t="shared" si="3"/>
        <v>1376600</v>
      </c>
    </row>
    <row r="6" spans="1:9">
      <c r="A6" s="48">
        <v>4</v>
      </c>
      <c r="B6" s="30" t="s">
        <v>1060</v>
      </c>
      <c r="C6" s="198" t="s">
        <v>2436</v>
      </c>
      <c r="D6" s="266" t="str">
        <f t="shared" si="0"/>
        <v>Ke toan</v>
      </c>
      <c r="E6" s="29" t="s">
        <v>1069</v>
      </c>
      <c r="F6" s="618">
        <f t="shared" si="1"/>
        <v>50000</v>
      </c>
      <c r="G6" s="29">
        <v>4.28</v>
      </c>
      <c r="H6" s="618">
        <f t="shared" si="2"/>
        <v>1241200</v>
      </c>
      <c r="I6" s="197">
        <f t="shared" si="3"/>
        <v>1291200</v>
      </c>
    </row>
    <row r="7" spans="1:9">
      <c r="A7" s="48">
        <v>5</v>
      </c>
      <c r="B7" s="30" t="s">
        <v>1061</v>
      </c>
      <c r="C7" s="198" t="s">
        <v>2425</v>
      </c>
      <c r="D7" s="266" t="str">
        <f t="shared" si="0"/>
        <v>Ke hoach</v>
      </c>
      <c r="E7" s="29" t="s">
        <v>846</v>
      </c>
      <c r="F7" s="618">
        <f t="shared" si="1"/>
        <v>0</v>
      </c>
      <c r="G7" s="29">
        <v>3.42</v>
      </c>
      <c r="H7" s="618">
        <f t="shared" si="2"/>
        <v>991800</v>
      </c>
      <c r="I7" s="197">
        <f t="shared" si="3"/>
        <v>991800</v>
      </c>
    </row>
    <row r="8" spans="1:9">
      <c r="A8" s="48">
        <v>6</v>
      </c>
      <c r="B8" s="30" t="s">
        <v>1062</v>
      </c>
      <c r="C8" s="198" t="s">
        <v>2421</v>
      </c>
      <c r="D8" s="266" t="str">
        <f t="shared" si="0"/>
        <v>Hanh chinh</v>
      </c>
      <c r="E8" s="29" t="s">
        <v>846</v>
      </c>
      <c r="F8" s="618">
        <f t="shared" si="1"/>
        <v>0</v>
      </c>
      <c r="G8" s="29">
        <v>3.24</v>
      </c>
      <c r="H8" s="618">
        <f t="shared" si="2"/>
        <v>939600.00000000012</v>
      </c>
      <c r="I8" s="197">
        <f t="shared" si="3"/>
        <v>939600.00000000012</v>
      </c>
    </row>
    <row r="9" spans="1:9">
      <c r="A9" s="48">
        <v>7</v>
      </c>
      <c r="B9" s="30" t="s">
        <v>1063</v>
      </c>
      <c r="C9" s="198" t="s">
        <v>2445</v>
      </c>
      <c r="D9" s="266" t="str">
        <f t="shared" si="0"/>
        <v>Ke toan</v>
      </c>
      <c r="E9" s="29" t="s">
        <v>846</v>
      </c>
      <c r="F9" s="618">
        <f t="shared" si="1"/>
        <v>0</v>
      </c>
      <c r="G9" s="29">
        <v>3.58</v>
      </c>
      <c r="H9" s="618">
        <f t="shared" si="2"/>
        <v>1038200</v>
      </c>
      <c r="I9" s="197">
        <f t="shared" si="3"/>
        <v>1038200</v>
      </c>
    </row>
    <row r="10" spans="1:9">
      <c r="A10" s="48">
        <v>8</v>
      </c>
      <c r="B10" s="30" t="s">
        <v>1064</v>
      </c>
      <c r="C10" s="198" t="s">
        <v>2423</v>
      </c>
      <c r="D10" s="266" t="str">
        <f t="shared" si="0"/>
        <v>Hanh chinh</v>
      </c>
      <c r="E10" s="29" t="s">
        <v>846</v>
      </c>
      <c r="F10" s="618">
        <f t="shared" si="1"/>
        <v>0</v>
      </c>
      <c r="G10" s="29">
        <v>3.05</v>
      </c>
      <c r="H10" s="618">
        <f t="shared" si="2"/>
        <v>884500</v>
      </c>
      <c r="I10" s="197">
        <f t="shared" si="3"/>
        <v>884500</v>
      </c>
    </row>
    <row r="11" spans="1:9">
      <c r="A11" s="48">
        <v>9</v>
      </c>
      <c r="B11" s="30" t="s">
        <v>1065</v>
      </c>
      <c r="C11" s="198" t="s">
        <v>2437</v>
      </c>
      <c r="D11" s="266" t="str">
        <f t="shared" si="0"/>
        <v>Ke hoach</v>
      </c>
      <c r="E11" s="29" t="s">
        <v>846</v>
      </c>
      <c r="F11" s="618">
        <f t="shared" si="1"/>
        <v>0</v>
      </c>
      <c r="G11" s="29">
        <v>3.57</v>
      </c>
      <c r="H11" s="618">
        <f t="shared" si="2"/>
        <v>1035300</v>
      </c>
      <c r="I11" s="197">
        <f t="shared" si="3"/>
        <v>1035300</v>
      </c>
    </row>
    <row r="12" spans="1:9" ht="16.5" thickBot="1">
      <c r="A12" s="199">
        <v>10</v>
      </c>
      <c r="B12" s="200" t="s">
        <v>1066</v>
      </c>
      <c r="C12" s="201" t="s">
        <v>2438</v>
      </c>
      <c r="D12" s="266" t="str">
        <f t="shared" si="0"/>
        <v>Ke toan</v>
      </c>
      <c r="E12" s="202" t="s">
        <v>846</v>
      </c>
      <c r="F12" s="618">
        <f t="shared" si="1"/>
        <v>0</v>
      </c>
      <c r="G12" s="202">
        <v>3.52</v>
      </c>
      <c r="H12" s="618">
        <f t="shared" si="2"/>
        <v>1020800</v>
      </c>
      <c r="I12" s="197">
        <f t="shared" si="3"/>
        <v>1020800</v>
      </c>
    </row>
    <row r="13" spans="1:9" ht="21" customHeight="1" thickTop="1" thickBot="1">
      <c r="A13" s="979" t="s">
        <v>576</v>
      </c>
      <c r="B13" s="980"/>
      <c r="C13" s="980"/>
      <c r="D13" s="980"/>
      <c r="E13" s="980"/>
      <c r="F13" s="102">
        <f>SUM(F3:F12)</f>
        <v>290000</v>
      </c>
      <c r="G13" s="102" t="s">
        <v>269</v>
      </c>
      <c r="H13" s="102">
        <f>SUM(H3:H12)</f>
        <v>11443400</v>
      </c>
      <c r="I13" s="102">
        <f>SUM(I3:I12)</f>
        <v>11733400</v>
      </c>
    </row>
    <row r="14" spans="1:9" ht="16.5" thickTop="1"/>
    <row r="15" spans="1:9">
      <c r="A15" s="33" t="s">
        <v>2440</v>
      </c>
    </row>
    <row r="16" spans="1:9">
      <c r="A16" s="33"/>
      <c r="B16" s="33" t="s">
        <v>2441</v>
      </c>
    </row>
    <row r="17" spans="1:2">
      <c r="A17" s="33"/>
      <c r="B17" s="33" t="s">
        <v>2446</v>
      </c>
    </row>
    <row r="18" spans="1:2">
      <c r="A18" s="33"/>
      <c r="B18" s="33" t="s">
        <v>2442</v>
      </c>
    </row>
    <row r="19" spans="1:2">
      <c r="A19" s="33"/>
      <c r="B19" s="33" t="s">
        <v>2443</v>
      </c>
    </row>
    <row r="20" spans="1:2">
      <c r="A20" s="33"/>
      <c r="B20" s="33" t="s">
        <v>2444</v>
      </c>
    </row>
    <row r="21" spans="1:2">
      <c r="A21" s="33" t="s">
        <v>2431</v>
      </c>
    </row>
    <row r="22" spans="1:2">
      <c r="A22" s="33"/>
      <c r="B22" s="33" t="s">
        <v>2429</v>
      </c>
    </row>
    <row r="23" spans="1:2">
      <c r="A23" s="33"/>
      <c r="B23" s="33" t="s">
        <v>2430</v>
      </c>
    </row>
    <row r="24" spans="1:2">
      <c r="A24" s="33"/>
      <c r="B24" s="33" t="s">
        <v>1068</v>
      </c>
    </row>
    <row r="25" spans="1:2">
      <c r="A25" s="33"/>
      <c r="B25" s="33" t="s">
        <v>1067</v>
      </c>
    </row>
    <row r="26" spans="1:2">
      <c r="A26" s="33" t="s">
        <v>2447</v>
      </c>
    </row>
    <row r="27" spans="1:2">
      <c r="A27" s="205" t="s">
        <v>2426</v>
      </c>
    </row>
    <row r="28" spans="1:2">
      <c r="A28" s="33" t="s">
        <v>2448</v>
      </c>
    </row>
  </sheetData>
  <mergeCells count="2">
    <mergeCell ref="A1:I1"/>
    <mergeCell ref="A13:E13"/>
  </mergeCells>
  <phoneticPr fontId="0" type="noConversion"/>
  <pageMargins left="0.75" right="0.75" top="1" bottom="1" header="0.5" footer="0.5"/>
  <pageSetup paperSize="9" orientation="portrait" r:id="rId1"/>
  <headerFooter alignWithMargins="0">
    <oddFooter>&amp;R&amp;A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29"/>
  <sheetViews>
    <sheetView showGridLines="0" topLeftCell="A7" workbookViewId="0">
      <selection activeCell="J6" sqref="J6"/>
    </sheetView>
  </sheetViews>
  <sheetFormatPr defaultRowHeight="15.75"/>
  <cols>
    <col min="1" max="1" width="4.125" style="12" customWidth="1"/>
    <col min="2" max="2" width="17.75" style="12" customWidth="1"/>
    <col min="3" max="3" width="5.25" style="12" customWidth="1"/>
    <col min="4" max="4" width="4.375" style="12" customWidth="1"/>
    <col min="5" max="5" width="5.375" style="12" customWidth="1"/>
    <col min="6" max="6" width="5.5" style="12" customWidth="1"/>
    <col min="7" max="7" width="5.25" style="12" customWidth="1"/>
    <col min="8" max="8" width="10.625" style="12" bestFit="1" customWidth="1"/>
    <col min="9" max="9" width="8.625" style="12" customWidth="1"/>
    <col min="10" max="10" width="9.625" style="12" bestFit="1" customWidth="1"/>
    <col min="11" max="11" width="10.625" style="12" bestFit="1" customWidth="1"/>
    <col min="12" max="16384" width="9" style="12"/>
  </cols>
  <sheetData>
    <row r="1" spans="1:11" ht="24" customHeight="1" thickBot="1">
      <c r="A1" s="926" t="s">
        <v>14</v>
      </c>
      <c r="B1" s="926"/>
      <c r="C1" s="926"/>
      <c r="D1" s="926"/>
      <c r="E1" s="926"/>
      <c r="F1" s="926"/>
      <c r="G1" s="926"/>
      <c r="H1" s="926"/>
      <c r="I1" s="926"/>
      <c r="J1" s="926"/>
      <c r="K1" s="926"/>
    </row>
    <row r="2" spans="1:11" ht="27" thickTop="1" thickBot="1">
      <c r="A2" s="203" t="s">
        <v>842</v>
      </c>
      <c r="B2" s="204" t="s">
        <v>589</v>
      </c>
      <c r="C2" s="204" t="s">
        <v>6</v>
      </c>
      <c r="D2" s="204" t="s">
        <v>2453</v>
      </c>
      <c r="E2" s="204" t="s">
        <v>2422</v>
      </c>
      <c r="F2" s="204" t="s">
        <v>0</v>
      </c>
      <c r="G2" s="204" t="s">
        <v>2449</v>
      </c>
      <c r="H2" s="204" t="s">
        <v>579</v>
      </c>
      <c r="I2" s="204" t="s">
        <v>2456</v>
      </c>
      <c r="J2" s="204" t="s">
        <v>2450</v>
      </c>
      <c r="K2" s="206" t="s">
        <v>2424</v>
      </c>
    </row>
    <row r="3" spans="1:11" ht="16.5" thickTop="1">
      <c r="A3" s="17">
        <v>1</v>
      </c>
      <c r="B3" s="207" t="s">
        <v>15</v>
      </c>
      <c r="C3" s="19">
        <v>1</v>
      </c>
      <c r="D3" s="19">
        <v>3</v>
      </c>
      <c r="E3" s="19">
        <v>4.74</v>
      </c>
      <c r="F3" s="19">
        <v>21</v>
      </c>
      <c r="G3" s="619" t="str">
        <f>IF(F3&gt;=25,"A",IF(AND(F3&gt;=22,F3&lt;=24),"B","C"))</f>
        <v>C</v>
      </c>
      <c r="H3" s="20">
        <f>830000*E3</f>
        <v>3934200</v>
      </c>
      <c r="I3" s="222">
        <f>IF(G3="A",150000,IF(G3="B",0,-50000))</f>
        <v>-50000</v>
      </c>
      <c r="J3" s="222">
        <f>IF(C3=1,0,IF(AND(C3=0,D3&gt;=2),100000,200000))</f>
        <v>0</v>
      </c>
      <c r="K3" s="620">
        <f>SUM(H3:J3)</f>
        <v>3884200</v>
      </c>
    </row>
    <row r="4" spans="1:11">
      <c r="A4" s="23">
        <v>2</v>
      </c>
      <c r="B4" s="208" t="s">
        <v>2460</v>
      </c>
      <c r="C4" s="25">
        <v>1</v>
      </c>
      <c r="D4" s="25">
        <v>1</v>
      </c>
      <c r="E4" s="25">
        <v>4.59</v>
      </c>
      <c r="F4" s="25">
        <v>25</v>
      </c>
      <c r="G4" s="619" t="str">
        <f t="shared" ref="G4:G12" si="0">IF(F4&gt;=25,"A",IF(AND(F4&gt;=22,F4&lt;=24),"B","C"))</f>
        <v>A</v>
      </c>
      <c r="H4" s="20">
        <f t="shared" ref="H4:H12" si="1">830000*E4</f>
        <v>3809700</v>
      </c>
      <c r="I4" s="222">
        <f t="shared" ref="I4:I12" si="2">IF(G4="A",150000,IF(G4="B",0,-50000))</f>
        <v>150000</v>
      </c>
      <c r="J4" s="222">
        <f t="shared" ref="J4:J12" si="3">IF(C4=1,0,IF(AND(C4=0,D4&gt;=2),100000,200000))</f>
        <v>0</v>
      </c>
      <c r="K4" s="620">
        <f t="shared" ref="K4:K12" si="4">SUM(H4:J4)</f>
        <v>3959700</v>
      </c>
    </row>
    <row r="5" spans="1:11">
      <c r="A5" s="23">
        <v>3</v>
      </c>
      <c r="B5" s="208" t="s">
        <v>1</v>
      </c>
      <c r="C5" s="25">
        <v>0</v>
      </c>
      <c r="D5" s="25">
        <v>1</v>
      </c>
      <c r="E5" s="25">
        <v>4.34</v>
      </c>
      <c r="F5" s="25">
        <v>24</v>
      </c>
      <c r="G5" s="619" t="str">
        <f t="shared" si="0"/>
        <v>B</v>
      </c>
      <c r="H5" s="20">
        <f t="shared" si="1"/>
        <v>3602200</v>
      </c>
      <c r="I5" s="222">
        <f t="shared" si="2"/>
        <v>0</v>
      </c>
      <c r="J5" s="222">
        <f t="shared" si="3"/>
        <v>200000</v>
      </c>
      <c r="K5" s="620">
        <f t="shared" si="4"/>
        <v>3802200</v>
      </c>
    </row>
    <row r="6" spans="1:11">
      <c r="A6" s="23">
        <v>4</v>
      </c>
      <c r="B6" s="208" t="s">
        <v>2452</v>
      </c>
      <c r="C6" s="25">
        <v>0</v>
      </c>
      <c r="D6" s="25">
        <v>0</v>
      </c>
      <c r="E6" s="25">
        <v>4.12</v>
      </c>
      <c r="F6" s="25">
        <v>26</v>
      </c>
      <c r="G6" s="619" t="str">
        <f t="shared" si="0"/>
        <v>A</v>
      </c>
      <c r="H6" s="20">
        <f t="shared" si="1"/>
        <v>3419600</v>
      </c>
      <c r="I6" s="222">
        <f t="shared" si="2"/>
        <v>150000</v>
      </c>
      <c r="J6" s="222">
        <f t="shared" si="3"/>
        <v>200000</v>
      </c>
      <c r="K6" s="620">
        <f t="shared" si="4"/>
        <v>3769600</v>
      </c>
    </row>
    <row r="7" spans="1:11">
      <c r="A7" s="23">
        <v>5</v>
      </c>
      <c r="B7" s="208" t="s">
        <v>12</v>
      </c>
      <c r="C7" s="25">
        <v>0</v>
      </c>
      <c r="D7" s="25">
        <v>2</v>
      </c>
      <c r="E7" s="25">
        <v>3.46</v>
      </c>
      <c r="F7" s="25">
        <v>21</v>
      </c>
      <c r="G7" s="619" t="str">
        <f t="shared" si="0"/>
        <v>C</v>
      </c>
      <c r="H7" s="20">
        <f t="shared" si="1"/>
        <v>2871800</v>
      </c>
      <c r="I7" s="222">
        <f t="shared" si="2"/>
        <v>-50000</v>
      </c>
      <c r="J7" s="222">
        <f t="shared" si="3"/>
        <v>100000</v>
      </c>
      <c r="K7" s="620">
        <f t="shared" si="4"/>
        <v>2921800</v>
      </c>
    </row>
    <row r="8" spans="1:11">
      <c r="A8" s="23">
        <v>6</v>
      </c>
      <c r="B8" s="208" t="s">
        <v>8</v>
      </c>
      <c r="C8" s="25">
        <v>1</v>
      </c>
      <c r="D8" s="25">
        <v>3</v>
      </c>
      <c r="E8" s="25">
        <v>3.14</v>
      </c>
      <c r="F8" s="25">
        <v>24</v>
      </c>
      <c r="G8" s="619" t="str">
        <f t="shared" si="0"/>
        <v>B</v>
      </c>
      <c r="H8" s="20">
        <f t="shared" si="1"/>
        <v>2606200</v>
      </c>
      <c r="I8" s="222">
        <f t="shared" si="2"/>
        <v>0</v>
      </c>
      <c r="J8" s="222">
        <f t="shared" si="3"/>
        <v>0</v>
      </c>
      <c r="K8" s="620">
        <f t="shared" si="4"/>
        <v>2606200</v>
      </c>
    </row>
    <row r="9" spans="1:11">
      <c r="A9" s="23">
        <v>7</v>
      </c>
      <c r="B9" s="208" t="s">
        <v>13</v>
      </c>
      <c r="C9" s="25">
        <v>0</v>
      </c>
      <c r="D9" s="25">
        <v>2</v>
      </c>
      <c r="E9" s="25">
        <v>3.48</v>
      </c>
      <c r="F9" s="25">
        <v>22</v>
      </c>
      <c r="G9" s="619" t="str">
        <f t="shared" si="0"/>
        <v>B</v>
      </c>
      <c r="H9" s="20">
        <f t="shared" si="1"/>
        <v>2888400</v>
      </c>
      <c r="I9" s="222">
        <f t="shared" si="2"/>
        <v>0</v>
      </c>
      <c r="J9" s="222">
        <f t="shared" si="3"/>
        <v>100000</v>
      </c>
      <c r="K9" s="620">
        <f t="shared" si="4"/>
        <v>2988400</v>
      </c>
    </row>
    <row r="10" spans="1:11">
      <c r="A10" s="23">
        <v>8</v>
      </c>
      <c r="B10" s="208" t="s">
        <v>2</v>
      </c>
      <c r="C10" s="25">
        <v>0</v>
      </c>
      <c r="D10" s="25">
        <v>0</v>
      </c>
      <c r="E10" s="25">
        <v>2.78</v>
      </c>
      <c r="F10" s="25">
        <v>27</v>
      </c>
      <c r="G10" s="619" t="str">
        <f t="shared" si="0"/>
        <v>A</v>
      </c>
      <c r="H10" s="20">
        <f t="shared" si="1"/>
        <v>2307400</v>
      </c>
      <c r="I10" s="222">
        <f t="shared" si="2"/>
        <v>150000</v>
      </c>
      <c r="J10" s="222">
        <f t="shared" si="3"/>
        <v>200000</v>
      </c>
      <c r="K10" s="620">
        <f t="shared" si="4"/>
        <v>2657400</v>
      </c>
    </row>
    <row r="11" spans="1:11">
      <c r="A11" s="23">
        <v>9</v>
      </c>
      <c r="B11" s="208" t="s">
        <v>2437</v>
      </c>
      <c r="C11" s="25">
        <v>1</v>
      </c>
      <c r="D11" s="25">
        <v>1</v>
      </c>
      <c r="E11" s="25">
        <v>1.57</v>
      </c>
      <c r="F11" s="25">
        <v>23</v>
      </c>
      <c r="G11" s="619" t="str">
        <f t="shared" si="0"/>
        <v>B</v>
      </c>
      <c r="H11" s="20">
        <f t="shared" si="1"/>
        <v>1303100</v>
      </c>
      <c r="I11" s="222">
        <f t="shared" si="2"/>
        <v>0</v>
      </c>
      <c r="J11" s="222">
        <f t="shared" si="3"/>
        <v>0</v>
      </c>
      <c r="K11" s="620">
        <f t="shared" si="4"/>
        <v>1303100</v>
      </c>
    </row>
    <row r="12" spans="1:11" ht="16.5" thickBot="1">
      <c r="A12" s="99">
        <v>10</v>
      </c>
      <c r="B12" s="209" t="s">
        <v>643</v>
      </c>
      <c r="C12" s="100">
        <v>0</v>
      </c>
      <c r="D12" s="100">
        <v>1</v>
      </c>
      <c r="E12" s="100">
        <v>3.52</v>
      </c>
      <c r="F12" s="100">
        <v>27</v>
      </c>
      <c r="G12" s="619" t="str">
        <f t="shared" si="0"/>
        <v>A</v>
      </c>
      <c r="H12" s="20">
        <f t="shared" si="1"/>
        <v>2921600</v>
      </c>
      <c r="I12" s="222">
        <f t="shared" si="2"/>
        <v>150000</v>
      </c>
      <c r="J12" s="222">
        <f t="shared" si="3"/>
        <v>200000</v>
      </c>
      <c r="K12" s="620">
        <f t="shared" si="4"/>
        <v>3271600</v>
      </c>
    </row>
    <row r="13" spans="1:11" ht="21" customHeight="1" thickTop="1" thickBot="1">
      <c r="A13" s="981" t="s">
        <v>576</v>
      </c>
      <c r="B13" s="982"/>
      <c r="C13" s="982"/>
      <c r="D13" s="982"/>
      <c r="E13" s="982"/>
      <c r="F13" s="982"/>
      <c r="G13" s="983"/>
      <c r="H13" s="158">
        <f>SUM(H3:H12)</f>
        <v>29664200</v>
      </c>
      <c r="I13" s="158">
        <f t="shared" ref="I13:K13" si="5">SUM(I3:I12)</f>
        <v>500000</v>
      </c>
      <c r="J13" s="158">
        <f t="shared" si="5"/>
        <v>1000000</v>
      </c>
      <c r="K13" s="158">
        <f t="shared" si="5"/>
        <v>31164200</v>
      </c>
    </row>
    <row r="14" spans="1:11" ht="16.5" thickTop="1">
      <c r="A14" s="12" t="s">
        <v>7</v>
      </c>
    </row>
    <row r="16" spans="1:11">
      <c r="A16" s="26" t="s">
        <v>2454</v>
      </c>
      <c r="B16" s="26"/>
    </row>
    <row r="17" spans="1:2">
      <c r="A17" s="26"/>
      <c r="B17" s="26" t="s">
        <v>3</v>
      </c>
    </row>
    <row r="18" spans="1:2">
      <c r="A18" s="26"/>
      <c r="B18" s="26" t="s">
        <v>4</v>
      </c>
    </row>
    <row r="19" spans="1:2">
      <c r="A19" s="26"/>
      <c r="B19" s="26" t="s">
        <v>5</v>
      </c>
    </row>
    <row r="20" spans="1:2">
      <c r="A20" s="26" t="s">
        <v>270</v>
      </c>
      <c r="B20" s="26"/>
    </row>
    <row r="21" spans="1:2">
      <c r="A21" s="26" t="s">
        <v>2457</v>
      </c>
      <c r="B21" s="26"/>
    </row>
    <row r="22" spans="1:2">
      <c r="A22" s="26"/>
      <c r="B22" s="26" t="s">
        <v>2458</v>
      </c>
    </row>
    <row r="23" spans="1:2">
      <c r="A23" s="26"/>
      <c r="B23" s="26" t="s">
        <v>11</v>
      </c>
    </row>
    <row r="24" spans="1:2">
      <c r="A24" s="26"/>
      <c r="B24" s="26" t="s">
        <v>2451</v>
      </c>
    </row>
    <row r="25" spans="1:2">
      <c r="A25" s="26" t="s">
        <v>2455</v>
      </c>
      <c r="B25" s="26"/>
    </row>
    <row r="26" spans="1:2">
      <c r="A26" s="26"/>
      <c r="B26" s="26" t="s">
        <v>9</v>
      </c>
    </row>
    <row r="27" spans="1:2">
      <c r="A27" s="26"/>
      <c r="B27" s="26" t="s">
        <v>10</v>
      </c>
    </row>
    <row r="28" spans="1:2">
      <c r="A28" s="26" t="s">
        <v>2459</v>
      </c>
      <c r="B28" s="26"/>
    </row>
    <row r="29" spans="1:2">
      <c r="A29" s="26" t="s">
        <v>16</v>
      </c>
      <c r="B29" s="26"/>
    </row>
  </sheetData>
  <mergeCells count="2">
    <mergeCell ref="A1:K1"/>
    <mergeCell ref="A13:G13"/>
  </mergeCells>
  <phoneticPr fontId="0" type="noConversion"/>
  <pageMargins left="0.5" right="0.5" top="1" bottom="1" header="0.5" footer="0.5"/>
  <pageSetup paperSize="9" orientation="portrait" r:id="rId1"/>
  <headerFooter alignWithMargins="0">
    <oddFooter>&amp;R&amp;A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I14"/>
  <sheetViews>
    <sheetView showGridLines="0" workbookViewId="0">
      <selection activeCell="F8" sqref="F8"/>
    </sheetView>
  </sheetViews>
  <sheetFormatPr defaultColWidth="8.875" defaultRowHeight="15.75"/>
  <cols>
    <col min="1" max="1" width="3.625" style="27" customWidth="1"/>
    <col min="2" max="2" width="6.875" style="27" customWidth="1"/>
    <col min="3" max="3" width="14" style="27" customWidth="1"/>
    <col min="4" max="4" width="7" style="27" customWidth="1"/>
    <col min="5" max="5" width="6.625" style="27" customWidth="1"/>
    <col min="6" max="6" width="10.25" style="27" customWidth="1"/>
    <col min="7" max="7" width="10.625" style="27" customWidth="1"/>
    <col min="8" max="8" width="8.625" style="27" customWidth="1"/>
    <col min="9" max="9" width="10.625" style="27" customWidth="1"/>
    <col min="10" max="16384" width="8.875" style="27"/>
  </cols>
  <sheetData>
    <row r="1" spans="1:9" ht="24" customHeight="1" thickBot="1">
      <c r="A1" s="926" t="s">
        <v>26</v>
      </c>
      <c r="B1" s="926"/>
      <c r="C1" s="926"/>
      <c r="D1" s="926"/>
      <c r="E1" s="926"/>
      <c r="F1" s="926"/>
      <c r="G1" s="926"/>
      <c r="H1" s="926"/>
      <c r="I1" s="926"/>
    </row>
    <row r="2" spans="1:9" ht="16.5" thickTop="1">
      <c r="A2" s="987" t="s">
        <v>842</v>
      </c>
      <c r="B2" s="989" t="s">
        <v>23</v>
      </c>
      <c r="C2" s="989" t="s">
        <v>21</v>
      </c>
      <c r="D2" s="989" t="s">
        <v>681</v>
      </c>
      <c r="E2" s="989" t="s">
        <v>687</v>
      </c>
      <c r="F2" s="991" t="s">
        <v>17</v>
      </c>
      <c r="G2" s="992"/>
      <c r="H2" s="991" t="s">
        <v>423</v>
      </c>
      <c r="I2" s="993"/>
    </row>
    <row r="3" spans="1:9" ht="16.5" thickBot="1">
      <c r="A3" s="988"/>
      <c r="B3" s="990"/>
      <c r="C3" s="990"/>
      <c r="D3" s="990"/>
      <c r="E3" s="990"/>
      <c r="F3" s="39" t="s">
        <v>681</v>
      </c>
      <c r="G3" s="39" t="s">
        <v>151</v>
      </c>
      <c r="H3" s="39" t="s">
        <v>681</v>
      </c>
      <c r="I3" s="40" t="s">
        <v>151</v>
      </c>
    </row>
    <row r="4" spans="1:9" ht="16.5" thickTop="1">
      <c r="A4" s="42">
        <v>1</v>
      </c>
      <c r="B4" s="69" t="s">
        <v>1117</v>
      </c>
      <c r="C4" s="43" t="s">
        <v>27</v>
      </c>
      <c r="D4" s="210">
        <v>1500</v>
      </c>
      <c r="E4" s="115">
        <v>4200</v>
      </c>
      <c r="F4" s="330"/>
      <c r="G4" s="20"/>
      <c r="H4" s="20"/>
      <c r="I4" s="78"/>
    </row>
    <row r="5" spans="1:9">
      <c r="A5" s="48">
        <v>2</v>
      </c>
      <c r="B5" s="29" t="s">
        <v>1118</v>
      </c>
      <c r="C5" s="30" t="s">
        <v>22</v>
      </c>
      <c r="D5" s="211">
        <v>2000</v>
      </c>
      <c r="E5" s="119">
        <v>5100</v>
      </c>
      <c r="F5" s="330"/>
      <c r="G5" s="20"/>
      <c r="H5" s="20"/>
      <c r="I5" s="78"/>
    </row>
    <row r="6" spans="1:9">
      <c r="A6" s="48">
        <v>3</v>
      </c>
      <c r="B6" s="29" t="s">
        <v>1119</v>
      </c>
      <c r="C6" s="30" t="s">
        <v>20</v>
      </c>
      <c r="D6" s="211">
        <v>1000</v>
      </c>
      <c r="E6" s="119">
        <v>4300</v>
      </c>
      <c r="F6" s="330"/>
      <c r="G6" s="20"/>
      <c r="H6" s="20"/>
      <c r="I6" s="78"/>
    </row>
    <row r="7" spans="1:9">
      <c r="A7" s="48">
        <v>4</v>
      </c>
      <c r="B7" s="29" t="s">
        <v>1120</v>
      </c>
      <c r="C7" s="30" t="s">
        <v>24</v>
      </c>
      <c r="D7" s="211">
        <v>2500</v>
      </c>
      <c r="E7" s="119">
        <v>5200</v>
      </c>
      <c r="F7" s="330"/>
      <c r="G7" s="20"/>
      <c r="H7" s="20"/>
      <c r="I7" s="78"/>
    </row>
    <row r="8" spans="1:9">
      <c r="A8" s="48">
        <v>5</v>
      </c>
      <c r="B8" s="29" t="s">
        <v>1121</v>
      </c>
      <c r="C8" s="30" t="s">
        <v>18</v>
      </c>
      <c r="D8" s="211">
        <v>1000</v>
      </c>
      <c r="E8" s="119">
        <v>5150</v>
      </c>
      <c r="F8" s="330"/>
      <c r="G8" s="20"/>
      <c r="H8" s="20"/>
      <c r="I8" s="78"/>
    </row>
    <row r="9" spans="1:9" ht="16.5" thickBot="1">
      <c r="A9" s="199">
        <v>6</v>
      </c>
      <c r="B9" s="202" t="s">
        <v>1122</v>
      </c>
      <c r="C9" s="200" t="s">
        <v>19</v>
      </c>
      <c r="D9" s="213">
        <v>1300</v>
      </c>
      <c r="E9" s="123">
        <v>4250</v>
      </c>
      <c r="F9" s="330"/>
      <c r="G9" s="20"/>
      <c r="H9" s="20"/>
      <c r="I9" s="78"/>
    </row>
    <row r="10" spans="1:9" ht="21" customHeight="1" thickTop="1" thickBot="1">
      <c r="A10" s="984" t="s">
        <v>576</v>
      </c>
      <c r="B10" s="985"/>
      <c r="C10" s="985"/>
      <c r="D10" s="985"/>
      <c r="E10" s="986"/>
      <c r="F10" s="622">
        <f>SUM(F9)</f>
        <v>0</v>
      </c>
      <c r="G10" s="623">
        <f>SUM(G9)</f>
        <v>0</v>
      </c>
      <c r="H10" s="214">
        <f>SUM(F10:G10)</f>
        <v>0</v>
      </c>
      <c r="I10" s="159">
        <f>SUM(I7:I9)</f>
        <v>0</v>
      </c>
    </row>
    <row r="11" spans="1:9" ht="16.5" thickTop="1"/>
    <row r="12" spans="1:9">
      <c r="A12" s="33" t="s">
        <v>25</v>
      </c>
    </row>
    <row r="13" spans="1:9">
      <c r="A13" s="33" t="s">
        <v>28</v>
      </c>
    </row>
    <row r="14" spans="1:9">
      <c r="A14" s="33" t="s">
        <v>29</v>
      </c>
    </row>
  </sheetData>
  <mergeCells count="9">
    <mergeCell ref="A1:I1"/>
    <mergeCell ref="A10:E10"/>
    <mergeCell ref="A2:A3"/>
    <mergeCell ref="B2:B3"/>
    <mergeCell ref="C2:C3"/>
    <mergeCell ref="D2:D3"/>
    <mergeCell ref="E2:E3"/>
    <mergeCell ref="F2:G2"/>
    <mergeCell ref="H2:I2"/>
  </mergeCells>
  <phoneticPr fontId="0" type="noConversion"/>
  <pageMargins left="0.75" right="0.75" top="1" bottom="1" header="0.5" footer="0.5"/>
  <pageSetup paperSize="9" orientation="portrait" r:id="rId1"/>
  <headerFooter alignWithMargins="0">
    <oddFooter>&amp;R&amp;A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M27"/>
  <sheetViews>
    <sheetView showGridLines="0" workbookViewId="0">
      <selection activeCell="J15" sqref="J15"/>
    </sheetView>
  </sheetViews>
  <sheetFormatPr defaultRowHeight="15.75"/>
  <cols>
    <col min="1" max="1" width="4.25" style="12" customWidth="1"/>
    <col min="2" max="2" width="16.875" style="12" customWidth="1"/>
    <col min="3" max="3" width="5.125" style="12" customWidth="1"/>
    <col min="4" max="4" width="6.5" style="12" customWidth="1"/>
    <col min="5" max="6" width="7" style="12" customWidth="1"/>
    <col min="7" max="7" width="6.75" style="12" customWidth="1"/>
    <col min="8" max="8" width="12" style="12" customWidth="1"/>
    <col min="9" max="9" width="10.5" style="12" customWidth="1"/>
    <col min="10" max="11" width="9.125" style="12" bestFit="1" customWidth="1"/>
    <col min="12" max="12" width="9.375" style="12" bestFit="1" customWidth="1"/>
    <col min="13" max="13" width="9.875" style="12" bestFit="1" customWidth="1"/>
    <col min="14" max="16384" width="9" style="12"/>
  </cols>
  <sheetData>
    <row r="1" spans="1:13" ht="24" customHeight="1">
      <c r="A1" s="927" t="s">
        <v>52</v>
      </c>
      <c r="B1" s="927"/>
      <c r="C1" s="927"/>
      <c r="D1" s="927"/>
      <c r="E1" s="927"/>
      <c r="F1" s="927"/>
      <c r="G1" s="927"/>
      <c r="H1" s="927"/>
      <c r="I1" s="927"/>
      <c r="J1" s="927"/>
      <c r="K1" s="927"/>
      <c r="L1" s="927"/>
      <c r="M1" s="927"/>
    </row>
    <row r="2" spans="1:13" ht="15" customHeight="1" thickBot="1">
      <c r="A2" s="11"/>
      <c r="B2" s="11"/>
      <c r="C2" s="11"/>
      <c r="D2" s="11"/>
      <c r="E2" s="11"/>
      <c r="F2" s="11"/>
      <c r="G2" s="11"/>
      <c r="H2" s="11"/>
      <c r="I2" s="11"/>
      <c r="J2" s="11"/>
      <c r="K2" s="11"/>
      <c r="L2" s="215" t="s">
        <v>1126</v>
      </c>
      <c r="M2" s="216">
        <v>290000</v>
      </c>
    </row>
    <row r="3" spans="1:13" s="81" customFormat="1" ht="21" customHeight="1" thickTop="1" thickBot="1">
      <c r="A3" s="156" t="s">
        <v>842</v>
      </c>
      <c r="B3" s="157" t="s">
        <v>589</v>
      </c>
      <c r="C3" s="157" t="s">
        <v>41</v>
      </c>
      <c r="D3" s="157" t="s">
        <v>30</v>
      </c>
      <c r="E3" s="157" t="s">
        <v>1125</v>
      </c>
      <c r="F3" s="157" t="s">
        <v>47</v>
      </c>
      <c r="G3" s="157" t="s">
        <v>271</v>
      </c>
      <c r="H3" s="157" t="s">
        <v>2449</v>
      </c>
      <c r="I3" s="157" t="s">
        <v>1123</v>
      </c>
      <c r="J3" s="157" t="s">
        <v>33</v>
      </c>
      <c r="K3" s="157" t="s">
        <v>1124</v>
      </c>
      <c r="L3" s="157" t="s">
        <v>255</v>
      </c>
      <c r="M3" s="217" t="s">
        <v>45</v>
      </c>
    </row>
    <row r="4" spans="1:13" ht="16.5" thickTop="1">
      <c r="A4" s="17">
        <v>1</v>
      </c>
      <c r="B4" s="18" t="s">
        <v>39</v>
      </c>
      <c r="C4" s="19">
        <v>1</v>
      </c>
      <c r="D4" s="19">
        <v>3</v>
      </c>
      <c r="E4" s="218">
        <v>2.5</v>
      </c>
      <c r="F4" s="19">
        <v>22</v>
      </c>
      <c r="G4" s="19">
        <v>200</v>
      </c>
      <c r="H4" s="219" t="str">
        <f>IF(OR(F4&gt;26,G4=208),"A",IF(G4=200,"B","C"))</f>
        <v>B</v>
      </c>
      <c r="I4" s="222">
        <f>$M$2*E4</f>
        <v>725000</v>
      </c>
      <c r="J4" s="222">
        <f>IF(H4="A",50000,IF(H4="B",0,-20000))</f>
        <v>0</v>
      </c>
      <c r="K4" s="222">
        <f>IF(C4=1,0,IF(AND(C4=0,D4&gt;=2),50000,IF(OR(C4=0,D4=1,D4=0),30000,0)))</f>
        <v>0</v>
      </c>
      <c r="L4" s="154">
        <v>150000</v>
      </c>
      <c r="M4" s="620">
        <f>SUM(I4:K4)-L4</f>
        <v>575000</v>
      </c>
    </row>
    <row r="5" spans="1:13">
      <c r="A5" s="23">
        <v>2</v>
      </c>
      <c r="B5" s="24" t="s">
        <v>34</v>
      </c>
      <c r="C5" s="25">
        <v>0</v>
      </c>
      <c r="D5" s="25">
        <v>1</v>
      </c>
      <c r="E5" s="220">
        <v>2.9</v>
      </c>
      <c r="F5" s="25">
        <v>23</v>
      </c>
      <c r="G5" s="25">
        <v>208</v>
      </c>
      <c r="H5" s="219" t="str">
        <f t="shared" ref="H5:H14" si="0">IF(OR(F5&gt;26,G5=208),"A",IF(G5=200,"B","C"))</f>
        <v>A</v>
      </c>
      <c r="I5" s="222">
        <f t="shared" ref="I5:I14" si="1">$M$2*E5</f>
        <v>841000</v>
      </c>
      <c r="J5" s="222">
        <f t="shared" ref="J5:J14" si="2">IF(H5="A",50000,IF(H5="B",0,-20000))</f>
        <v>50000</v>
      </c>
      <c r="K5" s="222">
        <f t="shared" ref="K5:K14" si="3">IF(C5=1,0,IF(AND(C5=0,D5&gt;=2),50000,IF(OR(C5=0,D5=1,D5=0),30000,0)))</f>
        <v>30000</v>
      </c>
      <c r="L5" s="146">
        <v>100000</v>
      </c>
      <c r="M5" s="620">
        <f t="shared" ref="M5:M14" si="4">SUM(I5:K5)-L5</f>
        <v>821000</v>
      </c>
    </row>
    <row r="6" spans="1:13">
      <c r="A6" s="23">
        <v>3</v>
      </c>
      <c r="B6" s="24" t="s">
        <v>49</v>
      </c>
      <c r="C6" s="25">
        <v>1</v>
      </c>
      <c r="D6" s="25">
        <v>1</v>
      </c>
      <c r="E6" s="220">
        <v>2.42</v>
      </c>
      <c r="F6" s="25">
        <v>21</v>
      </c>
      <c r="G6" s="25">
        <v>200</v>
      </c>
      <c r="H6" s="219" t="str">
        <f t="shared" si="0"/>
        <v>B</v>
      </c>
      <c r="I6" s="222">
        <f t="shared" si="1"/>
        <v>701800</v>
      </c>
      <c r="J6" s="222">
        <f t="shared" si="2"/>
        <v>0</v>
      </c>
      <c r="K6" s="222">
        <f t="shared" si="3"/>
        <v>0</v>
      </c>
      <c r="L6" s="146">
        <v>150000</v>
      </c>
      <c r="M6" s="620">
        <f t="shared" si="4"/>
        <v>551800</v>
      </c>
    </row>
    <row r="7" spans="1:13">
      <c r="A7" s="23">
        <v>4</v>
      </c>
      <c r="B7" s="24" t="s">
        <v>43</v>
      </c>
      <c r="C7" s="25">
        <v>0</v>
      </c>
      <c r="D7" s="25">
        <v>0</v>
      </c>
      <c r="E7" s="220">
        <v>3.1</v>
      </c>
      <c r="F7" s="25">
        <v>26</v>
      </c>
      <c r="G7" s="25">
        <v>208</v>
      </c>
      <c r="H7" s="219" t="str">
        <f t="shared" si="0"/>
        <v>A</v>
      </c>
      <c r="I7" s="222">
        <f t="shared" si="1"/>
        <v>899000</v>
      </c>
      <c r="J7" s="222">
        <f t="shared" si="2"/>
        <v>50000</v>
      </c>
      <c r="K7" s="222">
        <f t="shared" si="3"/>
        <v>30000</v>
      </c>
      <c r="L7" s="146">
        <v>150000</v>
      </c>
      <c r="M7" s="620">
        <f t="shared" si="4"/>
        <v>829000</v>
      </c>
    </row>
    <row r="8" spans="1:13">
      <c r="A8" s="23">
        <v>5</v>
      </c>
      <c r="B8" s="24" t="s">
        <v>35</v>
      </c>
      <c r="C8" s="25">
        <v>1</v>
      </c>
      <c r="D8" s="25">
        <v>2</v>
      </c>
      <c r="E8" s="220">
        <v>4.0999999999999996</v>
      </c>
      <c r="F8" s="25">
        <v>24</v>
      </c>
      <c r="G8" s="25">
        <v>200</v>
      </c>
      <c r="H8" s="219" t="str">
        <f t="shared" si="0"/>
        <v>B</v>
      </c>
      <c r="I8" s="222">
        <f t="shared" si="1"/>
        <v>1189000</v>
      </c>
      <c r="J8" s="222">
        <f t="shared" si="2"/>
        <v>0</v>
      </c>
      <c r="K8" s="222">
        <f t="shared" si="3"/>
        <v>0</v>
      </c>
      <c r="L8" s="146">
        <v>200000</v>
      </c>
      <c r="M8" s="620">
        <f t="shared" si="4"/>
        <v>989000</v>
      </c>
    </row>
    <row r="9" spans="1:13">
      <c r="A9" s="23">
        <v>6</v>
      </c>
      <c r="B9" s="24" t="s">
        <v>40</v>
      </c>
      <c r="C9" s="25">
        <v>0</v>
      </c>
      <c r="D9" s="25">
        <v>3</v>
      </c>
      <c r="E9" s="220">
        <v>2.5</v>
      </c>
      <c r="F9" s="25">
        <v>26</v>
      </c>
      <c r="G9" s="25">
        <v>200</v>
      </c>
      <c r="H9" s="219" t="str">
        <f t="shared" si="0"/>
        <v>B</v>
      </c>
      <c r="I9" s="222">
        <f t="shared" si="1"/>
        <v>725000</v>
      </c>
      <c r="J9" s="222">
        <f t="shared" si="2"/>
        <v>0</v>
      </c>
      <c r="K9" s="222">
        <f t="shared" si="3"/>
        <v>50000</v>
      </c>
      <c r="L9" s="146">
        <v>100000</v>
      </c>
      <c r="M9" s="620">
        <f t="shared" si="4"/>
        <v>675000</v>
      </c>
    </row>
    <row r="10" spans="1:13">
      <c r="A10" s="23">
        <v>7</v>
      </c>
      <c r="B10" s="24" t="s">
        <v>38</v>
      </c>
      <c r="C10" s="25">
        <v>0</v>
      </c>
      <c r="D10" s="25">
        <v>0</v>
      </c>
      <c r="E10" s="220">
        <v>3.46</v>
      </c>
      <c r="F10" s="25">
        <v>22</v>
      </c>
      <c r="G10" s="25">
        <v>198</v>
      </c>
      <c r="H10" s="219" t="str">
        <f t="shared" si="0"/>
        <v>C</v>
      </c>
      <c r="I10" s="222">
        <f t="shared" si="1"/>
        <v>1003400</v>
      </c>
      <c r="J10" s="222">
        <f t="shared" si="2"/>
        <v>-20000</v>
      </c>
      <c r="K10" s="222">
        <f t="shared" si="3"/>
        <v>30000</v>
      </c>
      <c r="L10" s="146">
        <v>250000</v>
      </c>
      <c r="M10" s="620">
        <f t="shared" si="4"/>
        <v>763400</v>
      </c>
    </row>
    <row r="11" spans="1:13">
      <c r="A11" s="23">
        <v>8</v>
      </c>
      <c r="B11" s="24" t="s">
        <v>42</v>
      </c>
      <c r="C11" s="25">
        <v>1</v>
      </c>
      <c r="D11" s="25">
        <v>2</v>
      </c>
      <c r="E11" s="220">
        <v>3.1</v>
      </c>
      <c r="F11" s="25">
        <v>24</v>
      </c>
      <c r="G11" s="25">
        <v>200</v>
      </c>
      <c r="H11" s="219" t="str">
        <f t="shared" si="0"/>
        <v>B</v>
      </c>
      <c r="I11" s="222">
        <f t="shared" si="1"/>
        <v>899000</v>
      </c>
      <c r="J11" s="222">
        <f t="shared" si="2"/>
        <v>0</v>
      </c>
      <c r="K11" s="222">
        <f t="shared" si="3"/>
        <v>0</v>
      </c>
      <c r="L11" s="146">
        <v>100000</v>
      </c>
      <c r="M11" s="620">
        <f t="shared" si="4"/>
        <v>799000</v>
      </c>
    </row>
    <row r="12" spans="1:13">
      <c r="A12" s="23">
        <v>9</v>
      </c>
      <c r="B12" s="24" t="s">
        <v>36</v>
      </c>
      <c r="C12" s="25">
        <v>1</v>
      </c>
      <c r="D12" s="25">
        <v>1</v>
      </c>
      <c r="E12" s="220">
        <v>5.0999999999999996</v>
      </c>
      <c r="F12" s="25">
        <v>26</v>
      </c>
      <c r="G12" s="25">
        <v>198</v>
      </c>
      <c r="H12" s="219" t="str">
        <f t="shared" si="0"/>
        <v>C</v>
      </c>
      <c r="I12" s="222">
        <f t="shared" si="1"/>
        <v>1479000</v>
      </c>
      <c r="J12" s="222">
        <f t="shared" si="2"/>
        <v>-20000</v>
      </c>
      <c r="K12" s="222">
        <f t="shared" si="3"/>
        <v>0</v>
      </c>
      <c r="L12" s="146">
        <v>500000</v>
      </c>
      <c r="M12" s="620">
        <f t="shared" si="4"/>
        <v>959000</v>
      </c>
    </row>
    <row r="13" spans="1:13">
      <c r="A13" s="23">
        <v>10</v>
      </c>
      <c r="B13" s="24" t="s">
        <v>31</v>
      </c>
      <c r="C13" s="25">
        <v>1</v>
      </c>
      <c r="D13" s="25">
        <v>1</v>
      </c>
      <c r="E13" s="220">
        <v>2.98</v>
      </c>
      <c r="F13" s="25">
        <v>26</v>
      </c>
      <c r="G13" s="25">
        <v>208</v>
      </c>
      <c r="H13" s="219" t="str">
        <f t="shared" si="0"/>
        <v>A</v>
      </c>
      <c r="I13" s="222">
        <f t="shared" si="1"/>
        <v>864200</v>
      </c>
      <c r="J13" s="222">
        <f t="shared" si="2"/>
        <v>50000</v>
      </c>
      <c r="K13" s="222">
        <f t="shared" si="3"/>
        <v>0</v>
      </c>
      <c r="L13" s="146">
        <v>200000</v>
      </c>
      <c r="M13" s="620">
        <f t="shared" si="4"/>
        <v>714200</v>
      </c>
    </row>
    <row r="14" spans="1:13" ht="16.5" thickBot="1">
      <c r="A14" s="99">
        <v>11</v>
      </c>
      <c r="B14" s="101" t="s">
        <v>44</v>
      </c>
      <c r="C14" s="100">
        <v>1</v>
      </c>
      <c r="D14" s="100">
        <v>0</v>
      </c>
      <c r="E14" s="221">
        <v>3.32</v>
      </c>
      <c r="F14" s="100">
        <v>25</v>
      </c>
      <c r="G14" s="100">
        <v>208</v>
      </c>
      <c r="H14" s="219" t="str">
        <f t="shared" si="0"/>
        <v>A</v>
      </c>
      <c r="I14" s="222">
        <f t="shared" si="1"/>
        <v>962800</v>
      </c>
      <c r="J14" s="222">
        <f t="shared" si="2"/>
        <v>50000</v>
      </c>
      <c r="K14" s="222">
        <f t="shared" si="3"/>
        <v>0</v>
      </c>
      <c r="L14" s="155">
        <v>150000</v>
      </c>
      <c r="M14" s="620">
        <f t="shared" si="4"/>
        <v>862800</v>
      </c>
    </row>
    <row r="15" spans="1:13" ht="21" customHeight="1" thickTop="1" thickBot="1">
      <c r="A15" s="984" t="s">
        <v>254</v>
      </c>
      <c r="B15" s="985"/>
      <c r="C15" s="985"/>
      <c r="D15" s="985"/>
      <c r="E15" s="985"/>
      <c r="F15" s="985"/>
      <c r="G15" s="985"/>
      <c r="H15" s="986"/>
      <c r="I15" s="158">
        <f>SUM(I4:I14)</f>
        <v>10289200</v>
      </c>
      <c r="J15" s="158">
        <f t="shared" ref="J15:M15" si="5">SUM(J4:J14)</f>
        <v>160000</v>
      </c>
      <c r="K15" s="158">
        <f t="shared" si="5"/>
        <v>140000</v>
      </c>
      <c r="L15" s="158">
        <f t="shared" si="5"/>
        <v>2050000</v>
      </c>
      <c r="M15" s="158">
        <f t="shared" si="5"/>
        <v>8539200</v>
      </c>
    </row>
    <row r="16" spans="1:13" ht="16.5" thickTop="1">
      <c r="A16" s="12" t="s">
        <v>7</v>
      </c>
    </row>
    <row r="18" spans="1:2">
      <c r="A18" s="26" t="s">
        <v>2454</v>
      </c>
      <c r="B18" s="26"/>
    </row>
    <row r="19" spans="1:2">
      <c r="A19" s="26"/>
      <c r="B19" s="26" t="s">
        <v>272</v>
      </c>
    </row>
    <row r="20" spans="1:2">
      <c r="A20" s="26" t="s">
        <v>37</v>
      </c>
      <c r="B20" s="26"/>
    </row>
    <row r="21" spans="1:2">
      <c r="A21" s="26"/>
      <c r="B21" s="26" t="s">
        <v>48</v>
      </c>
    </row>
    <row r="22" spans="1:2">
      <c r="A22" s="26" t="s">
        <v>32</v>
      </c>
      <c r="B22" s="26"/>
    </row>
    <row r="23" spans="1:2">
      <c r="A23" s="26"/>
      <c r="B23" s="26" t="s">
        <v>50</v>
      </c>
    </row>
    <row r="24" spans="1:2">
      <c r="A24" s="26"/>
      <c r="B24" s="26" t="s">
        <v>51</v>
      </c>
    </row>
    <row r="25" spans="1:2">
      <c r="A25" s="26" t="s">
        <v>53</v>
      </c>
      <c r="B25" s="26"/>
    </row>
    <row r="26" spans="1:2">
      <c r="A26" s="190" t="s">
        <v>46</v>
      </c>
      <c r="B26" s="26"/>
    </row>
    <row r="27" spans="1:2">
      <c r="A27" s="26" t="s">
        <v>16</v>
      </c>
    </row>
  </sheetData>
  <mergeCells count="2">
    <mergeCell ref="A1:M1"/>
    <mergeCell ref="A15:H15"/>
  </mergeCells>
  <phoneticPr fontId="0" type="noConversion"/>
  <pageMargins left="0.75" right="0.75" top="1" bottom="1" header="0.5" footer="0.5"/>
  <pageSetup paperSize="9" orientation="landscape" r:id="rId1"/>
  <headerFooter alignWithMargins="0">
    <oddFooter>&amp;R&amp;A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I34"/>
  <sheetViews>
    <sheetView showGridLines="0" topLeftCell="A16" workbookViewId="0">
      <selection activeCell="F4" sqref="F4"/>
    </sheetView>
  </sheetViews>
  <sheetFormatPr defaultRowHeight="15.75"/>
  <cols>
    <col min="1" max="1" width="4" style="12" customWidth="1"/>
    <col min="2" max="2" width="16.5" style="12" customWidth="1"/>
    <col min="3" max="3" width="9.875" style="12" bestFit="1" customWidth="1"/>
    <col min="4" max="4" width="11.25" style="12" customWidth="1"/>
    <col min="5" max="8" width="9" style="12" customWidth="1"/>
    <col min="9" max="10" width="9.875" style="12" bestFit="1" customWidth="1"/>
    <col min="11" max="16384" width="9" style="12"/>
  </cols>
  <sheetData>
    <row r="1" spans="1:9" ht="24" customHeight="1">
      <c r="A1" s="927" t="s">
        <v>74</v>
      </c>
      <c r="B1" s="927"/>
      <c r="C1" s="927"/>
      <c r="D1" s="927"/>
      <c r="E1" s="927"/>
      <c r="F1" s="927"/>
      <c r="G1" s="927"/>
      <c r="H1" s="927"/>
    </row>
    <row r="2" spans="1:9" ht="18.75" customHeight="1" thickBot="1">
      <c r="A2" s="926" t="s">
        <v>56</v>
      </c>
      <c r="B2" s="926"/>
      <c r="C2" s="926"/>
      <c r="D2" s="926"/>
      <c r="E2" s="926"/>
      <c r="F2" s="926"/>
      <c r="G2" s="926"/>
      <c r="H2" s="926"/>
    </row>
    <row r="3" spans="1:9" ht="17.25" thickTop="1" thickBot="1">
      <c r="A3" s="14" t="s">
        <v>842</v>
      </c>
      <c r="B3" s="15" t="s">
        <v>589</v>
      </c>
      <c r="C3" s="15" t="s">
        <v>68</v>
      </c>
      <c r="D3" s="15" t="s">
        <v>61</v>
      </c>
      <c r="E3" s="15" t="s">
        <v>65</v>
      </c>
      <c r="F3" s="15" t="s">
        <v>58</v>
      </c>
      <c r="G3" s="15" t="s">
        <v>59</v>
      </c>
      <c r="H3" s="16" t="s">
        <v>71</v>
      </c>
    </row>
    <row r="4" spans="1:9" ht="16.5" thickTop="1">
      <c r="A4" s="17">
        <v>1</v>
      </c>
      <c r="B4" s="624" t="s">
        <v>75</v>
      </c>
      <c r="C4" s="255">
        <v>28685</v>
      </c>
      <c r="D4" s="19" t="s">
        <v>206</v>
      </c>
      <c r="E4" s="615">
        <f>VLOOKUP(H4,$B$16:$F$24,5,0)</f>
        <v>8.3333333333333339</v>
      </c>
      <c r="F4" s="222">
        <f ca="1">YEAR(TODAY())-YEAR(C4)</f>
        <v>41</v>
      </c>
      <c r="G4" s="222">
        <f ca="1">IF(AND(E4&gt;=9,F4&lt;=23),500000,IF(AND(E4&lt;9,E4&gt;=8,F4&gt;23,F4&lt;=25),300000,0))</f>
        <v>0</v>
      </c>
      <c r="H4" s="249" t="s">
        <v>1129</v>
      </c>
      <c r="I4" s="223"/>
    </row>
    <row r="5" spans="1:9">
      <c r="A5" s="23">
        <v>2</v>
      </c>
      <c r="B5" s="625" t="s">
        <v>63</v>
      </c>
      <c r="C5" s="256">
        <v>29138</v>
      </c>
      <c r="D5" s="25" t="s">
        <v>79</v>
      </c>
      <c r="E5" s="615">
        <f t="shared" ref="E5:E13" si="0">VLOOKUP(H5,$B$16:$F$24,5,0)</f>
        <v>9.3333333333333339</v>
      </c>
      <c r="F5" s="222">
        <f t="shared" ref="F5:F13" ca="1" si="1">YEAR(TODAY())-YEAR(C5)</f>
        <v>40</v>
      </c>
      <c r="G5" s="222">
        <f t="shared" ref="G5:G13" ca="1" si="2">IF(AND(E5&gt;=9,F5&lt;=23),500000,IF(AND(E5&lt;9,E5&gt;=8,F5&gt;23,F5&lt;=25),300000,0))</f>
        <v>0</v>
      </c>
      <c r="H5" s="250" t="s">
        <v>1130</v>
      </c>
      <c r="I5" s="223"/>
    </row>
    <row r="6" spans="1:9">
      <c r="A6" s="23">
        <v>3</v>
      </c>
      <c r="B6" s="625" t="s">
        <v>82</v>
      </c>
      <c r="C6" s="256">
        <v>30124</v>
      </c>
      <c r="D6" s="25" t="s">
        <v>203</v>
      </c>
      <c r="E6" s="615">
        <f t="shared" si="0"/>
        <v>7.166666666666667</v>
      </c>
      <c r="F6" s="222">
        <f t="shared" ca="1" si="1"/>
        <v>37</v>
      </c>
      <c r="G6" s="222">
        <f t="shared" ca="1" si="2"/>
        <v>0</v>
      </c>
      <c r="H6" s="250" t="s">
        <v>1131</v>
      </c>
      <c r="I6" s="223"/>
    </row>
    <row r="7" spans="1:9">
      <c r="A7" s="23">
        <v>4</v>
      </c>
      <c r="B7" s="625" t="s">
        <v>57</v>
      </c>
      <c r="C7" s="256">
        <v>29229</v>
      </c>
      <c r="D7" s="25" t="s">
        <v>79</v>
      </c>
      <c r="E7" s="615">
        <f t="shared" si="0"/>
        <v>6.2</v>
      </c>
      <c r="F7" s="222">
        <f t="shared" ca="1" si="1"/>
        <v>39</v>
      </c>
      <c r="G7" s="222">
        <f t="shared" ca="1" si="2"/>
        <v>0</v>
      </c>
      <c r="H7" s="250" t="s">
        <v>1132</v>
      </c>
      <c r="I7" s="223"/>
    </row>
    <row r="8" spans="1:9">
      <c r="A8" s="23">
        <v>5</v>
      </c>
      <c r="B8" s="625" t="s">
        <v>55</v>
      </c>
      <c r="C8" s="256">
        <v>29670</v>
      </c>
      <c r="D8" s="25" t="s">
        <v>79</v>
      </c>
      <c r="E8" s="615">
        <f t="shared" si="0"/>
        <v>8.1333333333333329</v>
      </c>
      <c r="F8" s="222">
        <f t="shared" ca="1" si="1"/>
        <v>38</v>
      </c>
      <c r="G8" s="222">
        <f t="shared" ca="1" si="2"/>
        <v>0</v>
      </c>
      <c r="H8" s="250" t="s">
        <v>1133</v>
      </c>
      <c r="I8" s="223"/>
    </row>
    <row r="9" spans="1:9">
      <c r="A9" s="23">
        <v>6</v>
      </c>
      <c r="B9" s="625" t="s">
        <v>64</v>
      </c>
      <c r="C9" s="256">
        <v>29785</v>
      </c>
      <c r="D9" s="25" t="s">
        <v>62</v>
      </c>
      <c r="E9" s="615">
        <f t="shared" si="0"/>
        <v>9.0333333333333332</v>
      </c>
      <c r="F9" s="222">
        <f t="shared" ca="1" si="1"/>
        <v>38</v>
      </c>
      <c r="G9" s="222">
        <f t="shared" ca="1" si="2"/>
        <v>0</v>
      </c>
      <c r="H9" s="250" t="s">
        <v>1134</v>
      </c>
      <c r="I9" s="223"/>
    </row>
    <row r="10" spans="1:9">
      <c r="A10" s="23">
        <v>7</v>
      </c>
      <c r="B10" s="625" t="s">
        <v>73</v>
      </c>
      <c r="C10" s="256">
        <v>29258</v>
      </c>
      <c r="D10" s="25" t="s">
        <v>203</v>
      </c>
      <c r="E10" s="615">
        <f t="shared" si="0"/>
        <v>5.666666666666667</v>
      </c>
      <c r="F10" s="222">
        <f t="shared" ca="1" si="1"/>
        <v>39</v>
      </c>
      <c r="G10" s="222">
        <f t="shared" ca="1" si="2"/>
        <v>0</v>
      </c>
      <c r="H10" s="250" t="s">
        <v>1135</v>
      </c>
      <c r="I10" s="223"/>
    </row>
    <row r="11" spans="1:9">
      <c r="A11" s="23">
        <v>8</v>
      </c>
      <c r="B11" s="625" t="s">
        <v>76</v>
      </c>
      <c r="C11" s="256">
        <v>30235</v>
      </c>
      <c r="D11" s="25" t="s">
        <v>205</v>
      </c>
      <c r="E11" s="615">
        <f t="shared" si="0"/>
        <v>8.1333333333333329</v>
      </c>
      <c r="F11" s="222">
        <f t="shared" ca="1" si="1"/>
        <v>37</v>
      </c>
      <c r="G11" s="222">
        <f t="shared" ca="1" si="2"/>
        <v>0</v>
      </c>
      <c r="H11" s="250" t="s">
        <v>1133</v>
      </c>
      <c r="I11" s="223"/>
    </row>
    <row r="12" spans="1:9">
      <c r="A12" s="23">
        <v>9</v>
      </c>
      <c r="B12" s="625" t="s">
        <v>77</v>
      </c>
      <c r="C12" s="256">
        <v>29000</v>
      </c>
      <c r="D12" s="25" t="s">
        <v>1128</v>
      </c>
      <c r="E12" s="615">
        <f t="shared" si="0"/>
        <v>6.2</v>
      </c>
      <c r="F12" s="222">
        <f t="shared" ca="1" si="1"/>
        <v>40</v>
      </c>
      <c r="G12" s="222">
        <f t="shared" ca="1" si="2"/>
        <v>0</v>
      </c>
      <c r="H12" s="250" t="s">
        <v>1132</v>
      </c>
      <c r="I12" s="223"/>
    </row>
    <row r="13" spans="1:9" ht="16.5" thickBot="1">
      <c r="A13" s="79">
        <v>10</v>
      </c>
      <c r="B13" s="626" t="s">
        <v>78</v>
      </c>
      <c r="C13" s="257">
        <v>28789</v>
      </c>
      <c r="D13" s="153" t="s">
        <v>54</v>
      </c>
      <c r="E13" s="615">
        <f t="shared" si="0"/>
        <v>5.666666666666667</v>
      </c>
      <c r="F13" s="222">
        <f t="shared" ca="1" si="1"/>
        <v>41</v>
      </c>
      <c r="G13" s="222">
        <f t="shared" ca="1" si="2"/>
        <v>0</v>
      </c>
      <c r="H13" s="251" t="s">
        <v>1136</v>
      </c>
      <c r="I13" s="223"/>
    </row>
    <row r="14" spans="1:9" ht="16.5" thickTop="1">
      <c r="G14" s="12" t="str">
        <f t="shared" ref="G14" si="3">IF(AND(E14&gt;=9,F14&lt;=23),50000,IF(AND(OR(E14&gt;=8,E14&lt;9),AND(F14&gt;=23,F14&lt;25)),30000,""))</f>
        <v/>
      </c>
    </row>
    <row r="15" spans="1:9" ht="16.5" thickBot="1">
      <c r="B15" s="946" t="s">
        <v>60</v>
      </c>
      <c r="C15" s="946"/>
      <c r="D15" s="946"/>
      <c r="E15" s="946"/>
      <c r="F15" s="946"/>
    </row>
    <row r="16" spans="1:9" ht="17.25" thickTop="1" thickBot="1">
      <c r="B16" s="14" t="s">
        <v>71</v>
      </c>
      <c r="C16" s="15" t="s">
        <v>66</v>
      </c>
      <c r="D16" s="15" t="s">
        <v>72</v>
      </c>
      <c r="E16" s="15" t="s">
        <v>67</v>
      </c>
      <c r="F16" s="16" t="s">
        <v>65</v>
      </c>
      <c r="H16" s="224" t="s">
        <v>59</v>
      </c>
    </row>
    <row r="17" spans="1:8" ht="15" customHeight="1" thickTop="1">
      <c r="B17" s="17" t="s">
        <v>1129</v>
      </c>
      <c r="C17" s="19">
        <v>9</v>
      </c>
      <c r="D17" s="19">
        <v>8</v>
      </c>
      <c r="E17" s="19">
        <v>8</v>
      </c>
      <c r="F17" s="627">
        <f>AVERAGE(C17:E17)</f>
        <v>8.3333333333333339</v>
      </c>
      <c r="H17" s="225">
        <v>500000</v>
      </c>
    </row>
    <row r="18" spans="1:8">
      <c r="B18" s="23" t="s">
        <v>1130</v>
      </c>
      <c r="C18" s="25">
        <v>8</v>
      </c>
      <c r="D18" s="25">
        <v>10</v>
      </c>
      <c r="E18" s="25">
        <v>10</v>
      </c>
      <c r="F18" s="627">
        <f t="shared" ref="F18:F24" si="4">AVERAGE(C18:E18)</f>
        <v>9.3333333333333339</v>
      </c>
      <c r="G18" s="226"/>
      <c r="H18" s="226"/>
    </row>
    <row r="19" spans="1:8">
      <c r="B19" s="23" t="s">
        <v>1136</v>
      </c>
      <c r="C19" s="25">
        <v>7</v>
      </c>
      <c r="D19" s="25">
        <v>3</v>
      </c>
      <c r="E19" s="25">
        <v>7</v>
      </c>
      <c r="F19" s="627">
        <f t="shared" si="4"/>
        <v>5.666666666666667</v>
      </c>
    </row>
    <row r="20" spans="1:8">
      <c r="B20" s="23" t="s">
        <v>1132</v>
      </c>
      <c r="C20" s="25">
        <v>6</v>
      </c>
      <c r="D20" s="25">
        <v>9.6</v>
      </c>
      <c r="E20" s="25">
        <v>3</v>
      </c>
      <c r="F20" s="627">
        <f t="shared" si="4"/>
        <v>6.2</v>
      </c>
    </row>
    <row r="21" spans="1:8">
      <c r="B21" s="23" t="s">
        <v>1131</v>
      </c>
      <c r="C21" s="25">
        <v>10</v>
      </c>
      <c r="D21" s="25">
        <v>6.5</v>
      </c>
      <c r="E21" s="25">
        <v>5</v>
      </c>
      <c r="F21" s="627">
        <f t="shared" si="4"/>
        <v>7.166666666666667</v>
      </c>
    </row>
    <row r="22" spans="1:8">
      <c r="B22" s="23" t="s">
        <v>1133</v>
      </c>
      <c r="C22" s="25">
        <v>7.5</v>
      </c>
      <c r="D22" s="25">
        <v>9</v>
      </c>
      <c r="E22" s="25">
        <v>7.9</v>
      </c>
      <c r="F22" s="627">
        <f t="shared" si="4"/>
        <v>8.1333333333333329</v>
      </c>
    </row>
    <row r="23" spans="1:8">
      <c r="B23" s="23" t="s">
        <v>1134</v>
      </c>
      <c r="C23" s="25">
        <v>8.6</v>
      </c>
      <c r="D23" s="25">
        <v>10</v>
      </c>
      <c r="E23" s="25">
        <v>8.5</v>
      </c>
      <c r="F23" s="627">
        <f t="shared" si="4"/>
        <v>9.0333333333333332</v>
      </c>
    </row>
    <row r="24" spans="1:8" ht="16.5" thickBot="1">
      <c r="B24" s="79" t="s">
        <v>1135</v>
      </c>
      <c r="C24" s="153">
        <v>5.7</v>
      </c>
      <c r="D24" s="153">
        <v>6.8</v>
      </c>
      <c r="E24" s="153">
        <v>4.5</v>
      </c>
      <c r="F24" s="627">
        <f t="shared" si="4"/>
        <v>5.666666666666667</v>
      </c>
    </row>
    <row r="25" spans="1:8" ht="16.5" thickTop="1"/>
    <row r="26" spans="1:8">
      <c r="A26" s="26" t="s">
        <v>83</v>
      </c>
      <c r="B26" s="26"/>
    </row>
    <row r="27" spans="1:8">
      <c r="A27" s="26" t="s">
        <v>84</v>
      </c>
      <c r="B27" s="26"/>
    </row>
    <row r="28" spans="1:8">
      <c r="A28" s="26" t="s">
        <v>85</v>
      </c>
      <c r="B28" s="26"/>
    </row>
    <row r="29" spans="1:8">
      <c r="A29" s="26"/>
      <c r="B29" s="26" t="s">
        <v>69</v>
      </c>
    </row>
    <row r="30" spans="1:8">
      <c r="A30" s="26"/>
      <c r="B30" s="26" t="s">
        <v>70</v>
      </c>
    </row>
    <row r="31" spans="1:8">
      <c r="A31" s="26"/>
      <c r="B31" s="26" t="s">
        <v>81</v>
      </c>
    </row>
    <row r="32" spans="1:8">
      <c r="A32" s="26" t="s">
        <v>86</v>
      </c>
      <c r="B32" s="26"/>
    </row>
    <row r="33" spans="1:2">
      <c r="A33" s="26"/>
      <c r="B33" s="26" t="s">
        <v>80</v>
      </c>
    </row>
    <row r="34" spans="1:2">
      <c r="A34" s="26"/>
      <c r="B34" s="26"/>
    </row>
  </sheetData>
  <mergeCells count="3">
    <mergeCell ref="A1:H1"/>
    <mergeCell ref="A2:H2"/>
    <mergeCell ref="B15:F15"/>
  </mergeCells>
  <phoneticPr fontId="0" type="noConversion"/>
  <pageMargins left="0.75" right="0.75" top="1" bottom="1" header="0.5" footer="0.5"/>
  <pageSetup paperSize="9" orientation="portrait" r:id="rId1"/>
  <headerFooter alignWithMargins="0">
    <oddFooter>&amp;R&amp;A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30"/>
  <sheetViews>
    <sheetView showGridLines="0" topLeftCell="A13" zoomScaleNormal="100" workbookViewId="0">
      <selection activeCell="E14" sqref="E14"/>
    </sheetView>
  </sheetViews>
  <sheetFormatPr defaultRowHeight="15.75"/>
  <cols>
    <col min="1" max="1" width="4.75" style="12" customWidth="1"/>
    <col min="2" max="2" width="16.875" style="12" customWidth="1"/>
    <col min="3" max="3" width="5.625" style="12" customWidth="1"/>
    <col min="4" max="4" width="5.375" style="12" customWidth="1"/>
    <col min="5" max="5" width="9.375" style="12" customWidth="1"/>
    <col min="6" max="6" width="9" style="12" customWidth="1"/>
    <col min="7" max="7" width="6.75" style="12" customWidth="1"/>
    <col min="8" max="8" width="6.25" style="12" customWidth="1"/>
    <col min="9" max="9" width="6.5" style="12" customWidth="1"/>
    <col min="10" max="10" width="6.375" style="12" customWidth="1"/>
    <col min="11" max="11" width="10.75" style="12" customWidth="1"/>
    <col min="12" max="16384" width="9" style="12"/>
  </cols>
  <sheetData>
    <row r="1" spans="1:11" ht="24" customHeight="1" thickBot="1">
      <c r="A1" s="926" t="s">
        <v>97</v>
      </c>
      <c r="B1" s="926"/>
      <c r="C1" s="926"/>
      <c r="D1" s="926"/>
      <c r="E1" s="926"/>
      <c r="F1" s="926"/>
      <c r="G1" s="926"/>
      <c r="H1" s="926"/>
      <c r="I1" s="926"/>
      <c r="J1" s="926"/>
      <c r="K1" s="926"/>
    </row>
    <row r="2" spans="1:11" s="108" customFormat="1" ht="30" customHeight="1" thickTop="1" thickBot="1">
      <c r="A2" s="73" t="s">
        <v>1017</v>
      </c>
      <c r="B2" s="74" t="s">
        <v>589</v>
      </c>
      <c r="C2" s="74" t="s">
        <v>41</v>
      </c>
      <c r="D2" s="74" t="s">
        <v>87</v>
      </c>
      <c r="E2" s="74" t="s">
        <v>849</v>
      </c>
      <c r="F2" s="74" t="s">
        <v>1138</v>
      </c>
      <c r="G2" s="74" t="s">
        <v>851</v>
      </c>
      <c r="H2" s="74" t="s">
        <v>102</v>
      </c>
      <c r="I2" s="74" t="s">
        <v>111</v>
      </c>
      <c r="J2" s="74" t="s">
        <v>88</v>
      </c>
      <c r="K2" s="75" t="s">
        <v>649</v>
      </c>
    </row>
    <row r="3" spans="1:11" ht="16.5" thickTop="1">
      <c r="A3" s="17">
        <v>1</v>
      </c>
      <c r="B3" s="18" t="s">
        <v>106</v>
      </c>
      <c r="C3" s="18" t="s">
        <v>1137</v>
      </c>
      <c r="D3" s="19">
        <v>1970</v>
      </c>
      <c r="E3" s="628">
        <v>19</v>
      </c>
      <c r="F3" s="19">
        <v>18</v>
      </c>
      <c r="G3" s="19">
        <v>17</v>
      </c>
      <c r="H3" s="219">
        <f>IF(D3&gt;1972,0.75,IF(AND(D3&lt;=1972,C3=$C$6),0.5,0))</f>
        <v>0</v>
      </c>
      <c r="I3" s="317">
        <f>(E3+F3+G3*3)/5</f>
        <v>17.600000000000001</v>
      </c>
      <c r="J3" s="317">
        <f>IF(I3&gt;=10,I3,I3+H3)</f>
        <v>17.600000000000001</v>
      </c>
      <c r="K3" s="164" t="str">
        <f>IF(J3&lt;10,"Thi lai",IF(J3&gt;=10,"TB",IF(AND(J3&gt;=14,J3&lt;18),"Kha",IF(AND(J3&gt;=18,J3&lt;20),"Gioi","XS"))))</f>
        <v>TB</v>
      </c>
    </row>
    <row r="4" spans="1:11">
      <c r="A4" s="23">
        <v>2</v>
      </c>
      <c r="B4" s="24" t="s">
        <v>93</v>
      </c>
      <c r="C4" s="24" t="s">
        <v>1137</v>
      </c>
      <c r="D4" s="25">
        <v>1974</v>
      </c>
      <c r="E4" s="629">
        <v>9</v>
      </c>
      <c r="F4" s="25">
        <v>14</v>
      </c>
      <c r="G4" s="25">
        <v>8</v>
      </c>
      <c r="H4" s="219">
        <f t="shared" ref="H4:H12" si="0">IF(D4&gt;1972,0.75,IF(AND(D4&lt;=1972,C4=$C$6),0.5,0))</f>
        <v>0.75</v>
      </c>
      <c r="I4" s="866">
        <f t="shared" ref="I4:I12" si="1">(E4+F4+G4*3)/5</f>
        <v>9.4</v>
      </c>
      <c r="J4" s="866">
        <f t="shared" ref="J4:J12" si="2">IF(I4&gt;=10,I4,I4+H4)</f>
        <v>10.15</v>
      </c>
      <c r="K4" s="164" t="str">
        <f t="shared" ref="K4:K12" si="3">IF(J4&lt;10,"Thi lai",IF(J4&gt;=10,"TB",IF(AND(J4&gt;=14,J4&lt;18),"Kha",IF(AND(J4&gt;=18,J4&lt;20),"Gioi","XS"))))</f>
        <v>TB</v>
      </c>
    </row>
    <row r="5" spans="1:11">
      <c r="A5" s="23">
        <v>3</v>
      </c>
      <c r="B5" s="24" t="s">
        <v>96</v>
      </c>
      <c r="C5" s="24" t="s">
        <v>1137</v>
      </c>
      <c r="D5" s="25">
        <v>1968</v>
      </c>
      <c r="E5" s="629">
        <v>16</v>
      </c>
      <c r="F5" s="25">
        <v>17</v>
      </c>
      <c r="G5" s="25">
        <v>18</v>
      </c>
      <c r="H5" s="219">
        <f t="shared" si="0"/>
        <v>0</v>
      </c>
      <c r="I5" s="866">
        <f t="shared" si="1"/>
        <v>17.399999999999999</v>
      </c>
      <c r="J5" s="866">
        <f t="shared" si="2"/>
        <v>17.399999999999999</v>
      </c>
      <c r="K5" s="164" t="str">
        <f t="shared" si="3"/>
        <v>TB</v>
      </c>
    </row>
    <row r="6" spans="1:11">
      <c r="A6" s="23">
        <v>4</v>
      </c>
      <c r="B6" s="24" t="s">
        <v>103</v>
      </c>
      <c r="C6" s="24" t="s">
        <v>94</v>
      </c>
      <c r="D6" s="25">
        <v>1972</v>
      </c>
      <c r="E6" s="629">
        <v>7</v>
      </c>
      <c r="F6" s="25">
        <v>12</v>
      </c>
      <c r="G6" s="25">
        <v>14</v>
      </c>
      <c r="H6" s="219">
        <f t="shared" si="0"/>
        <v>0.5</v>
      </c>
      <c r="I6" s="866">
        <f t="shared" si="1"/>
        <v>12.2</v>
      </c>
      <c r="J6" s="866">
        <f t="shared" si="2"/>
        <v>12.2</v>
      </c>
      <c r="K6" s="164" t="str">
        <f t="shared" si="3"/>
        <v>TB</v>
      </c>
    </row>
    <row r="7" spans="1:11">
      <c r="A7" s="23">
        <v>5</v>
      </c>
      <c r="B7" s="24" t="s">
        <v>108</v>
      </c>
      <c r="C7" s="24" t="s">
        <v>1137</v>
      </c>
      <c r="D7" s="25">
        <v>1968</v>
      </c>
      <c r="E7" s="629">
        <v>10</v>
      </c>
      <c r="F7" s="25">
        <v>8</v>
      </c>
      <c r="G7" s="25">
        <v>9</v>
      </c>
      <c r="H7" s="219">
        <f t="shared" si="0"/>
        <v>0</v>
      </c>
      <c r="I7" s="866">
        <f t="shared" si="1"/>
        <v>9</v>
      </c>
      <c r="J7" s="866">
        <f t="shared" si="2"/>
        <v>9</v>
      </c>
      <c r="K7" s="164" t="str">
        <f t="shared" si="3"/>
        <v>Thi lai</v>
      </c>
    </row>
    <row r="8" spans="1:11">
      <c r="A8" s="23">
        <v>6</v>
      </c>
      <c r="B8" s="24" t="s">
        <v>110</v>
      </c>
      <c r="C8" s="24" t="s">
        <v>94</v>
      </c>
      <c r="D8" s="25">
        <v>1974</v>
      </c>
      <c r="E8" s="629">
        <v>14</v>
      </c>
      <c r="F8" s="25">
        <v>15</v>
      </c>
      <c r="G8" s="25">
        <v>12</v>
      </c>
      <c r="H8" s="219">
        <f t="shared" si="0"/>
        <v>0.75</v>
      </c>
      <c r="I8" s="866">
        <f t="shared" si="1"/>
        <v>13</v>
      </c>
      <c r="J8" s="866">
        <f t="shared" si="2"/>
        <v>13</v>
      </c>
      <c r="K8" s="164" t="str">
        <f t="shared" si="3"/>
        <v>TB</v>
      </c>
    </row>
    <row r="9" spans="1:11">
      <c r="A9" s="23">
        <v>7</v>
      </c>
      <c r="B9" s="24" t="s">
        <v>100</v>
      </c>
      <c r="C9" s="24" t="s">
        <v>94</v>
      </c>
      <c r="D9" s="25">
        <v>1971</v>
      </c>
      <c r="E9" s="629">
        <v>11</v>
      </c>
      <c r="F9" s="25">
        <v>18</v>
      </c>
      <c r="G9" s="25">
        <v>19</v>
      </c>
      <c r="H9" s="219">
        <f t="shared" si="0"/>
        <v>0.5</v>
      </c>
      <c r="I9" s="866">
        <f t="shared" si="1"/>
        <v>17.2</v>
      </c>
      <c r="J9" s="866">
        <f t="shared" si="2"/>
        <v>17.2</v>
      </c>
      <c r="K9" s="164" t="str">
        <f t="shared" si="3"/>
        <v>TB</v>
      </c>
    </row>
    <row r="10" spans="1:11">
      <c r="A10" s="23">
        <v>8</v>
      </c>
      <c r="B10" s="24" t="s">
        <v>95</v>
      </c>
      <c r="C10" s="24" t="s">
        <v>1137</v>
      </c>
      <c r="D10" s="25">
        <v>1974</v>
      </c>
      <c r="E10" s="629">
        <v>15</v>
      </c>
      <c r="F10" s="25">
        <v>10</v>
      </c>
      <c r="G10" s="25">
        <v>12</v>
      </c>
      <c r="H10" s="219">
        <f t="shared" si="0"/>
        <v>0.75</v>
      </c>
      <c r="I10" s="866">
        <f t="shared" si="1"/>
        <v>12.2</v>
      </c>
      <c r="J10" s="866">
        <f t="shared" si="2"/>
        <v>12.2</v>
      </c>
      <c r="K10" s="164" t="str">
        <f t="shared" si="3"/>
        <v>TB</v>
      </c>
    </row>
    <row r="11" spans="1:11">
      <c r="A11" s="23">
        <v>9</v>
      </c>
      <c r="B11" s="24" t="s">
        <v>98</v>
      </c>
      <c r="C11" s="24" t="s">
        <v>1137</v>
      </c>
      <c r="D11" s="25">
        <v>1969</v>
      </c>
      <c r="E11" s="629">
        <v>7</v>
      </c>
      <c r="F11" s="25">
        <v>13</v>
      </c>
      <c r="G11" s="25">
        <v>12</v>
      </c>
      <c r="H11" s="219">
        <f t="shared" si="0"/>
        <v>0</v>
      </c>
      <c r="I11" s="866">
        <f t="shared" si="1"/>
        <v>11.2</v>
      </c>
      <c r="J11" s="866">
        <f t="shared" si="2"/>
        <v>11.2</v>
      </c>
      <c r="K11" s="164" t="str">
        <f t="shared" si="3"/>
        <v>TB</v>
      </c>
    </row>
    <row r="12" spans="1:11" ht="16.5" thickBot="1">
      <c r="A12" s="99">
        <v>10</v>
      </c>
      <c r="B12" s="101" t="s">
        <v>101</v>
      </c>
      <c r="C12" s="101" t="s">
        <v>94</v>
      </c>
      <c r="D12" s="100">
        <v>1973</v>
      </c>
      <c r="E12" s="630">
        <v>6</v>
      </c>
      <c r="F12" s="100">
        <v>14</v>
      </c>
      <c r="G12" s="100">
        <v>11</v>
      </c>
      <c r="H12" s="219">
        <f t="shared" si="0"/>
        <v>0.75</v>
      </c>
      <c r="I12" s="866">
        <f t="shared" si="1"/>
        <v>10.6</v>
      </c>
      <c r="J12" s="866">
        <f t="shared" si="2"/>
        <v>10.6</v>
      </c>
      <c r="K12" s="164" t="str">
        <f t="shared" si="3"/>
        <v>TB</v>
      </c>
    </row>
    <row r="13" spans="1:11" ht="16.5" thickTop="1">
      <c r="A13" s="975" t="s">
        <v>251</v>
      </c>
      <c r="B13" s="976"/>
      <c r="C13" s="976"/>
      <c r="D13" s="977"/>
      <c r="E13" s="470">
        <f>MAX(E3:E12)</f>
        <v>19</v>
      </c>
      <c r="F13" s="470">
        <f t="shared" ref="F13:J13" si="4">MAX(F3:F12)</f>
        <v>18</v>
      </c>
      <c r="G13" s="470">
        <f t="shared" si="4"/>
        <v>19</v>
      </c>
      <c r="H13" s="470">
        <f t="shared" si="4"/>
        <v>0.75</v>
      </c>
      <c r="I13" s="470">
        <f t="shared" si="4"/>
        <v>17.600000000000001</v>
      </c>
      <c r="J13" s="470">
        <f t="shared" si="4"/>
        <v>17.600000000000001</v>
      </c>
      <c r="K13" s="96"/>
    </row>
    <row r="14" spans="1:11">
      <c r="A14" s="994" t="s">
        <v>111</v>
      </c>
      <c r="B14" s="957"/>
      <c r="C14" s="957"/>
      <c r="D14" s="958"/>
      <c r="E14" s="332">
        <f>AVERAGE(E3:E12)</f>
        <v>11.4</v>
      </c>
      <c r="F14" s="332">
        <f t="shared" ref="F14:J14" si="5">AVERAGE(F3:F12)</f>
        <v>13.9</v>
      </c>
      <c r="G14" s="332">
        <f t="shared" si="5"/>
        <v>13.2</v>
      </c>
      <c r="H14" s="332">
        <f t="shared" si="5"/>
        <v>0.4</v>
      </c>
      <c r="I14" s="332">
        <f t="shared" si="5"/>
        <v>12.98</v>
      </c>
      <c r="J14" s="332">
        <f t="shared" si="5"/>
        <v>13.055000000000001</v>
      </c>
      <c r="K14" s="88"/>
    </row>
    <row r="15" spans="1:11" ht="16.5" thickBot="1">
      <c r="A15" s="970" t="s">
        <v>252</v>
      </c>
      <c r="B15" s="971"/>
      <c r="C15" s="971"/>
      <c r="D15" s="972"/>
      <c r="E15" s="333">
        <f>MIN(E3:E12)</f>
        <v>6</v>
      </c>
      <c r="F15" s="333">
        <f t="shared" ref="F15:J15" si="6">MIN(F3:F12)</f>
        <v>8</v>
      </c>
      <c r="G15" s="333">
        <f t="shared" si="6"/>
        <v>8</v>
      </c>
      <c r="H15" s="333">
        <f t="shared" si="6"/>
        <v>0</v>
      </c>
      <c r="I15" s="333">
        <f t="shared" si="6"/>
        <v>9</v>
      </c>
      <c r="J15" s="333">
        <f t="shared" si="6"/>
        <v>9</v>
      </c>
      <c r="K15" s="90"/>
    </row>
    <row r="16" spans="1:11" ht="16.5" thickTop="1"/>
    <row r="17" spans="1:4">
      <c r="A17" s="26" t="s">
        <v>104</v>
      </c>
      <c r="B17" s="26"/>
      <c r="C17" s="26"/>
      <c r="D17" s="26"/>
    </row>
    <row r="18" spans="1:4">
      <c r="A18" s="26"/>
      <c r="B18" s="26" t="s">
        <v>105</v>
      </c>
      <c r="C18" s="26"/>
      <c r="D18" s="26"/>
    </row>
    <row r="19" spans="1:4">
      <c r="A19" s="26"/>
      <c r="B19" s="26" t="s">
        <v>107</v>
      </c>
      <c r="C19" s="26"/>
      <c r="D19" s="26"/>
    </row>
    <row r="20" spans="1:4">
      <c r="A20" s="26" t="s">
        <v>112</v>
      </c>
      <c r="B20" s="26"/>
      <c r="C20" s="26"/>
      <c r="D20" s="26"/>
    </row>
    <row r="21" spans="1:4">
      <c r="A21" s="26" t="s">
        <v>92</v>
      </c>
      <c r="B21" s="26"/>
      <c r="C21" s="26"/>
      <c r="D21" s="26"/>
    </row>
    <row r="22" spans="1:4">
      <c r="A22" s="26"/>
      <c r="B22" s="26" t="s">
        <v>113</v>
      </c>
      <c r="C22" s="26"/>
      <c r="D22" s="26"/>
    </row>
    <row r="23" spans="1:4">
      <c r="A23" s="26"/>
      <c r="B23" s="26" t="s">
        <v>114</v>
      </c>
      <c r="C23" s="26"/>
      <c r="D23" s="26"/>
    </row>
    <row r="24" spans="1:4">
      <c r="A24" s="26" t="s">
        <v>109</v>
      </c>
      <c r="B24" s="26"/>
      <c r="C24" s="26"/>
      <c r="D24" s="26"/>
    </row>
    <row r="25" spans="1:4">
      <c r="A25" s="26"/>
      <c r="B25" s="26" t="s">
        <v>89</v>
      </c>
      <c r="C25" s="26"/>
      <c r="D25" s="26"/>
    </row>
    <row r="26" spans="1:4">
      <c r="A26" s="26"/>
      <c r="B26" s="26" t="s">
        <v>115</v>
      </c>
      <c r="C26" s="26"/>
      <c r="D26" s="26"/>
    </row>
    <row r="27" spans="1:4">
      <c r="A27" s="26"/>
      <c r="B27" s="26" t="s">
        <v>99</v>
      </c>
      <c r="C27" s="26"/>
      <c r="D27" s="26"/>
    </row>
    <row r="28" spans="1:4">
      <c r="A28" s="26"/>
      <c r="B28" s="26" t="s">
        <v>91</v>
      </c>
      <c r="C28" s="26"/>
      <c r="D28" s="26"/>
    </row>
    <row r="29" spans="1:4">
      <c r="A29" s="26"/>
      <c r="B29" s="26" t="s">
        <v>90</v>
      </c>
      <c r="C29" s="26"/>
      <c r="D29" s="26"/>
    </row>
    <row r="30" spans="1:4">
      <c r="A30" s="26"/>
      <c r="B30" s="26"/>
      <c r="C30" s="26"/>
      <c r="D30" s="26"/>
    </row>
  </sheetData>
  <mergeCells count="4">
    <mergeCell ref="A1:K1"/>
    <mergeCell ref="A13:D13"/>
    <mergeCell ref="A14:D14"/>
    <mergeCell ref="A15:D15"/>
  </mergeCells>
  <phoneticPr fontId="0" type="noConversion"/>
  <pageMargins left="0.54" right="0.34" top="1" bottom="1" header="0.5" footer="0.5"/>
  <pageSetup paperSize="9" orientation="portrait" r:id="rId1"/>
  <headerFooter alignWithMargins="0">
    <oddFooter>&amp;R&amp;A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topLeftCell="A19" workbookViewId="0">
      <selection activeCell="L9" sqref="L9"/>
    </sheetView>
  </sheetViews>
  <sheetFormatPr defaultRowHeight="15.75"/>
  <cols>
    <col min="1" max="1" width="3.5" style="12" customWidth="1"/>
    <col min="2" max="2" width="7.875" style="12" customWidth="1"/>
    <col min="3" max="3" width="9.125" style="12" customWidth="1"/>
    <col min="4" max="4" width="9" style="12" customWidth="1"/>
    <col min="5" max="5" width="7" style="12" customWidth="1"/>
    <col min="6" max="6" width="8.75" style="12" customWidth="1"/>
    <col min="7" max="7" width="9.125" style="12" bestFit="1" customWidth="1"/>
    <col min="8" max="8" width="8.875" style="12" customWidth="1"/>
    <col min="9" max="9" width="9.375" style="12" bestFit="1" customWidth="1"/>
    <col min="10" max="12" width="9" style="12"/>
    <col min="13" max="13" width="9.125" style="12" bestFit="1" customWidth="1"/>
    <col min="14" max="16384" width="9" style="12"/>
  </cols>
  <sheetData>
    <row r="1" spans="1:13">
      <c r="I1" s="24" t="s">
        <v>1259</v>
      </c>
      <c r="J1" s="631">
        <v>0.12</v>
      </c>
    </row>
    <row r="2" spans="1:13" ht="16.5" thickBot="1">
      <c r="J2" s="632"/>
    </row>
    <row r="3" spans="1:13" ht="31.5" customHeight="1" thickTop="1" thickBot="1">
      <c r="A3" s="633" t="s">
        <v>842</v>
      </c>
      <c r="B3" s="634" t="s">
        <v>663</v>
      </c>
      <c r="C3" s="634" t="s">
        <v>1231</v>
      </c>
      <c r="D3" s="634" t="s">
        <v>687</v>
      </c>
      <c r="E3" s="634" t="s">
        <v>681</v>
      </c>
      <c r="F3" s="634" t="s">
        <v>1230</v>
      </c>
      <c r="G3" s="634" t="s">
        <v>1237</v>
      </c>
      <c r="H3" s="634" t="s">
        <v>1232</v>
      </c>
      <c r="I3" s="634" t="s">
        <v>1233</v>
      </c>
      <c r="J3" s="635" t="s">
        <v>1260</v>
      </c>
      <c r="L3" s="873" t="s">
        <v>663</v>
      </c>
      <c r="M3" s="875" t="s">
        <v>1260</v>
      </c>
    </row>
    <row r="4" spans="1:13" ht="16.5" thickTop="1">
      <c r="A4" s="17">
        <v>1</v>
      </c>
      <c r="B4" s="18" t="s">
        <v>1155</v>
      </c>
      <c r="C4" s="19">
        <v>1</v>
      </c>
      <c r="D4" s="115">
        <v>3000</v>
      </c>
      <c r="E4" s="115">
        <v>200</v>
      </c>
      <c r="F4" s="868">
        <f>IF(C4=1,D4*100%,IF(C4=2,70%*D4,IF(C4=3,40%*D4,0)))</f>
        <v>3000</v>
      </c>
      <c r="G4" s="869">
        <f>IF(E4&lt;=100,3%*D4,IF(AND(E4&gt;100,E4&lt;=250),2%*D4,1%*D4))</f>
        <v>60</v>
      </c>
      <c r="H4" s="870">
        <f>D4+F4+G4</f>
        <v>6060</v>
      </c>
      <c r="I4" s="870">
        <f>H4+H4*$J$1</f>
        <v>6787.2</v>
      </c>
      <c r="J4" s="871">
        <f>(I4-H4)*E4</f>
        <v>145439.99999999997</v>
      </c>
      <c r="K4" s="22"/>
      <c r="L4" s="24" t="s">
        <v>1155</v>
      </c>
      <c r="M4" s="874">
        <f>SUMIF($B$4:$B$13,"A1",$J$4:$J$13)</f>
        <v>227692.79999999996</v>
      </c>
    </row>
    <row r="5" spans="1:13">
      <c r="A5" s="23">
        <v>2</v>
      </c>
      <c r="B5" s="24" t="s">
        <v>1156</v>
      </c>
      <c r="C5" s="25">
        <v>2</v>
      </c>
      <c r="D5" s="119">
        <v>4000</v>
      </c>
      <c r="E5" s="119">
        <v>100</v>
      </c>
      <c r="F5" s="868">
        <f t="shared" ref="F5:F13" si="0">IF(C5=1,D5*100%,IF(C5=2,70%*D5,IF(C5=3,40%*D5,0)))</f>
        <v>2800</v>
      </c>
      <c r="G5" s="869">
        <f t="shared" ref="G5:G13" si="1">IF(E5&lt;=100,3%*D5,IF(AND(E5&gt;100,E5&lt;=250),2%*D5,1%*D5))</f>
        <v>120</v>
      </c>
      <c r="H5" s="870">
        <f t="shared" ref="H5:H13" si="2">D5+F5+G5</f>
        <v>6920</v>
      </c>
      <c r="I5" s="870">
        <f t="shared" ref="I5:I13" si="3">H5+H5*$J$1</f>
        <v>7750.4</v>
      </c>
      <c r="J5" s="871">
        <f t="shared" ref="J5:J13" si="4">(I5-H5)*E5</f>
        <v>83039.999999999971</v>
      </c>
      <c r="L5" s="24" t="s">
        <v>1156</v>
      </c>
      <c r="M5" s="874">
        <f>SUMIF($B$4:$B$13,"A2",$J$4:$J$13)</f>
        <v>83039.999999999971</v>
      </c>
    </row>
    <row r="6" spans="1:13">
      <c r="A6" s="23">
        <v>3</v>
      </c>
      <c r="B6" s="24" t="s">
        <v>1157</v>
      </c>
      <c r="C6" s="25">
        <v>1</v>
      </c>
      <c r="D6" s="119">
        <v>2000</v>
      </c>
      <c r="E6" s="119">
        <v>150</v>
      </c>
      <c r="F6" s="868">
        <f t="shared" si="0"/>
        <v>2000</v>
      </c>
      <c r="G6" s="869">
        <f t="shared" si="1"/>
        <v>40</v>
      </c>
      <c r="H6" s="870">
        <f t="shared" si="2"/>
        <v>4040</v>
      </c>
      <c r="I6" s="870">
        <f t="shared" si="3"/>
        <v>4524.8</v>
      </c>
      <c r="J6" s="871">
        <f t="shared" si="4"/>
        <v>72720.000000000029</v>
      </c>
      <c r="L6" s="24" t="s">
        <v>1157</v>
      </c>
      <c r="M6" s="874">
        <f>SUMIF($B$4:$B$13,"A3",$J$4:$J$13)</f>
        <v>72720.000000000029</v>
      </c>
    </row>
    <row r="7" spans="1:13">
      <c r="A7" s="23">
        <v>4</v>
      </c>
      <c r="B7" s="24" t="s">
        <v>1158</v>
      </c>
      <c r="C7" s="25">
        <v>2</v>
      </c>
      <c r="D7" s="119">
        <v>2500</v>
      </c>
      <c r="E7" s="119">
        <v>350</v>
      </c>
      <c r="F7" s="868">
        <f t="shared" si="0"/>
        <v>1750</v>
      </c>
      <c r="G7" s="869">
        <f t="shared" si="1"/>
        <v>25</v>
      </c>
      <c r="H7" s="870">
        <f t="shared" si="2"/>
        <v>4275</v>
      </c>
      <c r="I7" s="870">
        <f t="shared" si="3"/>
        <v>4788</v>
      </c>
      <c r="J7" s="871">
        <f t="shared" si="4"/>
        <v>179550</v>
      </c>
      <c r="L7" s="24" t="s">
        <v>1158</v>
      </c>
      <c r="M7" s="874">
        <f>SUMIF($B$4:$B$13,"B3",$J$4:$J$13)</f>
        <v>179550</v>
      </c>
    </row>
    <row r="8" spans="1:13">
      <c r="A8" s="23">
        <v>5</v>
      </c>
      <c r="B8" s="24" t="s">
        <v>1159</v>
      </c>
      <c r="C8" s="25">
        <v>3</v>
      </c>
      <c r="D8" s="119">
        <v>3500</v>
      </c>
      <c r="E8" s="119">
        <v>250</v>
      </c>
      <c r="F8" s="868">
        <f t="shared" si="0"/>
        <v>1400</v>
      </c>
      <c r="G8" s="869">
        <f t="shared" si="1"/>
        <v>70</v>
      </c>
      <c r="H8" s="870">
        <f t="shared" si="2"/>
        <v>4970</v>
      </c>
      <c r="I8" s="870">
        <f t="shared" si="3"/>
        <v>5566.4</v>
      </c>
      <c r="J8" s="871">
        <f t="shared" si="4"/>
        <v>149099.99999999991</v>
      </c>
      <c r="L8" s="24" t="s">
        <v>1159</v>
      </c>
      <c r="M8" s="874">
        <f>SUMIF($B$4:$B$13,"B4",$J$4:$J$13)</f>
        <v>149099.99999999991</v>
      </c>
    </row>
    <row r="9" spans="1:13">
      <c r="A9" s="23">
        <v>6</v>
      </c>
      <c r="B9" s="24" t="s">
        <v>1160</v>
      </c>
      <c r="C9" s="25">
        <v>4</v>
      </c>
      <c r="D9" s="119">
        <v>4000</v>
      </c>
      <c r="E9" s="119">
        <v>120</v>
      </c>
      <c r="F9" s="868">
        <f t="shared" si="0"/>
        <v>0</v>
      </c>
      <c r="G9" s="869">
        <f t="shared" si="1"/>
        <v>80</v>
      </c>
      <c r="H9" s="870">
        <f t="shared" si="2"/>
        <v>4080</v>
      </c>
      <c r="I9" s="870">
        <f t="shared" si="3"/>
        <v>4569.6000000000004</v>
      </c>
      <c r="J9" s="871">
        <f t="shared" si="4"/>
        <v>58752.000000000044</v>
      </c>
      <c r="L9" s="24" t="s">
        <v>1160</v>
      </c>
      <c r="M9" s="874">
        <f>SUMIF($B$4:$B$13,"B5",$J$4:$J$13)</f>
        <v>58752.000000000044</v>
      </c>
    </row>
    <row r="10" spans="1:13">
      <c r="A10" s="23">
        <v>7</v>
      </c>
      <c r="B10" s="24" t="s">
        <v>1161</v>
      </c>
      <c r="C10" s="25">
        <v>2</v>
      </c>
      <c r="D10" s="119">
        <v>3500</v>
      </c>
      <c r="E10" s="119">
        <v>135</v>
      </c>
      <c r="F10" s="868">
        <f t="shared" si="0"/>
        <v>2450</v>
      </c>
      <c r="G10" s="869">
        <f t="shared" si="1"/>
        <v>70</v>
      </c>
      <c r="H10" s="870">
        <f t="shared" si="2"/>
        <v>6020</v>
      </c>
      <c r="I10" s="870">
        <f t="shared" si="3"/>
        <v>6742.4</v>
      </c>
      <c r="J10" s="871">
        <f t="shared" si="4"/>
        <v>97523.999999999956</v>
      </c>
      <c r="L10" s="24" t="s">
        <v>1161</v>
      </c>
      <c r="M10" s="874">
        <f>SUMIF($B$4:$B$13,"A4",$J$4:$J$13)</f>
        <v>97523.999999999956</v>
      </c>
    </row>
    <row r="11" spans="1:13">
      <c r="A11" s="23">
        <v>8</v>
      </c>
      <c r="B11" s="24" t="s">
        <v>1162</v>
      </c>
      <c r="C11" s="25">
        <v>1</v>
      </c>
      <c r="D11" s="119">
        <v>5000</v>
      </c>
      <c r="E11" s="119">
        <v>240</v>
      </c>
      <c r="F11" s="868">
        <f t="shared" si="0"/>
        <v>5000</v>
      </c>
      <c r="G11" s="869">
        <f t="shared" si="1"/>
        <v>100</v>
      </c>
      <c r="H11" s="870">
        <f t="shared" si="2"/>
        <v>10100</v>
      </c>
      <c r="I11" s="870">
        <f t="shared" si="3"/>
        <v>11312</v>
      </c>
      <c r="J11" s="871">
        <f t="shared" si="4"/>
        <v>290880</v>
      </c>
      <c r="L11" s="24" t="s">
        <v>1162</v>
      </c>
      <c r="M11" s="874">
        <f>SUMIF($B$4:$B$13,"B1",$J$4:$J$13)</f>
        <v>290880</v>
      </c>
    </row>
    <row r="12" spans="1:13">
      <c r="A12" s="23">
        <v>9</v>
      </c>
      <c r="B12" s="24" t="s">
        <v>1163</v>
      </c>
      <c r="C12" s="25">
        <v>3</v>
      </c>
      <c r="D12" s="119">
        <v>3700</v>
      </c>
      <c r="E12" s="119">
        <v>210</v>
      </c>
      <c r="F12" s="868">
        <f t="shared" si="0"/>
        <v>1480</v>
      </c>
      <c r="G12" s="869">
        <f t="shared" si="1"/>
        <v>74</v>
      </c>
      <c r="H12" s="870">
        <f t="shared" si="2"/>
        <v>5254</v>
      </c>
      <c r="I12" s="870">
        <f t="shared" si="3"/>
        <v>5884.48</v>
      </c>
      <c r="J12" s="871">
        <f t="shared" si="4"/>
        <v>132400.7999999999</v>
      </c>
      <c r="L12" s="24" t="s">
        <v>1163</v>
      </c>
      <c r="M12" s="874">
        <f>SUMIF($B$4:$B$13,"B2",$J$4:$J$13)</f>
        <v>132400.7999999999</v>
      </c>
    </row>
    <row r="13" spans="1:13" ht="16.5" thickBot="1">
      <c r="A13" s="79">
        <v>10</v>
      </c>
      <c r="B13" s="80" t="s">
        <v>1155</v>
      </c>
      <c r="C13" s="153">
        <v>4</v>
      </c>
      <c r="D13" s="167">
        <v>4200</v>
      </c>
      <c r="E13" s="167">
        <v>160</v>
      </c>
      <c r="F13" s="868">
        <f t="shared" si="0"/>
        <v>0</v>
      </c>
      <c r="G13" s="869">
        <f t="shared" si="1"/>
        <v>84</v>
      </c>
      <c r="H13" s="870">
        <f t="shared" si="2"/>
        <v>4284</v>
      </c>
      <c r="I13" s="870">
        <f t="shared" si="3"/>
        <v>4798.08</v>
      </c>
      <c r="J13" s="871">
        <f t="shared" si="4"/>
        <v>82252.799999999988</v>
      </c>
      <c r="L13" s="208" t="s">
        <v>2471</v>
      </c>
      <c r="M13" s="876">
        <f>MAX(M4:M12)</f>
        <v>290880</v>
      </c>
    </row>
    <row r="14" spans="1:13" ht="17.25" thickTop="1" thickBot="1">
      <c r="J14" s="433"/>
      <c r="L14" s="24" t="s">
        <v>2472</v>
      </c>
      <c r="M14" s="181">
        <f>MIN(M4:M12)</f>
        <v>58752.000000000044</v>
      </c>
    </row>
    <row r="15" spans="1:13" ht="15" customHeight="1" thickBot="1">
      <c r="C15" s="636" t="s">
        <v>1231</v>
      </c>
      <c r="D15" s="637" t="s">
        <v>553</v>
      </c>
      <c r="F15" s="638" t="s">
        <v>1260</v>
      </c>
      <c r="G15" s="637" t="s">
        <v>553</v>
      </c>
      <c r="I15" s="639" t="s">
        <v>681</v>
      </c>
      <c r="J15" s="433"/>
    </row>
    <row r="16" spans="1:13">
      <c r="C16" s="640">
        <v>1</v>
      </c>
      <c r="D16" s="871">
        <f>SUMIF($C$4:$C$13,1,$J$4:$J$13)</f>
        <v>509040</v>
      </c>
      <c r="F16" s="641" t="s">
        <v>1164</v>
      </c>
      <c r="G16" s="872">
        <f>COUNTIF(J4:J13,"&gt;=100000")</f>
        <v>5</v>
      </c>
      <c r="I16" s="225" t="s">
        <v>515</v>
      </c>
    </row>
    <row r="17" spans="1:18" ht="16.5" thickBot="1"/>
    <row r="18" spans="1:18" ht="33" thickTop="1" thickBot="1">
      <c r="A18" s="26" t="s">
        <v>1238</v>
      </c>
      <c r="B18" s="26"/>
      <c r="I18" s="633" t="s">
        <v>842</v>
      </c>
      <c r="J18" s="634" t="s">
        <v>663</v>
      </c>
      <c r="K18" s="634" t="s">
        <v>1231</v>
      </c>
      <c r="L18" s="634" t="s">
        <v>687</v>
      </c>
      <c r="M18" s="634" t="s">
        <v>681</v>
      </c>
      <c r="N18" s="634" t="s">
        <v>1230</v>
      </c>
      <c r="O18" s="634" t="s">
        <v>1237</v>
      </c>
      <c r="P18" s="634" t="s">
        <v>1232</v>
      </c>
      <c r="Q18" s="634" t="s">
        <v>1233</v>
      </c>
      <c r="R18" s="635" t="s">
        <v>1260</v>
      </c>
    </row>
    <row r="19" spans="1:18" ht="16.5" thickTop="1">
      <c r="A19" s="26"/>
      <c r="B19" s="26" t="s">
        <v>1234</v>
      </c>
      <c r="I19" s="23">
        <v>4</v>
      </c>
      <c r="J19" s="24" t="s">
        <v>1158</v>
      </c>
      <c r="K19" s="25">
        <v>2</v>
      </c>
      <c r="L19" s="119">
        <v>2500</v>
      </c>
      <c r="M19" s="119">
        <v>350</v>
      </c>
      <c r="N19" s="868">
        <v>1750</v>
      </c>
      <c r="O19" s="869">
        <v>25</v>
      </c>
      <c r="P19" s="870">
        <v>4275</v>
      </c>
      <c r="Q19" s="870">
        <v>4788</v>
      </c>
      <c r="R19" s="871">
        <v>179550</v>
      </c>
    </row>
    <row r="20" spans="1:18">
      <c r="A20" s="26"/>
      <c r="B20" s="26" t="s">
        <v>1235</v>
      </c>
      <c r="I20" s="23">
        <v>5</v>
      </c>
      <c r="J20" s="24" t="s">
        <v>1159</v>
      </c>
      <c r="K20" s="25">
        <v>3</v>
      </c>
      <c r="L20" s="119">
        <v>3500</v>
      </c>
      <c r="M20" s="119">
        <v>250</v>
      </c>
      <c r="N20" s="868">
        <v>1400</v>
      </c>
      <c r="O20" s="869">
        <v>70</v>
      </c>
      <c r="P20" s="870">
        <v>4970</v>
      </c>
      <c r="Q20" s="870">
        <v>5566.4</v>
      </c>
      <c r="R20" s="871">
        <v>149099.99999999991</v>
      </c>
    </row>
    <row r="21" spans="1:18">
      <c r="A21" s="26"/>
      <c r="B21" s="26" t="s">
        <v>1236</v>
      </c>
      <c r="I21" s="23">
        <v>8</v>
      </c>
      <c r="J21" s="24" t="s">
        <v>1162</v>
      </c>
      <c r="K21" s="25">
        <v>1</v>
      </c>
      <c r="L21" s="119">
        <v>5000</v>
      </c>
      <c r="M21" s="119">
        <v>240</v>
      </c>
      <c r="N21" s="868">
        <v>5000</v>
      </c>
      <c r="O21" s="869">
        <v>100</v>
      </c>
      <c r="P21" s="870">
        <v>10100</v>
      </c>
      <c r="Q21" s="870">
        <v>11312</v>
      </c>
      <c r="R21" s="871">
        <v>290880</v>
      </c>
    </row>
    <row r="22" spans="1:18">
      <c r="A22" s="26" t="s">
        <v>1239</v>
      </c>
      <c r="B22" s="26"/>
      <c r="I22" s="23">
        <v>9</v>
      </c>
      <c r="J22" s="24" t="s">
        <v>1163</v>
      </c>
      <c r="K22" s="25">
        <v>3</v>
      </c>
      <c r="L22" s="119">
        <v>3700</v>
      </c>
      <c r="M22" s="119">
        <v>210</v>
      </c>
      <c r="N22" s="868">
        <v>1480</v>
      </c>
      <c r="O22" s="869">
        <v>74</v>
      </c>
      <c r="P22" s="870">
        <v>5254</v>
      </c>
      <c r="Q22" s="870">
        <v>5884.48</v>
      </c>
      <c r="R22" s="871">
        <v>132400.7999999999</v>
      </c>
    </row>
    <row r="23" spans="1:18">
      <c r="A23" s="26"/>
      <c r="B23" s="26" t="s">
        <v>1240</v>
      </c>
    </row>
    <row r="24" spans="1:18">
      <c r="A24" s="26"/>
      <c r="B24" s="26" t="s">
        <v>1241</v>
      </c>
    </row>
    <row r="25" spans="1:18">
      <c r="A25" s="26"/>
      <c r="B25" s="26" t="s">
        <v>1257</v>
      </c>
    </row>
    <row r="26" spans="1:18">
      <c r="A26" s="26" t="s">
        <v>1258</v>
      </c>
      <c r="B26" s="26"/>
    </row>
    <row r="27" spans="1:18">
      <c r="A27" s="26" t="s">
        <v>1261</v>
      </c>
      <c r="B27" s="26"/>
    </row>
    <row r="28" spans="1:18">
      <c r="A28" s="26" t="s">
        <v>1262</v>
      </c>
      <c r="B28" s="26"/>
    </row>
    <row r="29" spans="1:18">
      <c r="A29" s="26" t="s">
        <v>1263</v>
      </c>
      <c r="B29" s="26"/>
    </row>
    <row r="30" spans="1:18">
      <c r="A30" s="26" t="s">
        <v>1265</v>
      </c>
      <c r="B30" s="26"/>
    </row>
    <row r="31" spans="1:18">
      <c r="A31" s="26" t="s">
        <v>1266</v>
      </c>
      <c r="B31" s="26"/>
    </row>
    <row r="32" spans="1:18">
      <c r="A32" s="26" t="s">
        <v>1264</v>
      </c>
      <c r="B32" s="26"/>
    </row>
  </sheetData>
  <dataConsolidate/>
  <phoneticPr fontId="0" type="noConversion"/>
  <pageMargins left="0.75" right="0.75" top="1" bottom="1" header="0.5" footer="0.5"/>
  <pageSetup paperSize="9" orientation="portrait" r:id="rId1"/>
  <headerFooter alignWithMargins="0">
    <oddFooter>&amp;R&amp;A</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I29"/>
  <sheetViews>
    <sheetView showGridLines="0" topLeftCell="A10" workbookViewId="0">
      <selection activeCell="G6" sqref="G6"/>
    </sheetView>
  </sheetViews>
  <sheetFormatPr defaultRowHeight="15.75"/>
  <cols>
    <col min="1" max="1" width="4.125" style="12" customWidth="1"/>
    <col min="2" max="2" width="7.125" style="12" customWidth="1"/>
    <col min="3" max="3" width="14.5" style="12" customWidth="1"/>
    <col min="4" max="4" width="9.875" style="12" bestFit="1" customWidth="1"/>
    <col min="5" max="5" width="9.25" style="12" customWidth="1"/>
    <col min="6" max="6" width="8.375" style="12" customWidth="1"/>
    <col min="7" max="7" width="10.625" style="12" bestFit="1" customWidth="1"/>
    <col min="8" max="9" width="11.625" style="12" bestFit="1" customWidth="1"/>
    <col min="10" max="16384" width="9" style="12"/>
  </cols>
  <sheetData>
    <row r="1" spans="1:9" ht="18.75">
      <c r="A1" s="228" t="s">
        <v>141</v>
      </c>
    </row>
    <row r="2" spans="1:9" ht="24" customHeight="1">
      <c r="A2" s="927" t="s">
        <v>142</v>
      </c>
      <c r="B2" s="927"/>
      <c r="C2" s="927"/>
      <c r="D2" s="927"/>
      <c r="E2" s="927"/>
      <c r="F2" s="927"/>
      <c r="G2" s="927"/>
      <c r="H2" s="927"/>
      <c r="I2" s="927"/>
    </row>
    <row r="3" spans="1:9">
      <c r="G3" s="995" t="s">
        <v>120</v>
      </c>
      <c r="H3" s="996"/>
      <c r="I3" s="117">
        <v>37711</v>
      </c>
    </row>
    <row r="4" spans="1:9" ht="16.5" thickBot="1">
      <c r="G4" s="997" t="s">
        <v>122</v>
      </c>
      <c r="H4" s="998"/>
      <c r="I4" s="229">
        <v>5.0000000000000001E-4</v>
      </c>
    </row>
    <row r="5" spans="1:9" ht="33.75" customHeight="1" thickTop="1" thickBot="1">
      <c r="A5" s="73" t="s">
        <v>842</v>
      </c>
      <c r="B5" s="74" t="s">
        <v>121</v>
      </c>
      <c r="C5" s="74" t="s">
        <v>140</v>
      </c>
      <c r="D5" s="74" t="s">
        <v>116</v>
      </c>
      <c r="E5" s="74" t="s">
        <v>119</v>
      </c>
      <c r="F5" s="74" t="s">
        <v>118</v>
      </c>
      <c r="G5" s="74" t="s">
        <v>427</v>
      </c>
      <c r="H5" s="74" t="s">
        <v>123</v>
      </c>
      <c r="I5" s="75" t="s">
        <v>117</v>
      </c>
    </row>
    <row r="6" spans="1:9" ht="16.5" thickTop="1">
      <c r="A6" s="17">
        <v>1</v>
      </c>
      <c r="B6" s="230" t="s">
        <v>428</v>
      </c>
      <c r="C6" s="18" t="s">
        <v>124</v>
      </c>
      <c r="D6" s="113">
        <v>37622</v>
      </c>
      <c r="E6" s="154">
        <v>27000</v>
      </c>
      <c r="F6" s="18" t="s">
        <v>440</v>
      </c>
      <c r="G6" s="877">
        <f>E6/VLOOKUP(F6,$F$21:$G$25,2,0)</f>
        <v>4821.4285714285716</v>
      </c>
      <c r="H6" s="877">
        <f>($I$3-D6)*$I$4*E6</f>
        <v>1201.5</v>
      </c>
      <c r="I6" s="878">
        <f>SUM(G6:H6)</f>
        <v>6022.9285714285716</v>
      </c>
    </row>
    <row r="7" spans="1:9">
      <c r="A7" s="23">
        <v>2</v>
      </c>
      <c r="B7" s="231" t="s">
        <v>429</v>
      </c>
      <c r="C7" s="24" t="s">
        <v>125</v>
      </c>
      <c r="D7" s="117">
        <v>37624</v>
      </c>
      <c r="E7" s="146">
        <v>34000</v>
      </c>
      <c r="F7" s="24" t="s">
        <v>441</v>
      </c>
      <c r="G7" s="877">
        <f t="shared" ref="G7:G17" si="0">E7/VLOOKUP(F7,$F$21:$G$25,2,0)</f>
        <v>1700</v>
      </c>
      <c r="H7" s="877">
        <f t="shared" ref="H7:H17" si="1">($I$3-D7)*$I$4*E7</f>
        <v>1479.0000000000002</v>
      </c>
      <c r="I7" s="878">
        <f t="shared" ref="I7:I17" si="2">SUM(G7:H7)</f>
        <v>3179</v>
      </c>
    </row>
    <row r="8" spans="1:9">
      <c r="A8" s="23">
        <v>3</v>
      </c>
      <c r="B8" s="231" t="s">
        <v>430</v>
      </c>
      <c r="C8" s="24" t="s">
        <v>126</v>
      </c>
      <c r="D8" s="117">
        <v>37624</v>
      </c>
      <c r="E8" s="146">
        <v>20000</v>
      </c>
      <c r="F8" s="24" t="s">
        <v>1026</v>
      </c>
      <c r="G8" s="877">
        <f t="shared" si="0"/>
        <v>20000</v>
      </c>
      <c r="H8" s="877">
        <f t="shared" si="1"/>
        <v>870.00000000000011</v>
      </c>
      <c r="I8" s="878">
        <f t="shared" si="2"/>
        <v>20870</v>
      </c>
    </row>
    <row r="9" spans="1:9">
      <c r="A9" s="23">
        <v>4</v>
      </c>
      <c r="B9" s="231" t="s">
        <v>431</v>
      </c>
      <c r="C9" s="24" t="s">
        <v>127</v>
      </c>
      <c r="D9" s="117">
        <v>37611</v>
      </c>
      <c r="E9" s="146">
        <v>30000</v>
      </c>
      <c r="F9" s="24" t="s">
        <v>440</v>
      </c>
      <c r="G9" s="877">
        <f t="shared" si="0"/>
        <v>5357.1428571428578</v>
      </c>
      <c r="H9" s="877">
        <f t="shared" si="1"/>
        <v>1500</v>
      </c>
      <c r="I9" s="878">
        <f t="shared" si="2"/>
        <v>6857.1428571428578</v>
      </c>
    </row>
    <row r="10" spans="1:9">
      <c r="A10" s="23">
        <v>5</v>
      </c>
      <c r="B10" s="231" t="s">
        <v>432</v>
      </c>
      <c r="C10" s="24" t="s">
        <v>128</v>
      </c>
      <c r="D10" s="117">
        <v>37641</v>
      </c>
      <c r="E10" s="146">
        <v>14000</v>
      </c>
      <c r="F10" s="24" t="s">
        <v>1026</v>
      </c>
      <c r="G10" s="877">
        <f t="shared" si="0"/>
        <v>14000</v>
      </c>
      <c r="H10" s="877">
        <f t="shared" si="1"/>
        <v>490.00000000000006</v>
      </c>
      <c r="I10" s="878">
        <f t="shared" si="2"/>
        <v>14490</v>
      </c>
    </row>
    <row r="11" spans="1:9">
      <c r="A11" s="23">
        <v>6</v>
      </c>
      <c r="B11" s="231" t="s">
        <v>433</v>
      </c>
      <c r="C11" s="24" t="s">
        <v>129</v>
      </c>
      <c r="D11" s="117">
        <v>37642</v>
      </c>
      <c r="E11" s="146">
        <v>5000000</v>
      </c>
      <c r="F11" s="24" t="s">
        <v>1027</v>
      </c>
      <c r="G11" s="877">
        <f t="shared" si="0"/>
        <v>324.29627707873914</v>
      </c>
      <c r="H11" s="877">
        <f t="shared" si="1"/>
        <v>172500</v>
      </c>
      <c r="I11" s="878">
        <f t="shared" si="2"/>
        <v>172824.29627707874</v>
      </c>
    </row>
    <row r="12" spans="1:9">
      <c r="A12" s="23">
        <v>7</v>
      </c>
      <c r="B12" s="231" t="s">
        <v>434</v>
      </c>
      <c r="C12" s="24" t="s">
        <v>130</v>
      </c>
      <c r="D12" s="117">
        <v>37667</v>
      </c>
      <c r="E12" s="146">
        <v>49000</v>
      </c>
      <c r="F12" s="24" t="s">
        <v>442</v>
      </c>
      <c r="G12" s="877">
        <f t="shared" si="0"/>
        <v>374.04580152671758</v>
      </c>
      <c r="H12" s="877">
        <f t="shared" si="1"/>
        <v>1078</v>
      </c>
      <c r="I12" s="878">
        <f t="shared" si="2"/>
        <v>1452.0458015267177</v>
      </c>
    </row>
    <row r="13" spans="1:9">
      <c r="A13" s="23">
        <v>8</v>
      </c>
      <c r="B13" s="231" t="s">
        <v>435</v>
      </c>
      <c r="C13" s="24" t="s">
        <v>131</v>
      </c>
      <c r="D13" s="117">
        <v>37652</v>
      </c>
      <c r="E13" s="146">
        <v>5000</v>
      </c>
      <c r="F13" s="24" t="s">
        <v>1026</v>
      </c>
      <c r="G13" s="877">
        <f t="shared" si="0"/>
        <v>5000</v>
      </c>
      <c r="H13" s="877">
        <f t="shared" si="1"/>
        <v>147.5</v>
      </c>
      <c r="I13" s="878">
        <f t="shared" si="2"/>
        <v>5147.5</v>
      </c>
    </row>
    <row r="14" spans="1:9">
      <c r="A14" s="23">
        <v>9</v>
      </c>
      <c r="B14" s="231" t="s">
        <v>436</v>
      </c>
      <c r="C14" s="24" t="s">
        <v>132</v>
      </c>
      <c r="D14" s="117">
        <v>37602</v>
      </c>
      <c r="E14" s="146">
        <v>5000</v>
      </c>
      <c r="F14" s="24" t="s">
        <v>1026</v>
      </c>
      <c r="G14" s="877">
        <f t="shared" si="0"/>
        <v>5000</v>
      </c>
      <c r="H14" s="877">
        <f t="shared" si="1"/>
        <v>272.5</v>
      </c>
      <c r="I14" s="878">
        <f t="shared" si="2"/>
        <v>5272.5</v>
      </c>
    </row>
    <row r="15" spans="1:9">
      <c r="A15" s="23">
        <v>10</v>
      </c>
      <c r="B15" s="231" t="s">
        <v>437</v>
      </c>
      <c r="C15" s="24" t="s">
        <v>133</v>
      </c>
      <c r="D15" s="117">
        <v>37651</v>
      </c>
      <c r="E15" s="146">
        <v>10000</v>
      </c>
      <c r="F15" s="24" t="s">
        <v>440</v>
      </c>
      <c r="G15" s="877">
        <f t="shared" si="0"/>
        <v>1785.7142857142858</v>
      </c>
      <c r="H15" s="877">
        <f t="shared" si="1"/>
        <v>300</v>
      </c>
      <c r="I15" s="878">
        <f t="shared" si="2"/>
        <v>2085.7142857142858</v>
      </c>
    </row>
    <row r="16" spans="1:9">
      <c r="A16" s="23">
        <v>11</v>
      </c>
      <c r="B16" s="231" t="s">
        <v>438</v>
      </c>
      <c r="C16" s="24" t="s">
        <v>134</v>
      </c>
      <c r="D16" s="117">
        <v>37622</v>
      </c>
      <c r="E16" s="146">
        <v>6000</v>
      </c>
      <c r="F16" s="24" t="s">
        <v>441</v>
      </c>
      <c r="G16" s="877">
        <f t="shared" si="0"/>
        <v>300</v>
      </c>
      <c r="H16" s="877">
        <f t="shared" si="1"/>
        <v>267</v>
      </c>
      <c r="I16" s="878">
        <f t="shared" si="2"/>
        <v>567</v>
      </c>
    </row>
    <row r="17" spans="1:9" ht="16.5" thickBot="1">
      <c r="A17" s="99">
        <v>12</v>
      </c>
      <c r="B17" s="232" t="s">
        <v>439</v>
      </c>
      <c r="C17" s="101" t="s">
        <v>135</v>
      </c>
      <c r="D17" s="121">
        <v>37623</v>
      </c>
      <c r="E17" s="155">
        <v>40000</v>
      </c>
      <c r="F17" s="101" t="s">
        <v>441</v>
      </c>
      <c r="G17" s="877">
        <f t="shared" si="0"/>
        <v>2000</v>
      </c>
      <c r="H17" s="877">
        <f t="shared" si="1"/>
        <v>1760</v>
      </c>
      <c r="I17" s="878">
        <f t="shared" si="2"/>
        <v>3760</v>
      </c>
    </row>
    <row r="18" spans="1:9" ht="20.100000000000001" customHeight="1" thickTop="1" thickBot="1">
      <c r="A18" s="981" t="s">
        <v>254</v>
      </c>
      <c r="B18" s="982"/>
      <c r="C18" s="982"/>
      <c r="D18" s="982"/>
      <c r="E18" s="982"/>
      <c r="F18" s="983"/>
      <c r="G18" s="877">
        <f>SUM(G6:G17)</f>
        <v>60662.627792891173</v>
      </c>
      <c r="H18" s="877">
        <f t="shared" ref="H18:I18" si="3">SUM(H6:H17)</f>
        <v>181865.5</v>
      </c>
      <c r="I18" s="877">
        <f t="shared" si="3"/>
        <v>242528.12779289117</v>
      </c>
    </row>
    <row r="19" spans="1:9" ht="17.25" thickTop="1" thickBot="1"/>
    <row r="20" spans="1:9" ht="17.25" thickTop="1" thickBot="1">
      <c r="F20" s="999" t="s">
        <v>136</v>
      </c>
      <c r="G20" s="1000"/>
    </row>
    <row r="21" spans="1:9" ht="16.5" thickTop="1">
      <c r="F21" s="83" t="s">
        <v>440</v>
      </c>
      <c r="G21" s="84">
        <v>5.6</v>
      </c>
    </row>
    <row r="22" spans="1:9">
      <c r="F22" s="87" t="s">
        <v>441</v>
      </c>
      <c r="G22" s="88">
        <v>20</v>
      </c>
    </row>
    <row r="23" spans="1:9">
      <c r="F23" s="87" t="s">
        <v>442</v>
      </c>
      <c r="G23" s="88">
        <v>131</v>
      </c>
    </row>
    <row r="24" spans="1:9">
      <c r="F24" s="87" t="s">
        <v>1026</v>
      </c>
      <c r="G24" s="88">
        <v>1</v>
      </c>
    </row>
    <row r="25" spans="1:9" ht="16.5" thickBot="1">
      <c r="F25" s="89" t="s">
        <v>1027</v>
      </c>
      <c r="G25" s="233">
        <v>15418</v>
      </c>
    </row>
    <row r="26" spans="1:9" ht="16.5" thickTop="1"/>
    <row r="27" spans="1:9">
      <c r="A27" s="26" t="s">
        <v>137</v>
      </c>
    </row>
    <row r="28" spans="1:9">
      <c r="A28" s="26" t="s">
        <v>138</v>
      </c>
    </row>
    <row r="29" spans="1:9">
      <c r="A29" s="26" t="s">
        <v>139</v>
      </c>
    </row>
  </sheetData>
  <mergeCells count="5">
    <mergeCell ref="A2:I2"/>
    <mergeCell ref="G3:H3"/>
    <mergeCell ref="G4:H4"/>
    <mergeCell ref="F20:G20"/>
    <mergeCell ref="A18:F18"/>
  </mergeCells>
  <phoneticPr fontId="0" type="noConversion"/>
  <pageMargins left="0.4" right="0.46" top="1" bottom="1" header="0.5" footer="0.5"/>
  <pageSetup paperSize="9" orientation="portrait" r:id="rId1"/>
  <headerFooter alignWithMargins="0">
    <oddFooter>&amp;R&amp;A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T41"/>
  <sheetViews>
    <sheetView showGridLines="0" topLeftCell="C1" workbookViewId="0">
      <selection activeCell="T31" sqref="T31"/>
    </sheetView>
  </sheetViews>
  <sheetFormatPr defaultRowHeight="15.75"/>
  <cols>
    <col min="1" max="1" width="3.875" style="12" customWidth="1"/>
    <col min="2" max="2" width="15.75" style="12" customWidth="1"/>
    <col min="3" max="3" width="6.5" style="12" customWidth="1"/>
    <col min="4" max="8" width="5.625" style="104" customWidth="1"/>
    <col min="9" max="9" width="12.625" style="12" bestFit="1" customWidth="1"/>
    <col min="10" max="10" width="6.75" style="12" bestFit="1" customWidth="1"/>
    <col min="11" max="16384" width="9" style="12"/>
  </cols>
  <sheetData>
    <row r="1" spans="1:11" ht="24" customHeight="1">
      <c r="A1" s="927" t="s">
        <v>2046</v>
      </c>
      <c r="B1" s="927"/>
      <c r="C1" s="927"/>
      <c r="D1" s="927"/>
      <c r="E1" s="927"/>
      <c r="F1" s="927"/>
      <c r="G1" s="927"/>
      <c r="H1" s="927"/>
      <c r="I1" s="927"/>
      <c r="J1" s="927"/>
      <c r="K1" s="927"/>
    </row>
    <row r="2" spans="1:11">
      <c r="B2" s="1001" t="s">
        <v>2064</v>
      </c>
      <c r="C2" s="1002"/>
      <c r="D2" s="183">
        <v>3</v>
      </c>
      <c r="E2" s="183">
        <v>5</v>
      </c>
      <c r="F2" s="183">
        <v>3</v>
      </c>
      <c r="G2" s="183">
        <v>4</v>
      </c>
      <c r="H2" s="183">
        <v>2</v>
      </c>
    </row>
    <row r="3" spans="1:11" ht="16.5" thickBot="1"/>
    <row r="4" spans="1:11" ht="17.25" thickTop="1" thickBot="1">
      <c r="A4" s="14" t="s">
        <v>842</v>
      </c>
      <c r="B4" s="15" t="s">
        <v>2049</v>
      </c>
      <c r="C4" s="15" t="s">
        <v>2059</v>
      </c>
      <c r="D4" s="15" t="s">
        <v>600</v>
      </c>
      <c r="E4" s="15" t="s">
        <v>841</v>
      </c>
      <c r="F4" s="15" t="s">
        <v>398</v>
      </c>
      <c r="G4" s="15" t="s">
        <v>593</v>
      </c>
      <c r="H4" s="15" t="s">
        <v>596</v>
      </c>
      <c r="I4" s="15" t="s">
        <v>2043</v>
      </c>
      <c r="J4" s="15" t="s">
        <v>2093</v>
      </c>
      <c r="K4" s="16" t="s">
        <v>143</v>
      </c>
    </row>
    <row r="5" spans="1:11" ht="16.5" thickTop="1">
      <c r="A5" s="17">
        <v>12</v>
      </c>
      <c r="B5" s="18" t="s">
        <v>2041</v>
      </c>
      <c r="C5" s="18" t="s">
        <v>2050</v>
      </c>
      <c r="D5" s="19">
        <v>7</v>
      </c>
      <c r="E5" s="19">
        <v>8</v>
      </c>
      <c r="F5" s="19">
        <v>8</v>
      </c>
      <c r="G5" s="19">
        <v>8</v>
      </c>
      <c r="H5" s="19">
        <v>5</v>
      </c>
      <c r="I5" s="77">
        <f t="shared" ref="I5:I19" si="0">(D5*$D$2+E5*$E$2+F5*$F$2+G5*$G$2+H5*$H$2)</f>
        <v>127</v>
      </c>
      <c r="J5" s="317">
        <f t="shared" ref="J5:J19" si="1">I5/SUM($D$2:$H$2)</f>
        <v>7.4705882352941178</v>
      </c>
      <c r="K5" s="227" t="str">
        <f t="shared" ref="K5:K19" si="2">IF(J5&gt;=7,"Gioi",IF(AND(J5&lt;7,J5&gt;=6),"Kha",IF(AND(J5&gt;=5,J5&lt;6),"TB","Yeu")))</f>
        <v>Gioi</v>
      </c>
    </row>
    <row r="6" spans="1:11" ht="16.5" thickTop="1">
      <c r="A6" s="23">
        <v>5</v>
      </c>
      <c r="B6" s="24" t="s">
        <v>2042</v>
      </c>
      <c r="C6" s="24" t="s">
        <v>409</v>
      </c>
      <c r="D6" s="25">
        <v>6</v>
      </c>
      <c r="E6" s="25">
        <v>7</v>
      </c>
      <c r="F6" s="25">
        <v>8</v>
      </c>
      <c r="G6" s="25">
        <v>7</v>
      </c>
      <c r="H6" s="25">
        <v>10</v>
      </c>
      <c r="I6" s="77">
        <f t="shared" si="0"/>
        <v>125</v>
      </c>
      <c r="J6" s="866">
        <f t="shared" si="1"/>
        <v>7.3529411764705879</v>
      </c>
      <c r="K6" s="227" t="str">
        <f t="shared" si="2"/>
        <v>Gioi</v>
      </c>
    </row>
    <row r="7" spans="1:11" ht="16.5" thickTop="1">
      <c r="A7" s="23">
        <v>13</v>
      </c>
      <c r="B7" s="24" t="s">
        <v>2045</v>
      </c>
      <c r="C7" s="24" t="s">
        <v>2044</v>
      </c>
      <c r="D7" s="25">
        <v>7</v>
      </c>
      <c r="E7" s="25">
        <v>6</v>
      </c>
      <c r="F7" s="25">
        <v>7</v>
      </c>
      <c r="G7" s="25">
        <v>8</v>
      </c>
      <c r="H7" s="25">
        <v>10</v>
      </c>
      <c r="I7" s="77">
        <f t="shared" si="0"/>
        <v>124</v>
      </c>
      <c r="J7" s="866">
        <f t="shared" si="1"/>
        <v>7.2941176470588234</v>
      </c>
      <c r="K7" s="227" t="str">
        <f t="shared" si="2"/>
        <v>Gioi</v>
      </c>
    </row>
    <row r="8" spans="1:11" ht="16.5" thickTop="1">
      <c r="A8" s="23">
        <v>2</v>
      </c>
      <c r="B8" s="24" t="s">
        <v>2047</v>
      </c>
      <c r="C8" s="24" t="s">
        <v>443</v>
      </c>
      <c r="D8" s="25">
        <v>4</v>
      </c>
      <c r="E8" s="25">
        <v>8</v>
      </c>
      <c r="F8" s="25">
        <v>8</v>
      </c>
      <c r="G8" s="25">
        <v>5</v>
      </c>
      <c r="H8" s="25">
        <v>6</v>
      </c>
      <c r="I8" s="77">
        <f t="shared" si="0"/>
        <v>108</v>
      </c>
      <c r="J8" s="866">
        <f t="shared" si="1"/>
        <v>6.3529411764705879</v>
      </c>
      <c r="K8" s="227" t="str">
        <f t="shared" si="2"/>
        <v>Kha</v>
      </c>
    </row>
    <row r="9" spans="1:11" ht="16.5" thickTop="1">
      <c r="A9" s="23">
        <v>4</v>
      </c>
      <c r="B9" s="24" t="s">
        <v>145</v>
      </c>
      <c r="C9" s="24" t="s">
        <v>1004</v>
      </c>
      <c r="D9" s="25">
        <v>6</v>
      </c>
      <c r="E9" s="25">
        <v>6</v>
      </c>
      <c r="F9" s="25">
        <v>8</v>
      </c>
      <c r="G9" s="25">
        <v>7</v>
      </c>
      <c r="H9" s="25">
        <v>4</v>
      </c>
      <c r="I9" s="77">
        <f t="shared" si="0"/>
        <v>108</v>
      </c>
      <c r="J9" s="866">
        <f t="shared" si="1"/>
        <v>6.3529411764705879</v>
      </c>
      <c r="K9" s="227" t="str">
        <f t="shared" si="2"/>
        <v>Kha</v>
      </c>
    </row>
    <row r="10" spans="1:11" ht="16.5" thickTop="1">
      <c r="A10" s="23">
        <v>15</v>
      </c>
      <c r="B10" s="24" t="s">
        <v>2053</v>
      </c>
      <c r="C10" s="24" t="s">
        <v>445</v>
      </c>
      <c r="D10" s="25">
        <v>8</v>
      </c>
      <c r="E10" s="25">
        <v>6</v>
      </c>
      <c r="F10" s="25">
        <v>6</v>
      </c>
      <c r="G10" s="25">
        <v>5</v>
      </c>
      <c r="H10" s="25">
        <v>7</v>
      </c>
      <c r="I10" s="77">
        <f t="shared" si="0"/>
        <v>106</v>
      </c>
      <c r="J10" s="866">
        <f t="shared" si="1"/>
        <v>6.2352941176470589</v>
      </c>
      <c r="K10" s="227" t="str">
        <f t="shared" si="2"/>
        <v>Kha</v>
      </c>
    </row>
    <row r="11" spans="1:11" ht="16.5" thickTop="1">
      <c r="A11" s="23">
        <v>10</v>
      </c>
      <c r="B11" s="24" t="s">
        <v>2063</v>
      </c>
      <c r="C11" s="24" t="s">
        <v>2060</v>
      </c>
      <c r="D11" s="25">
        <v>7</v>
      </c>
      <c r="E11" s="25">
        <v>5</v>
      </c>
      <c r="F11" s="25">
        <v>5</v>
      </c>
      <c r="G11" s="25">
        <v>7</v>
      </c>
      <c r="H11" s="25">
        <v>7</v>
      </c>
      <c r="I11" s="77">
        <f t="shared" si="0"/>
        <v>103</v>
      </c>
      <c r="J11" s="866">
        <f t="shared" si="1"/>
        <v>6.0588235294117645</v>
      </c>
      <c r="K11" s="227" t="str">
        <f t="shared" si="2"/>
        <v>Kha</v>
      </c>
    </row>
    <row r="12" spans="1:11" ht="16.5" thickTop="1">
      <c r="A12" s="23">
        <v>1</v>
      </c>
      <c r="B12" s="24" t="s">
        <v>2041</v>
      </c>
      <c r="C12" s="24" t="s">
        <v>2054</v>
      </c>
      <c r="D12" s="25">
        <v>6</v>
      </c>
      <c r="E12" s="25">
        <v>5</v>
      </c>
      <c r="F12" s="25">
        <v>7</v>
      </c>
      <c r="G12" s="25">
        <v>6</v>
      </c>
      <c r="H12" s="25">
        <v>6</v>
      </c>
      <c r="I12" s="77">
        <f t="shared" si="0"/>
        <v>100</v>
      </c>
      <c r="J12" s="866">
        <f t="shared" si="1"/>
        <v>5.882352941176471</v>
      </c>
      <c r="K12" s="227" t="str">
        <f t="shared" si="2"/>
        <v>TB</v>
      </c>
    </row>
    <row r="13" spans="1:11">
      <c r="A13" s="23">
        <v>7</v>
      </c>
      <c r="B13" s="24" t="s">
        <v>2052</v>
      </c>
      <c r="C13" s="24" t="s">
        <v>144</v>
      </c>
      <c r="D13" s="25">
        <v>6</v>
      </c>
      <c r="E13" s="25">
        <v>5</v>
      </c>
      <c r="F13" s="25">
        <v>8</v>
      </c>
      <c r="G13" s="25">
        <v>5</v>
      </c>
      <c r="H13" s="25">
        <v>6</v>
      </c>
      <c r="I13" s="77">
        <f t="shared" si="0"/>
        <v>99</v>
      </c>
      <c r="J13" s="866">
        <f t="shared" si="1"/>
        <v>5.8235294117647056</v>
      </c>
      <c r="K13" s="227" t="str">
        <f t="shared" si="2"/>
        <v>TB</v>
      </c>
    </row>
    <row r="14" spans="1:11">
      <c r="A14" s="23">
        <v>14</v>
      </c>
      <c r="B14" s="24" t="s">
        <v>2048</v>
      </c>
      <c r="C14" s="24" t="s">
        <v>187</v>
      </c>
      <c r="D14" s="25">
        <v>4</v>
      </c>
      <c r="E14" s="25">
        <v>7</v>
      </c>
      <c r="F14" s="25">
        <v>8</v>
      </c>
      <c r="G14" s="25">
        <v>5</v>
      </c>
      <c r="H14" s="25">
        <v>4</v>
      </c>
      <c r="I14" s="77">
        <f t="shared" si="0"/>
        <v>99</v>
      </c>
      <c r="J14" s="866">
        <f t="shared" si="1"/>
        <v>5.8235294117647056</v>
      </c>
      <c r="K14" s="227" t="str">
        <f t="shared" si="2"/>
        <v>TB</v>
      </c>
    </row>
    <row r="15" spans="1:11">
      <c r="A15" s="23">
        <v>9</v>
      </c>
      <c r="B15" s="24" t="s">
        <v>2099</v>
      </c>
      <c r="C15" s="24" t="s">
        <v>2057</v>
      </c>
      <c r="D15" s="25">
        <v>6</v>
      </c>
      <c r="E15" s="25">
        <v>6</v>
      </c>
      <c r="F15" s="25">
        <v>6</v>
      </c>
      <c r="G15" s="25">
        <v>4</v>
      </c>
      <c r="H15" s="25">
        <v>5</v>
      </c>
      <c r="I15" s="77">
        <f t="shared" si="0"/>
        <v>92</v>
      </c>
      <c r="J15" s="866">
        <f t="shared" si="1"/>
        <v>5.4117647058823533</v>
      </c>
      <c r="K15" s="227" t="str">
        <f t="shared" si="2"/>
        <v>TB</v>
      </c>
    </row>
    <row r="16" spans="1:11">
      <c r="A16" s="23">
        <v>6</v>
      </c>
      <c r="B16" s="24" t="s">
        <v>2095</v>
      </c>
      <c r="C16" s="24" t="s">
        <v>579</v>
      </c>
      <c r="D16" s="25">
        <v>4</v>
      </c>
      <c r="E16" s="25">
        <v>4</v>
      </c>
      <c r="F16" s="25">
        <v>7</v>
      </c>
      <c r="G16" s="25">
        <v>6</v>
      </c>
      <c r="H16" s="25">
        <v>7</v>
      </c>
      <c r="I16" s="77">
        <f t="shared" si="0"/>
        <v>91</v>
      </c>
      <c r="J16" s="866">
        <f t="shared" si="1"/>
        <v>5.3529411764705879</v>
      </c>
      <c r="K16" s="227" t="str">
        <f t="shared" si="2"/>
        <v>TB</v>
      </c>
    </row>
    <row r="17" spans="1:20">
      <c r="A17" s="23">
        <v>8</v>
      </c>
      <c r="B17" s="24" t="s">
        <v>2040</v>
      </c>
      <c r="C17" s="24" t="s">
        <v>409</v>
      </c>
      <c r="D17" s="25">
        <v>6</v>
      </c>
      <c r="E17" s="25">
        <v>4</v>
      </c>
      <c r="F17" s="25">
        <v>8</v>
      </c>
      <c r="G17" s="25">
        <v>5</v>
      </c>
      <c r="H17" s="25">
        <v>4</v>
      </c>
      <c r="I17" s="77">
        <f t="shared" si="0"/>
        <v>90</v>
      </c>
      <c r="J17" s="866">
        <f t="shared" si="1"/>
        <v>5.2941176470588234</v>
      </c>
      <c r="K17" s="227" t="str">
        <f t="shared" si="2"/>
        <v>TB</v>
      </c>
    </row>
    <row r="18" spans="1:20">
      <c r="A18" s="23">
        <v>3</v>
      </c>
      <c r="B18" s="24" t="s">
        <v>2094</v>
      </c>
      <c r="C18" s="24" t="s">
        <v>2051</v>
      </c>
      <c r="D18" s="25">
        <v>6</v>
      </c>
      <c r="E18" s="25">
        <v>4</v>
      </c>
      <c r="F18" s="25">
        <v>6</v>
      </c>
      <c r="G18" s="25">
        <v>4</v>
      </c>
      <c r="H18" s="25">
        <v>6</v>
      </c>
      <c r="I18" s="77">
        <f t="shared" si="0"/>
        <v>84</v>
      </c>
      <c r="J18" s="866">
        <f t="shared" si="1"/>
        <v>4.9411764705882355</v>
      </c>
      <c r="K18" s="227" t="str">
        <f t="shared" si="2"/>
        <v>Yeu</v>
      </c>
    </row>
    <row r="19" spans="1:20" ht="16.5" thickBot="1">
      <c r="A19" s="79">
        <v>11</v>
      </c>
      <c r="B19" s="80" t="s">
        <v>2055</v>
      </c>
      <c r="C19" s="80" t="s">
        <v>2058</v>
      </c>
      <c r="D19" s="153">
        <v>7</v>
      </c>
      <c r="E19" s="153">
        <v>4</v>
      </c>
      <c r="F19" s="153">
        <v>5</v>
      </c>
      <c r="G19" s="153">
        <v>4</v>
      </c>
      <c r="H19" s="153">
        <v>4</v>
      </c>
      <c r="I19" s="77">
        <f t="shared" si="0"/>
        <v>80</v>
      </c>
      <c r="J19" s="866">
        <f t="shared" si="1"/>
        <v>4.7058823529411766</v>
      </c>
      <c r="K19" s="227" t="str">
        <f t="shared" si="2"/>
        <v>Yeu</v>
      </c>
    </row>
    <row r="20" spans="1:20" ht="17.25" thickTop="1" thickBot="1"/>
    <row r="21" spans="1:20" ht="17.25" thickTop="1" thickBot="1">
      <c r="D21" s="237" t="s">
        <v>600</v>
      </c>
      <c r="E21" s="238" t="s">
        <v>841</v>
      </c>
      <c r="F21" s="238" t="s">
        <v>398</v>
      </c>
      <c r="G21" s="238" t="s">
        <v>593</v>
      </c>
      <c r="H21" s="239" t="s">
        <v>596</v>
      </c>
      <c r="J21" s="135" t="s">
        <v>1088</v>
      </c>
    </row>
    <row r="22" spans="1:20" ht="17.25" thickTop="1" thickBot="1">
      <c r="D22" s="240"/>
      <c r="E22" s="240"/>
      <c r="F22" s="240"/>
      <c r="G22" s="240"/>
      <c r="H22" s="240"/>
      <c r="J22" s="12" t="b">
        <f>OR(COUNTIF(D5:H5,"&lt;5")&gt;=2)</f>
        <v>0</v>
      </c>
    </row>
    <row r="23" spans="1:20" ht="17.25" thickTop="1" thickBot="1">
      <c r="D23" s="241"/>
      <c r="E23" s="242"/>
      <c r="F23" s="242"/>
      <c r="G23" s="242"/>
      <c r="H23" s="243"/>
      <c r="J23" s="864" t="s">
        <v>842</v>
      </c>
      <c r="K23" s="865" t="s">
        <v>2049</v>
      </c>
      <c r="L23" s="865" t="s">
        <v>2059</v>
      </c>
      <c r="M23" s="865" t="s">
        <v>600</v>
      </c>
      <c r="N23" s="865" t="s">
        <v>841</v>
      </c>
      <c r="O23" s="865" t="s">
        <v>398</v>
      </c>
      <c r="P23" s="865" t="s">
        <v>593</v>
      </c>
      <c r="Q23" s="865" t="s">
        <v>596</v>
      </c>
      <c r="R23" s="865" t="s">
        <v>2043</v>
      </c>
      <c r="S23" s="865" t="s">
        <v>2093</v>
      </c>
      <c r="T23" s="16" t="s">
        <v>143</v>
      </c>
    </row>
    <row r="24" spans="1:20" ht="16.5" thickTop="1">
      <c r="D24" s="241"/>
      <c r="E24" s="242"/>
      <c r="F24" s="242"/>
      <c r="G24" s="242"/>
      <c r="H24" s="243"/>
      <c r="J24" s="23">
        <v>14</v>
      </c>
      <c r="K24" s="24" t="s">
        <v>2048</v>
      </c>
      <c r="L24" s="24" t="s">
        <v>187</v>
      </c>
      <c r="M24" s="25">
        <v>4</v>
      </c>
      <c r="N24" s="25">
        <v>7</v>
      </c>
      <c r="O24" s="25">
        <v>8</v>
      </c>
      <c r="P24" s="25">
        <v>5</v>
      </c>
      <c r="Q24" s="25">
        <v>4</v>
      </c>
      <c r="R24" s="77">
        <v>99</v>
      </c>
      <c r="S24" s="866">
        <v>5.8235294117647056</v>
      </c>
      <c r="T24" s="227" t="s">
        <v>500</v>
      </c>
    </row>
    <row r="25" spans="1:20">
      <c r="D25" s="241"/>
      <c r="E25" s="242"/>
      <c r="F25" s="242"/>
      <c r="G25" s="242"/>
      <c r="H25" s="243"/>
      <c r="J25" s="23">
        <v>6</v>
      </c>
      <c r="K25" s="24" t="s">
        <v>2095</v>
      </c>
      <c r="L25" s="24" t="s">
        <v>579</v>
      </c>
      <c r="M25" s="25">
        <v>4</v>
      </c>
      <c r="N25" s="25">
        <v>4</v>
      </c>
      <c r="O25" s="25">
        <v>7</v>
      </c>
      <c r="P25" s="25">
        <v>6</v>
      </c>
      <c r="Q25" s="25">
        <v>7</v>
      </c>
      <c r="R25" s="77">
        <v>91</v>
      </c>
      <c r="S25" s="866">
        <v>5.3529411764705879</v>
      </c>
      <c r="T25" s="227" t="s">
        <v>500</v>
      </c>
    </row>
    <row r="26" spans="1:20">
      <c r="D26" s="241"/>
      <c r="E26" s="242"/>
      <c r="F26" s="242"/>
      <c r="G26" s="242"/>
      <c r="H26" s="243"/>
      <c r="J26" s="23">
        <v>8</v>
      </c>
      <c r="K26" s="24" t="s">
        <v>2040</v>
      </c>
      <c r="L26" s="24" t="s">
        <v>409</v>
      </c>
      <c r="M26" s="25">
        <v>6</v>
      </c>
      <c r="N26" s="25">
        <v>4</v>
      </c>
      <c r="O26" s="25">
        <v>8</v>
      </c>
      <c r="P26" s="25">
        <v>5</v>
      </c>
      <c r="Q26" s="25">
        <v>4</v>
      </c>
      <c r="R26" s="77">
        <v>90</v>
      </c>
      <c r="S26" s="866">
        <v>5.2941176470588234</v>
      </c>
      <c r="T26" s="227" t="s">
        <v>500</v>
      </c>
    </row>
    <row r="27" spans="1:20">
      <c r="D27" s="241"/>
      <c r="E27" s="242"/>
      <c r="F27" s="242"/>
      <c r="G27" s="242"/>
      <c r="H27" s="243"/>
      <c r="J27" s="23">
        <v>3</v>
      </c>
      <c r="K27" s="24" t="s">
        <v>2094</v>
      </c>
      <c r="L27" s="24" t="s">
        <v>2051</v>
      </c>
      <c r="M27" s="25">
        <v>6</v>
      </c>
      <c r="N27" s="25">
        <v>4</v>
      </c>
      <c r="O27" s="25">
        <v>6</v>
      </c>
      <c r="P27" s="25">
        <v>4</v>
      </c>
      <c r="Q27" s="25">
        <v>6</v>
      </c>
      <c r="R27" s="77">
        <v>84</v>
      </c>
      <c r="S27" s="866">
        <v>4.9411764705882355</v>
      </c>
      <c r="T27" s="227" t="s">
        <v>2473</v>
      </c>
    </row>
    <row r="28" spans="1:20" ht="16.5" thickBot="1">
      <c r="D28" s="241"/>
      <c r="E28" s="242"/>
      <c r="F28" s="244"/>
      <c r="G28" s="242"/>
      <c r="H28" s="243"/>
      <c r="J28" s="79">
        <v>11</v>
      </c>
      <c r="K28" s="80" t="s">
        <v>2055</v>
      </c>
      <c r="L28" s="80" t="s">
        <v>2058</v>
      </c>
      <c r="M28" s="867">
        <v>7</v>
      </c>
      <c r="N28" s="867">
        <v>4</v>
      </c>
      <c r="O28" s="867">
        <v>5</v>
      </c>
      <c r="P28" s="867">
        <v>4</v>
      </c>
      <c r="Q28" s="867">
        <v>4</v>
      </c>
      <c r="R28" s="77">
        <v>80</v>
      </c>
      <c r="S28" s="866">
        <v>4.7058823529411766</v>
      </c>
      <c r="T28" s="227" t="s">
        <v>2473</v>
      </c>
    </row>
    <row r="29" spans="1:20" ht="16.5" thickTop="1">
      <c r="D29" s="241"/>
      <c r="E29" s="242"/>
      <c r="F29" s="242"/>
      <c r="G29" s="242"/>
      <c r="H29" s="243"/>
    </row>
    <row r="30" spans="1:20">
      <c r="D30" s="241"/>
      <c r="E30" s="242"/>
      <c r="F30" s="242"/>
      <c r="G30" s="242"/>
      <c r="H30" s="243"/>
    </row>
    <row r="31" spans="1:20" ht="16.5" thickBot="1">
      <c r="D31" s="245"/>
      <c r="E31" s="246"/>
      <c r="F31" s="246"/>
      <c r="G31" s="246"/>
      <c r="H31" s="247"/>
    </row>
    <row r="32" spans="1:20" ht="16.5" thickTop="1"/>
    <row r="33" spans="1:2">
      <c r="A33" s="26" t="s">
        <v>2100</v>
      </c>
    </row>
    <row r="34" spans="1:2">
      <c r="A34" s="26" t="s">
        <v>2101</v>
      </c>
    </row>
    <row r="35" spans="1:2">
      <c r="A35" s="26" t="s">
        <v>2102</v>
      </c>
      <c r="B35" s="26"/>
    </row>
    <row r="36" spans="1:2">
      <c r="A36" s="26"/>
      <c r="B36" s="26" t="s">
        <v>2096</v>
      </c>
    </row>
    <row r="37" spans="1:2">
      <c r="A37" s="26"/>
      <c r="B37" s="26" t="s">
        <v>2097</v>
      </c>
    </row>
    <row r="38" spans="1:2">
      <c r="A38" s="26"/>
      <c r="B38" s="26" t="s">
        <v>2098</v>
      </c>
    </row>
    <row r="39" spans="1:2">
      <c r="A39" s="26"/>
      <c r="B39" s="26" t="s">
        <v>2061</v>
      </c>
    </row>
    <row r="40" spans="1:2">
      <c r="A40" s="26" t="s">
        <v>2062</v>
      </c>
      <c r="B40" s="26"/>
    </row>
    <row r="41" spans="1:2">
      <c r="A41" s="26" t="s">
        <v>2056</v>
      </c>
      <c r="B41" s="26"/>
    </row>
  </sheetData>
  <sortState ref="A5:K19">
    <sortCondition descending="1" ref="I5:I19"/>
  </sortState>
  <mergeCells count="2">
    <mergeCell ref="B2:C2"/>
    <mergeCell ref="A1:K1"/>
  </mergeCells>
  <phoneticPr fontId="0" type="noConversion"/>
  <pageMargins left="0.75" right="0.75" top="1" bottom="1" header="0.5" footer="0.5"/>
  <pageSetup paperSize="9" orientation="portrait" r:id="rId1"/>
  <headerFooter alignWithMargins="0">
    <oddFooter>&amp;R&amp;A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32"/>
  <sheetViews>
    <sheetView showGridLines="0" topLeftCell="A10" workbookViewId="0">
      <selection activeCell="J6" sqref="J6"/>
    </sheetView>
  </sheetViews>
  <sheetFormatPr defaultRowHeight="15.75"/>
  <cols>
    <col min="1" max="1" width="3.75" style="12" customWidth="1"/>
    <col min="2" max="2" width="8.125" style="12" customWidth="1"/>
    <col min="3" max="3" width="10.25" style="12" customWidth="1"/>
    <col min="4" max="4" width="16.75" style="12" customWidth="1"/>
    <col min="5" max="5" width="7" style="12" customWidth="1"/>
    <col min="6" max="6" width="8.625" style="12" customWidth="1"/>
    <col min="7" max="7" width="8" style="12" customWidth="1"/>
    <col min="8" max="8" width="7" style="12" customWidth="1"/>
    <col min="9" max="9" width="8.625" style="12" customWidth="1"/>
    <col min="10" max="16384" width="9" style="12"/>
  </cols>
  <sheetData>
    <row r="1" spans="1:13" ht="24" customHeight="1" thickBot="1">
      <c r="A1" s="926" t="s">
        <v>2131</v>
      </c>
      <c r="B1" s="926"/>
      <c r="C1" s="926"/>
      <c r="D1" s="926"/>
      <c r="E1" s="926"/>
      <c r="F1" s="926"/>
      <c r="G1" s="926"/>
      <c r="H1" s="926"/>
      <c r="I1" s="926"/>
      <c r="J1" s="926"/>
    </row>
    <row r="2" spans="1:13" ht="16.5" thickTop="1">
      <c r="A2" s="62" t="s">
        <v>842</v>
      </c>
      <c r="B2" s="63" t="s">
        <v>2119</v>
      </c>
      <c r="C2" s="63" t="s">
        <v>2111</v>
      </c>
      <c r="D2" s="63" t="s">
        <v>637</v>
      </c>
      <c r="E2" s="63" t="s">
        <v>2108</v>
      </c>
      <c r="F2" s="63" t="s">
        <v>2107</v>
      </c>
      <c r="G2" s="63" t="s">
        <v>2121</v>
      </c>
      <c r="H2" s="63" t="s">
        <v>2112</v>
      </c>
      <c r="I2" s="63" t="s">
        <v>2120</v>
      </c>
      <c r="J2" s="64" t="s">
        <v>2103</v>
      </c>
    </row>
    <row r="3" spans="1:13" ht="16.5" thickBot="1">
      <c r="A3" s="110">
        <v>-1</v>
      </c>
      <c r="B3" s="111">
        <v>-2</v>
      </c>
      <c r="C3" s="111">
        <v>-3</v>
      </c>
      <c r="D3" s="111">
        <v>-4</v>
      </c>
      <c r="E3" s="111">
        <v>-5</v>
      </c>
      <c r="F3" s="111">
        <v>-6</v>
      </c>
      <c r="G3" s="111">
        <v>-7</v>
      </c>
      <c r="H3" s="111">
        <v>-8</v>
      </c>
      <c r="I3" s="111">
        <v>-9</v>
      </c>
      <c r="J3" s="112">
        <v>-10</v>
      </c>
    </row>
    <row r="4" spans="1:13" ht="16.5" thickTop="1">
      <c r="A4" s="17">
        <v>1</v>
      </c>
      <c r="B4" s="18" t="s">
        <v>446</v>
      </c>
      <c r="C4" s="77" t="str">
        <f>VLOOKUP(LEFT(B4,1),$B$16:$C$19,2,0)</f>
        <v>Kinh doanh</v>
      </c>
      <c r="D4" s="18" t="s">
        <v>2110</v>
      </c>
      <c r="E4" s="115">
        <v>1890</v>
      </c>
      <c r="F4" s="115">
        <v>1990</v>
      </c>
      <c r="G4" s="20">
        <f>F4-E4</f>
        <v>100</v>
      </c>
      <c r="H4" s="77">
        <f>VLOOKUP(LEFT(B4,1),$B$22:$D$25,2,0)</f>
        <v>120</v>
      </c>
      <c r="I4" s="77">
        <f>VLOOKUP(LEFT(B4,1),$B$22:$D$25,3,0)</f>
        <v>600</v>
      </c>
      <c r="J4" s="78">
        <f>IF(G4&lt;=H4,G4*I4,(H4*I4)+ABS((H4-G4))*I4*VLOOKUP(LEFT(B4,1),$E$16:$F$18,2,0))</f>
        <v>60000</v>
      </c>
      <c r="M4" s="22"/>
    </row>
    <row r="5" spans="1:13">
      <c r="A5" s="23">
        <v>2</v>
      </c>
      <c r="B5" s="24" t="s">
        <v>447</v>
      </c>
      <c r="C5" s="77" t="str">
        <f t="shared" ref="C5:C13" si="0">VLOOKUP(LEFT(B5,1),$B$16:$C$19,2,0)</f>
        <v>Tiêu dùng</v>
      </c>
      <c r="D5" s="24" t="s">
        <v>2130</v>
      </c>
      <c r="E5" s="119">
        <v>1570</v>
      </c>
      <c r="F5" s="119">
        <v>1690</v>
      </c>
      <c r="G5" s="20">
        <f t="shared" ref="G5:G13" si="1">F5-E5</f>
        <v>120</v>
      </c>
      <c r="H5" s="77">
        <f t="shared" ref="H5:H13" si="2">VLOOKUP(LEFT(B5,1),$B$22:$D$25,2,0)</f>
        <v>80</v>
      </c>
      <c r="I5" s="77">
        <f t="shared" ref="I5:I13" si="3">VLOOKUP(LEFT(B5,1),$B$22:$D$25,3,0)</f>
        <v>400</v>
      </c>
      <c r="J5" s="78">
        <f t="shared" ref="J5:J13" si="4">IF(G5&lt;=H5,G5*I5,(H5*I5)+ABS((H5-G5))*I5*VLOOKUP(LEFT(B5,1),$E$16:$F$18,2,0))</f>
        <v>64000</v>
      </c>
      <c r="M5" s="22"/>
    </row>
    <row r="6" spans="1:13">
      <c r="A6" s="23">
        <v>3</v>
      </c>
      <c r="B6" s="24" t="s">
        <v>448</v>
      </c>
      <c r="C6" s="77" t="str">
        <f t="shared" si="0"/>
        <v>Sản xuất</v>
      </c>
      <c r="D6" s="24" t="s">
        <v>2114</v>
      </c>
      <c r="E6" s="119">
        <v>1717</v>
      </c>
      <c r="F6" s="119">
        <v>1979</v>
      </c>
      <c r="G6" s="20">
        <f t="shared" si="1"/>
        <v>262</v>
      </c>
      <c r="H6" s="77">
        <f t="shared" si="2"/>
        <v>240</v>
      </c>
      <c r="I6" s="77">
        <f t="shared" si="3"/>
        <v>800</v>
      </c>
      <c r="J6" s="78">
        <f t="shared" si="4"/>
        <v>262400</v>
      </c>
      <c r="M6" s="22"/>
    </row>
    <row r="7" spans="1:13">
      <c r="A7" s="23">
        <v>4</v>
      </c>
      <c r="B7" s="24" t="s">
        <v>449</v>
      </c>
      <c r="C7" s="77" t="str">
        <f t="shared" si="0"/>
        <v>Tiêu dùng</v>
      </c>
      <c r="D7" s="24" t="s">
        <v>2122</v>
      </c>
      <c r="E7" s="119">
        <v>1585</v>
      </c>
      <c r="F7" s="119">
        <v>1665</v>
      </c>
      <c r="G7" s="20">
        <f t="shared" si="1"/>
        <v>80</v>
      </c>
      <c r="H7" s="77">
        <f t="shared" si="2"/>
        <v>80</v>
      </c>
      <c r="I7" s="77">
        <f t="shared" si="3"/>
        <v>400</v>
      </c>
      <c r="J7" s="78">
        <f t="shared" si="4"/>
        <v>32000</v>
      </c>
      <c r="M7" s="22"/>
    </row>
    <row r="8" spans="1:13">
      <c r="A8" s="23">
        <v>5</v>
      </c>
      <c r="B8" s="24" t="s">
        <v>450</v>
      </c>
      <c r="C8" s="77" t="str">
        <f t="shared" si="0"/>
        <v>Kinh doanh</v>
      </c>
      <c r="D8" s="24" t="s">
        <v>2115</v>
      </c>
      <c r="E8" s="119">
        <v>1615</v>
      </c>
      <c r="F8" s="119">
        <v>1670</v>
      </c>
      <c r="G8" s="20">
        <f t="shared" si="1"/>
        <v>55</v>
      </c>
      <c r="H8" s="77">
        <f t="shared" si="2"/>
        <v>120</v>
      </c>
      <c r="I8" s="77">
        <f t="shared" si="3"/>
        <v>600</v>
      </c>
      <c r="J8" s="78">
        <f t="shared" si="4"/>
        <v>33000</v>
      </c>
      <c r="M8" s="22"/>
    </row>
    <row r="9" spans="1:13">
      <c r="A9" s="23">
        <v>6</v>
      </c>
      <c r="B9" s="24" t="s">
        <v>451</v>
      </c>
      <c r="C9" s="77" t="str">
        <f t="shared" si="0"/>
        <v>Tiêu dùng</v>
      </c>
      <c r="D9" s="24" t="s">
        <v>2116</v>
      </c>
      <c r="E9" s="119">
        <v>1989</v>
      </c>
      <c r="F9" s="119">
        <v>2001</v>
      </c>
      <c r="G9" s="20">
        <f t="shared" si="1"/>
        <v>12</v>
      </c>
      <c r="H9" s="77">
        <f t="shared" si="2"/>
        <v>80</v>
      </c>
      <c r="I9" s="77">
        <f t="shared" si="3"/>
        <v>400</v>
      </c>
      <c r="J9" s="78">
        <f t="shared" si="4"/>
        <v>4800</v>
      </c>
      <c r="M9" s="22"/>
    </row>
    <row r="10" spans="1:13">
      <c r="A10" s="23">
        <v>7</v>
      </c>
      <c r="B10" s="24" t="s">
        <v>452</v>
      </c>
      <c r="C10" s="77" t="str">
        <f t="shared" si="0"/>
        <v>Sản xuất</v>
      </c>
      <c r="D10" s="24" t="s">
        <v>2113</v>
      </c>
      <c r="E10" s="119">
        <v>1730</v>
      </c>
      <c r="F10" s="119">
        <v>1840</v>
      </c>
      <c r="G10" s="20">
        <f t="shared" si="1"/>
        <v>110</v>
      </c>
      <c r="H10" s="77">
        <f t="shared" si="2"/>
        <v>240</v>
      </c>
      <c r="I10" s="77">
        <f t="shared" si="3"/>
        <v>800</v>
      </c>
      <c r="J10" s="78">
        <f t="shared" si="4"/>
        <v>88000</v>
      </c>
      <c r="M10" s="22"/>
    </row>
    <row r="11" spans="1:13">
      <c r="A11" s="23">
        <v>8</v>
      </c>
      <c r="B11" s="24" t="s">
        <v>453</v>
      </c>
      <c r="C11" s="77" t="str">
        <f t="shared" si="0"/>
        <v>Sản xuất</v>
      </c>
      <c r="D11" s="24" t="s">
        <v>2117</v>
      </c>
      <c r="E11" s="119">
        <v>1645</v>
      </c>
      <c r="F11" s="119">
        <v>1809</v>
      </c>
      <c r="G11" s="20">
        <f t="shared" si="1"/>
        <v>164</v>
      </c>
      <c r="H11" s="77">
        <f t="shared" si="2"/>
        <v>240</v>
      </c>
      <c r="I11" s="77">
        <f t="shared" si="3"/>
        <v>800</v>
      </c>
      <c r="J11" s="78">
        <f t="shared" si="4"/>
        <v>131200</v>
      </c>
      <c r="M11" s="22"/>
    </row>
    <row r="12" spans="1:13">
      <c r="A12" s="23">
        <v>9</v>
      </c>
      <c r="B12" s="24" t="s">
        <v>454</v>
      </c>
      <c r="C12" s="77" t="str">
        <f t="shared" si="0"/>
        <v>Kinh doanh</v>
      </c>
      <c r="D12" s="24" t="s">
        <v>2123</v>
      </c>
      <c r="E12" s="119">
        <v>1720</v>
      </c>
      <c r="F12" s="119">
        <v>1880</v>
      </c>
      <c r="G12" s="20">
        <f t="shared" si="1"/>
        <v>160</v>
      </c>
      <c r="H12" s="77">
        <f t="shared" si="2"/>
        <v>120</v>
      </c>
      <c r="I12" s="77">
        <f t="shared" si="3"/>
        <v>600</v>
      </c>
      <c r="J12" s="78">
        <f t="shared" si="4"/>
        <v>144000</v>
      </c>
      <c r="M12" s="22"/>
    </row>
    <row r="13" spans="1:13" ht="16.5" thickBot="1">
      <c r="A13" s="79">
        <v>10</v>
      </c>
      <c r="B13" s="80" t="s">
        <v>455</v>
      </c>
      <c r="C13" s="77" t="str">
        <f t="shared" si="0"/>
        <v>Tiêu dùng</v>
      </c>
      <c r="D13" s="80" t="s">
        <v>2118</v>
      </c>
      <c r="E13" s="167">
        <v>1845</v>
      </c>
      <c r="F13" s="167">
        <v>1876</v>
      </c>
      <c r="G13" s="20">
        <f t="shared" si="1"/>
        <v>31</v>
      </c>
      <c r="H13" s="77">
        <f t="shared" si="2"/>
        <v>80</v>
      </c>
      <c r="I13" s="77">
        <f t="shared" si="3"/>
        <v>400</v>
      </c>
      <c r="J13" s="78">
        <f t="shared" si="4"/>
        <v>12400</v>
      </c>
      <c r="M13" s="22"/>
    </row>
    <row r="14" spans="1:13" ht="16.5" thickTop="1"/>
    <row r="15" spans="1:13" ht="16.5" thickBot="1">
      <c r="B15" s="946" t="s">
        <v>2105</v>
      </c>
      <c r="C15" s="946"/>
      <c r="E15" s="1003" t="s">
        <v>2109</v>
      </c>
      <c r="F15" s="1003"/>
      <c r="H15" s="1004"/>
      <c r="I15" s="1004"/>
    </row>
    <row r="16" spans="1:13" ht="17.25" thickTop="1" thickBot="1">
      <c r="B16" s="14" t="s">
        <v>2119</v>
      </c>
      <c r="C16" s="16" t="s">
        <v>2111</v>
      </c>
      <c r="E16" s="25" t="s">
        <v>1022</v>
      </c>
      <c r="F16" s="25">
        <v>2</v>
      </c>
      <c r="H16" s="226"/>
      <c r="I16" s="226"/>
    </row>
    <row r="17" spans="1:9" ht="16.5" thickTop="1">
      <c r="B17" s="17" t="s">
        <v>1022</v>
      </c>
      <c r="C17" s="84" t="s">
        <v>2127</v>
      </c>
      <c r="E17" s="25" t="s">
        <v>1023</v>
      </c>
      <c r="F17" s="25">
        <v>3</v>
      </c>
      <c r="H17" s="226"/>
      <c r="I17" s="226"/>
    </row>
    <row r="18" spans="1:9">
      <c r="B18" s="23" t="s">
        <v>1023</v>
      </c>
      <c r="C18" s="88" t="s">
        <v>456</v>
      </c>
      <c r="E18" s="25" t="s">
        <v>1024</v>
      </c>
      <c r="F18" s="25">
        <v>4</v>
      </c>
      <c r="H18" s="226"/>
      <c r="I18" s="226"/>
    </row>
    <row r="19" spans="1:9" ht="16.5" thickBot="1">
      <c r="B19" s="79" t="s">
        <v>1024</v>
      </c>
      <c r="C19" s="90" t="s">
        <v>2104</v>
      </c>
      <c r="H19" s="226"/>
      <c r="I19" s="226"/>
    </row>
    <row r="20" spans="1:9" ht="16.5" thickTop="1">
      <c r="H20" s="226"/>
      <c r="I20" s="226"/>
    </row>
    <row r="21" spans="1:9" ht="16.5" thickBot="1">
      <c r="B21" s="946" t="s">
        <v>414</v>
      </c>
      <c r="C21" s="946"/>
      <c r="D21" s="946"/>
      <c r="H21" s="226"/>
      <c r="I21" s="226"/>
    </row>
    <row r="22" spans="1:9" ht="17.25" thickTop="1" thickBot="1">
      <c r="B22" s="14" t="s">
        <v>2119</v>
      </c>
      <c r="C22" s="15" t="s">
        <v>2112</v>
      </c>
      <c r="D22" s="16" t="s">
        <v>687</v>
      </c>
      <c r="H22" s="226"/>
      <c r="I22" s="226"/>
    </row>
    <row r="23" spans="1:9" ht="16.5" thickTop="1">
      <c r="B23" s="17" t="s">
        <v>1022</v>
      </c>
      <c r="C23" s="19">
        <v>80</v>
      </c>
      <c r="D23" s="249">
        <v>400</v>
      </c>
    </row>
    <row r="24" spans="1:9">
      <c r="B24" s="23" t="s">
        <v>1023</v>
      </c>
      <c r="C24" s="25">
        <v>120</v>
      </c>
      <c r="D24" s="250">
        <v>600</v>
      </c>
    </row>
    <row r="25" spans="1:9" ht="16.5" thickBot="1">
      <c r="B25" s="79" t="s">
        <v>1024</v>
      </c>
      <c r="C25" s="153">
        <v>240</v>
      </c>
      <c r="D25" s="251">
        <v>800</v>
      </c>
    </row>
    <row r="26" spans="1:9" ht="16.5" thickTop="1"/>
    <row r="27" spans="1:9">
      <c r="A27" s="26" t="s">
        <v>2128</v>
      </c>
      <c r="B27" s="26"/>
    </row>
    <row r="28" spans="1:9">
      <c r="A28" s="26" t="s">
        <v>2124</v>
      </c>
      <c r="B28" s="26"/>
    </row>
    <row r="29" spans="1:9">
      <c r="A29" s="26" t="s">
        <v>2129</v>
      </c>
      <c r="B29" s="26"/>
    </row>
    <row r="30" spans="1:9">
      <c r="A30" s="26" t="s">
        <v>2106</v>
      </c>
      <c r="B30" s="26"/>
    </row>
    <row r="31" spans="1:9">
      <c r="A31" s="26"/>
      <c r="B31" s="26" t="s">
        <v>2125</v>
      </c>
    </row>
    <row r="32" spans="1:9">
      <c r="A32" s="26"/>
      <c r="B32" s="26" t="s">
        <v>2126</v>
      </c>
    </row>
  </sheetData>
  <mergeCells count="5">
    <mergeCell ref="B21:D21"/>
    <mergeCell ref="A1:J1"/>
    <mergeCell ref="B15:C15"/>
    <mergeCell ref="E15:F15"/>
    <mergeCell ref="H15:I15"/>
  </mergeCells>
  <phoneticPr fontId="0" type="noConversion"/>
  <pageMargins left="0.5" right="0.55000000000000004" top="1" bottom="1" header="0.5" footer="0.5"/>
  <pageSetup paperSize="9" orientation="portrait" r:id="rId1"/>
  <headerFooter alignWithMargins="0">
    <oddFooter>&amp;R&amp;A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31"/>
  <sheetViews>
    <sheetView showGridLines="0" workbookViewId="0">
      <selection activeCell="K3" sqref="K3"/>
    </sheetView>
  </sheetViews>
  <sheetFormatPr defaultRowHeight="15.75"/>
  <cols>
    <col min="1" max="1" width="4.625" style="12" customWidth="1"/>
    <col min="2" max="2" width="12.25" style="12" customWidth="1"/>
    <col min="3" max="3" width="11.5" style="12" customWidth="1"/>
    <col min="4" max="4" width="10.125" style="12" customWidth="1"/>
    <col min="5" max="5" width="12.875" style="223" customWidth="1"/>
    <col min="6" max="6" width="6.125" style="12" customWidth="1"/>
    <col min="7" max="7" width="4.625" style="12" customWidth="1"/>
    <col min="8" max="8" width="9" style="632" customWidth="1"/>
    <col min="9" max="9" width="13.125" style="22" customWidth="1"/>
    <col min="10" max="10" width="10.875" style="12" bestFit="1" customWidth="1"/>
    <col min="11" max="11" width="11.875" style="12" bestFit="1" customWidth="1"/>
    <col min="12" max="16384" width="9" style="12"/>
  </cols>
  <sheetData>
    <row r="1" spans="1:11" ht="24" customHeight="1" thickBot="1">
      <c r="A1" s="1005" t="s">
        <v>2134</v>
      </c>
      <c r="B1" s="1005"/>
      <c r="C1" s="1005"/>
      <c r="D1" s="1005"/>
      <c r="E1" s="1005"/>
      <c r="F1" s="1005"/>
      <c r="G1" s="1005"/>
      <c r="H1" s="1005"/>
      <c r="I1" s="1005"/>
      <c r="J1" s="1005"/>
      <c r="K1" s="1005"/>
    </row>
    <row r="2" spans="1:11" ht="38.25" customHeight="1" thickTop="1" thickBot="1">
      <c r="A2" s="252" t="s">
        <v>842</v>
      </c>
      <c r="B2" s="253" t="s">
        <v>2136</v>
      </c>
      <c r="C2" s="253" t="s">
        <v>633</v>
      </c>
      <c r="D2" s="253" t="s">
        <v>634</v>
      </c>
      <c r="E2" s="836" t="s">
        <v>410</v>
      </c>
      <c r="F2" s="253" t="s">
        <v>2439</v>
      </c>
      <c r="G2" s="253" t="s">
        <v>413</v>
      </c>
      <c r="H2" s="838" t="s">
        <v>2461</v>
      </c>
      <c r="I2" s="839" t="s">
        <v>2462</v>
      </c>
      <c r="J2" s="253" t="s">
        <v>2132</v>
      </c>
      <c r="K2" s="254" t="s">
        <v>254</v>
      </c>
    </row>
    <row r="3" spans="1:11" ht="16.5" thickTop="1">
      <c r="A3" s="17">
        <v>1</v>
      </c>
      <c r="B3" s="18" t="s">
        <v>462</v>
      </c>
      <c r="C3" s="255">
        <v>37511</v>
      </c>
      <c r="D3" s="255">
        <v>37621</v>
      </c>
      <c r="E3" s="329">
        <f>D3-C3</f>
        <v>110</v>
      </c>
      <c r="F3" s="18" t="s">
        <v>1155</v>
      </c>
      <c r="G3" s="77">
        <f>VLOOKUP(F3,$A$20:$C$25,2,0)</f>
        <v>200</v>
      </c>
      <c r="H3" s="116">
        <f>VLOOKUP(F3,$A$20:$C$25,3,0)</f>
        <v>0.1</v>
      </c>
      <c r="I3" s="885">
        <f>E3*G3</f>
        <v>22000</v>
      </c>
      <c r="J3" s="885">
        <f>IF(E3&gt;30,I3*5%,0)</f>
        <v>1100</v>
      </c>
      <c r="K3" s="886">
        <f>SUM(I3:J3)</f>
        <v>23100</v>
      </c>
    </row>
    <row r="4" spans="1:11">
      <c r="A4" s="23">
        <v>2</v>
      </c>
      <c r="B4" s="24" t="s">
        <v>463</v>
      </c>
      <c r="C4" s="256">
        <v>37560</v>
      </c>
      <c r="D4" s="256">
        <v>37602</v>
      </c>
      <c r="E4" s="329">
        <f t="shared" ref="E4:E17" si="0">D4-C4</f>
        <v>42</v>
      </c>
      <c r="F4" s="24" t="s">
        <v>1162</v>
      </c>
      <c r="G4" s="77">
        <f t="shared" ref="G4:G17" si="1">VLOOKUP(F4,$A$20:$C$25,2,0)</f>
        <v>100</v>
      </c>
      <c r="H4" s="116">
        <f t="shared" ref="H4:H17" si="2">VLOOKUP(F4,$A$20:$C$25,3,0)</f>
        <v>0.05</v>
      </c>
      <c r="I4" s="885">
        <f t="shared" ref="I4:I17" si="3">E4*G4</f>
        <v>4200</v>
      </c>
      <c r="J4" s="885">
        <f t="shared" ref="J4:J17" si="4">IF(E4&gt;30,I4*5%,0)</f>
        <v>210</v>
      </c>
      <c r="K4" s="886">
        <f t="shared" ref="K4:K17" si="5">SUM(I4:J4)</f>
        <v>4410</v>
      </c>
    </row>
    <row r="5" spans="1:11">
      <c r="A5" s="23">
        <v>3</v>
      </c>
      <c r="B5" s="24" t="s">
        <v>470</v>
      </c>
      <c r="C5" s="256">
        <v>37560</v>
      </c>
      <c r="D5" s="256">
        <v>37614</v>
      </c>
      <c r="E5" s="329">
        <f t="shared" si="0"/>
        <v>54</v>
      </c>
      <c r="F5" s="24" t="s">
        <v>1155</v>
      </c>
      <c r="G5" s="77">
        <f t="shared" si="1"/>
        <v>200</v>
      </c>
      <c r="H5" s="116">
        <f t="shared" si="2"/>
        <v>0.1</v>
      </c>
      <c r="I5" s="885">
        <f t="shared" si="3"/>
        <v>10800</v>
      </c>
      <c r="J5" s="885">
        <f t="shared" si="4"/>
        <v>540</v>
      </c>
      <c r="K5" s="886">
        <f t="shared" si="5"/>
        <v>11340</v>
      </c>
    </row>
    <row r="6" spans="1:11">
      <c r="A6" s="23">
        <v>4</v>
      </c>
      <c r="B6" s="24" t="s">
        <v>471</v>
      </c>
      <c r="C6" s="256">
        <v>37560</v>
      </c>
      <c r="D6" s="256">
        <v>37614</v>
      </c>
      <c r="E6" s="329">
        <f t="shared" si="0"/>
        <v>54</v>
      </c>
      <c r="F6" s="24" t="s">
        <v>1155</v>
      </c>
      <c r="G6" s="77">
        <f t="shared" si="1"/>
        <v>200</v>
      </c>
      <c r="H6" s="116">
        <f t="shared" si="2"/>
        <v>0.1</v>
      </c>
      <c r="I6" s="885">
        <f t="shared" si="3"/>
        <v>10800</v>
      </c>
      <c r="J6" s="885">
        <f t="shared" si="4"/>
        <v>540</v>
      </c>
      <c r="K6" s="886">
        <f t="shared" si="5"/>
        <v>11340</v>
      </c>
    </row>
    <row r="7" spans="1:11">
      <c r="A7" s="23">
        <v>5</v>
      </c>
      <c r="B7" s="24" t="s">
        <v>472</v>
      </c>
      <c r="C7" s="256">
        <v>37560</v>
      </c>
      <c r="D7" s="256">
        <v>37614</v>
      </c>
      <c r="E7" s="329">
        <f t="shared" si="0"/>
        <v>54</v>
      </c>
      <c r="F7" s="24" t="s">
        <v>1156</v>
      </c>
      <c r="G7" s="77">
        <f t="shared" si="1"/>
        <v>150</v>
      </c>
      <c r="H7" s="116">
        <f t="shared" si="2"/>
        <v>0.08</v>
      </c>
      <c r="I7" s="885">
        <f t="shared" si="3"/>
        <v>8100</v>
      </c>
      <c r="J7" s="885">
        <f t="shared" si="4"/>
        <v>405</v>
      </c>
      <c r="K7" s="886">
        <f t="shared" si="5"/>
        <v>8505</v>
      </c>
    </row>
    <row r="8" spans="1:11">
      <c r="A8" s="23">
        <v>6</v>
      </c>
      <c r="B8" s="24" t="s">
        <v>473</v>
      </c>
      <c r="C8" s="256">
        <v>37560</v>
      </c>
      <c r="D8" s="256">
        <v>37614</v>
      </c>
      <c r="E8" s="329">
        <f t="shared" si="0"/>
        <v>54</v>
      </c>
      <c r="F8" s="24" t="s">
        <v>1155</v>
      </c>
      <c r="G8" s="77">
        <f t="shared" si="1"/>
        <v>200</v>
      </c>
      <c r="H8" s="116">
        <f t="shared" si="2"/>
        <v>0.1</v>
      </c>
      <c r="I8" s="885">
        <f t="shared" si="3"/>
        <v>10800</v>
      </c>
      <c r="J8" s="885">
        <f t="shared" si="4"/>
        <v>540</v>
      </c>
      <c r="K8" s="886">
        <f t="shared" si="5"/>
        <v>11340</v>
      </c>
    </row>
    <row r="9" spans="1:11">
      <c r="A9" s="23">
        <v>7</v>
      </c>
      <c r="B9" s="24" t="s">
        <v>474</v>
      </c>
      <c r="C9" s="256">
        <v>37561</v>
      </c>
      <c r="D9" s="256">
        <v>37612</v>
      </c>
      <c r="E9" s="329">
        <f t="shared" si="0"/>
        <v>51</v>
      </c>
      <c r="F9" s="24" t="s">
        <v>495</v>
      </c>
      <c r="G9" s="77">
        <f t="shared" si="1"/>
        <v>60</v>
      </c>
      <c r="H9" s="116">
        <f t="shared" si="2"/>
        <v>0.04</v>
      </c>
      <c r="I9" s="885">
        <f t="shared" si="3"/>
        <v>3060</v>
      </c>
      <c r="J9" s="885">
        <f t="shared" si="4"/>
        <v>153</v>
      </c>
      <c r="K9" s="886">
        <f t="shared" si="5"/>
        <v>3213</v>
      </c>
    </row>
    <row r="10" spans="1:11">
      <c r="A10" s="23">
        <v>8</v>
      </c>
      <c r="B10" s="24" t="s">
        <v>475</v>
      </c>
      <c r="C10" s="256">
        <v>37561</v>
      </c>
      <c r="D10" s="256">
        <v>37621</v>
      </c>
      <c r="E10" s="329">
        <f t="shared" si="0"/>
        <v>60</v>
      </c>
      <c r="F10" s="24" t="s">
        <v>1163</v>
      </c>
      <c r="G10" s="77">
        <f t="shared" si="1"/>
        <v>80</v>
      </c>
      <c r="H10" s="116">
        <f t="shared" si="2"/>
        <v>0.05</v>
      </c>
      <c r="I10" s="885">
        <f t="shared" si="3"/>
        <v>4800</v>
      </c>
      <c r="J10" s="885">
        <f t="shared" si="4"/>
        <v>240</v>
      </c>
      <c r="K10" s="886">
        <f t="shared" si="5"/>
        <v>5040</v>
      </c>
    </row>
    <row r="11" spans="1:11">
      <c r="A11" s="23">
        <v>9</v>
      </c>
      <c r="B11" s="24" t="s">
        <v>476</v>
      </c>
      <c r="C11" s="256">
        <v>37561</v>
      </c>
      <c r="D11" s="256">
        <v>37615</v>
      </c>
      <c r="E11" s="329">
        <f t="shared" si="0"/>
        <v>54</v>
      </c>
      <c r="F11" s="24" t="s">
        <v>1155</v>
      </c>
      <c r="G11" s="77">
        <f t="shared" si="1"/>
        <v>200</v>
      </c>
      <c r="H11" s="116">
        <f t="shared" si="2"/>
        <v>0.1</v>
      </c>
      <c r="I11" s="885">
        <f t="shared" si="3"/>
        <v>10800</v>
      </c>
      <c r="J11" s="885">
        <f t="shared" si="4"/>
        <v>540</v>
      </c>
      <c r="K11" s="886">
        <f t="shared" si="5"/>
        <v>11340</v>
      </c>
    </row>
    <row r="12" spans="1:11">
      <c r="A12" s="23">
        <v>10</v>
      </c>
      <c r="B12" s="24" t="s">
        <v>489</v>
      </c>
      <c r="C12" s="256">
        <v>37575</v>
      </c>
      <c r="D12" s="256">
        <v>37610</v>
      </c>
      <c r="E12" s="329">
        <f t="shared" si="0"/>
        <v>35</v>
      </c>
      <c r="F12" s="24" t="s">
        <v>1155</v>
      </c>
      <c r="G12" s="77">
        <f t="shared" si="1"/>
        <v>200</v>
      </c>
      <c r="H12" s="116">
        <f t="shared" si="2"/>
        <v>0.1</v>
      </c>
      <c r="I12" s="885">
        <f t="shared" si="3"/>
        <v>7000</v>
      </c>
      <c r="J12" s="885">
        <f t="shared" si="4"/>
        <v>350</v>
      </c>
      <c r="K12" s="886">
        <f t="shared" si="5"/>
        <v>7350</v>
      </c>
    </row>
    <row r="13" spans="1:11">
      <c r="A13" s="23">
        <v>11</v>
      </c>
      <c r="B13" s="24" t="s">
        <v>490</v>
      </c>
      <c r="C13" s="256">
        <v>37539</v>
      </c>
      <c r="D13" s="256">
        <v>37602</v>
      </c>
      <c r="E13" s="329">
        <f t="shared" si="0"/>
        <v>63</v>
      </c>
      <c r="F13" s="24" t="s">
        <v>1162</v>
      </c>
      <c r="G13" s="77">
        <f t="shared" si="1"/>
        <v>100</v>
      </c>
      <c r="H13" s="116">
        <f t="shared" si="2"/>
        <v>0.05</v>
      </c>
      <c r="I13" s="885">
        <f t="shared" si="3"/>
        <v>6300</v>
      </c>
      <c r="J13" s="885">
        <f t="shared" si="4"/>
        <v>315</v>
      </c>
      <c r="K13" s="886">
        <f t="shared" si="5"/>
        <v>6615</v>
      </c>
    </row>
    <row r="14" spans="1:11">
      <c r="A14" s="23">
        <v>12</v>
      </c>
      <c r="B14" s="24" t="s">
        <v>491</v>
      </c>
      <c r="C14" s="256">
        <v>37561</v>
      </c>
      <c r="D14" s="256">
        <v>37590</v>
      </c>
      <c r="E14" s="329">
        <f t="shared" si="0"/>
        <v>29</v>
      </c>
      <c r="F14" s="24" t="s">
        <v>1156</v>
      </c>
      <c r="G14" s="77">
        <f t="shared" si="1"/>
        <v>150</v>
      </c>
      <c r="H14" s="116">
        <f t="shared" si="2"/>
        <v>0.08</v>
      </c>
      <c r="I14" s="885">
        <f t="shared" si="3"/>
        <v>4350</v>
      </c>
      <c r="J14" s="885">
        <f t="shared" si="4"/>
        <v>0</v>
      </c>
      <c r="K14" s="886">
        <f t="shared" si="5"/>
        <v>4350</v>
      </c>
    </row>
    <row r="15" spans="1:11">
      <c r="A15" s="23">
        <v>13</v>
      </c>
      <c r="B15" s="24" t="s">
        <v>492</v>
      </c>
      <c r="C15" s="256">
        <v>37560</v>
      </c>
      <c r="D15" s="256">
        <v>37602</v>
      </c>
      <c r="E15" s="329">
        <f t="shared" si="0"/>
        <v>42</v>
      </c>
      <c r="F15" s="24" t="s">
        <v>495</v>
      </c>
      <c r="G15" s="77">
        <f t="shared" si="1"/>
        <v>60</v>
      </c>
      <c r="H15" s="116">
        <f t="shared" si="2"/>
        <v>0.04</v>
      </c>
      <c r="I15" s="885">
        <f t="shared" si="3"/>
        <v>2520</v>
      </c>
      <c r="J15" s="885">
        <f t="shared" si="4"/>
        <v>126</v>
      </c>
      <c r="K15" s="886">
        <f t="shared" si="5"/>
        <v>2646</v>
      </c>
    </row>
    <row r="16" spans="1:11">
      <c r="A16" s="23">
        <v>14</v>
      </c>
      <c r="B16" s="24" t="s">
        <v>493</v>
      </c>
      <c r="C16" s="256">
        <v>37571</v>
      </c>
      <c r="D16" s="256">
        <v>37590</v>
      </c>
      <c r="E16" s="329">
        <f t="shared" si="0"/>
        <v>19</v>
      </c>
      <c r="F16" s="24" t="s">
        <v>1155</v>
      </c>
      <c r="G16" s="77">
        <f t="shared" si="1"/>
        <v>200</v>
      </c>
      <c r="H16" s="116">
        <f t="shared" si="2"/>
        <v>0.1</v>
      </c>
      <c r="I16" s="885">
        <f t="shared" si="3"/>
        <v>3800</v>
      </c>
      <c r="J16" s="885">
        <f t="shared" si="4"/>
        <v>0</v>
      </c>
      <c r="K16" s="886">
        <f t="shared" si="5"/>
        <v>3800</v>
      </c>
    </row>
    <row r="17" spans="1:11" ht="16.5" thickBot="1">
      <c r="A17" s="79">
        <v>15</v>
      </c>
      <c r="B17" s="80" t="s">
        <v>494</v>
      </c>
      <c r="C17" s="257">
        <v>37621</v>
      </c>
      <c r="D17" s="257">
        <v>37623</v>
      </c>
      <c r="E17" s="329">
        <f t="shared" si="0"/>
        <v>2</v>
      </c>
      <c r="F17" s="80" t="s">
        <v>495</v>
      </c>
      <c r="G17" s="77">
        <f t="shared" si="1"/>
        <v>60</v>
      </c>
      <c r="H17" s="116">
        <f t="shared" si="2"/>
        <v>0.04</v>
      </c>
      <c r="I17" s="885">
        <f t="shared" si="3"/>
        <v>120</v>
      </c>
      <c r="J17" s="885">
        <f t="shared" si="4"/>
        <v>0</v>
      </c>
      <c r="K17" s="886">
        <f t="shared" si="5"/>
        <v>120</v>
      </c>
    </row>
    <row r="18" spans="1:11" ht="16.5" thickTop="1">
      <c r="A18" s="258"/>
      <c r="B18" s="226"/>
      <c r="C18" s="259"/>
      <c r="D18" s="259"/>
      <c r="E18" s="837"/>
      <c r="F18" s="226"/>
      <c r="G18" s="226"/>
      <c r="H18" s="307"/>
      <c r="I18" s="365"/>
      <c r="J18" s="226"/>
      <c r="K18" s="226"/>
    </row>
    <row r="19" spans="1:11" ht="16.5" thickBot="1">
      <c r="A19" s="1004" t="s">
        <v>2135</v>
      </c>
      <c r="B19" s="1004"/>
      <c r="C19" s="1004"/>
      <c r="D19" s="259"/>
      <c r="E19" s="837"/>
      <c r="F19" s="226"/>
      <c r="G19" s="226"/>
      <c r="H19" s="307"/>
      <c r="I19" s="365"/>
      <c r="J19" s="226"/>
      <c r="K19" s="226"/>
    </row>
    <row r="20" spans="1:11" ht="17.25" thickTop="1" thickBot="1">
      <c r="A20" s="14" t="s">
        <v>385</v>
      </c>
      <c r="B20" s="15" t="s">
        <v>413</v>
      </c>
      <c r="C20" s="16" t="s">
        <v>2139</v>
      </c>
      <c r="D20" s="259"/>
      <c r="E20" s="837"/>
      <c r="F20" s="226"/>
      <c r="G20" s="226"/>
      <c r="H20" s="307"/>
      <c r="I20" s="365"/>
      <c r="J20" s="226"/>
      <c r="K20" s="226"/>
    </row>
    <row r="21" spans="1:11" ht="16.5" thickTop="1">
      <c r="A21" s="17" t="s">
        <v>1155</v>
      </c>
      <c r="B21" s="260">
        <v>200</v>
      </c>
      <c r="C21" s="261">
        <v>0.1</v>
      </c>
      <c r="D21" s="259"/>
      <c r="E21" s="837"/>
      <c r="F21" s="226"/>
      <c r="G21" s="226"/>
      <c r="H21" s="307"/>
      <c r="I21" s="365"/>
      <c r="J21" s="226"/>
      <c r="K21" s="226"/>
    </row>
    <row r="22" spans="1:11">
      <c r="A22" s="23" t="s">
        <v>1156</v>
      </c>
      <c r="B22" s="181">
        <v>150</v>
      </c>
      <c r="C22" s="262">
        <v>0.08</v>
      </c>
      <c r="D22" s="259"/>
      <c r="E22" s="837"/>
      <c r="F22" s="226"/>
      <c r="G22" s="226"/>
      <c r="H22" s="307"/>
      <c r="I22" s="365"/>
      <c r="J22" s="226"/>
      <c r="K22" s="226"/>
    </row>
    <row r="23" spans="1:11">
      <c r="A23" s="23" t="s">
        <v>1162</v>
      </c>
      <c r="B23" s="181">
        <v>100</v>
      </c>
      <c r="C23" s="262">
        <v>0.05</v>
      </c>
      <c r="D23" s="259"/>
      <c r="E23" s="837"/>
      <c r="F23" s="226"/>
      <c r="G23" s="226"/>
      <c r="H23" s="307"/>
      <c r="I23" s="365"/>
      <c r="J23" s="226"/>
      <c r="K23" s="226"/>
    </row>
    <row r="24" spans="1:11">
      <c r="A24" s="23" t="s">
        <v>1163</v>
      </c>
      <c r="B24" s="181">
        <v>80</v>
      </c>
      <c r="C24" s="262">
        <v>0.05</v>
      </c>
      <c r="D24" s="259"/>
      <c r="E24" s="837"/>
      <c r="F24" s="226"/>
      <c r="G24" s="226"/>
      <c r="H24" s="307"/>
      <c r="I24" s="365"/>
      <c r="J24" s="226"/>
      <c r="K24" s="226"/>
    </row>
    <row r="25" spans="1:11" ht="16.5" thickBot="1">
      <c r="A25" s="79" t="s">
        <v>495</v>
      </c>
      <c r="B25" s="263">
        <v>60</v>
      </c>
      <c r="C25" s="264">
        <v>0.04</v>
      </c>
    </row>
    <row r="26" spans="1:11" ht="16.5" thickTop="1"/>
    <row r="27" spans="1:11">
      <c r="A27" s="26" t="s">
        <v>2133</v>
      </c>
    </row>
    <row r="28" spans="1:11">
      <c r="A28" s="26" t="s">
        <v>2140</v>
      </c>
    </row>
    <row r="29" spans="1:11">
      <c r="A29" s="26" t="s">
        <v>2137</v>
      </c>
    </row>
    <row r="30" spans="1:11">
      <c r="A30" s="26" t="s">
        <v>2138</v>
      </c>
    </row>
    <row r="31" spans="1:11">
      <c r="A31" s="26" t="s">
        <v>2141</v>
      </c>
    </row>
  </sheetData>
  <mergeCells count="2">
    <mergeCell ref="A1:K1"/>
    <mergeCell ref="A19:C19"/>
  </mergeCells>
  <phoneticPr fontId="0" type="noConversion"/>
  <pageMargins left="0.75" right="0.75" top="1" bottom="1" header="0.5" footer="0.5"/>
  <pageSetup paperSize="9" orientation="portrait" r:id="rId1"/>
  <headerFooter alignWithMargins="0">
    <oddFooter>&amp;R&amp;A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M24"/>
  <sheetViews>
    <sheetView showGridLines="0" workbookViewId="0">
      <selection activeCell="K16" sqref="K16"/>
    </sheetView>
  </sheetViews>
  <sheetFormatPr defaultRowHeight="15.75"/>
  <cols>
    <col min="1" max="1" width="3.625" style="27" customWidth="1"/>
    <col min="2" max="2" width="7.125" style="27" customWidth="1"/>
    <col min="3" max="3" width="10.875" style="27" customWidth="1"/>
    <col min="4" max="4" width="9.625" style="27" bestFit="1" customWidth="1"/>
    <col min="5" max="5" width="5.25" style="27" customWidth="1"/>
    <col min="6" max="6" width="5.625" style="27" customWidth="1"/>
    <col min="7" max="7" width="4.625" style="27" customWidth="1"/>
    <col min="8" max="8" width="9.625" style="27" bestFit="1" customWidth="1"/>
    <col min="9" max="9" width="5.375" style="27" customWidth="1"/>
    <col min="10" max="10" width="9.75" style="27" customWidth="1"/>
    <col min="11" max="11" width="10.125" style="27" customWidth="1"/>
    <col min="12" max="12" width="9" style="27" customWidth="1"/>
    <col min="13" max="13" width="9.875" style="27" bestFit="1" customWidth="1"/>
    <col min="14" max="16384" width="9" style="27"/>
  </cols>
  <sheetData>
    <row r="1" spans="1:13" ht="33" customHeight="1" thickTop="1" thickBot="1">
      <c r="A1" s="73" t="s">
        <v>842</v>
      </c>
      <c r="B1" s="74" t="s">
        <v>2059</v>
      </c>
      <c r="C1" s="74" t="s">
        <v>68</v>
      </c>
      <c r="D1" s="74" t="s">
        <v>58</v>
      </c>
      <c r="E1" s="74" t="s">
        <v>496</v>
      </c>
      <c r="F1" s="74" t="s">
        <v>600</v>
      </c>
      <c r="G1" s="74" t="s">
        <v>497</v>
      </c>
      <c r="H1" s="74" t="s">
        <v>111</v>
      </c>
      <c r="I1" s="74" t="s">
        <v>392</v>
      </c>
      <c r="J1" s="74" t="s">
        <v>2143</v>
      </c>
      <c r="K1" s="75" t="s">
        <v>2324</v>
      </c>
    </row>
    <row r="2" spans="1:13" ht="16.5" thickTop="1">
      <c r="A2" s="888"/>
      <c r="B2" s="883" t="s">
        <v>630</v>
      </c>
      <c r="C2" s="265">
        <v>28353</v>
      </c>
      <c r="D2" s="887">
        <f t="shared" ref="D2:D11" ca="1" si="0">YEAR(TODAY())-YEAR(C2)</f>
        <v>42</v>
      </c>
      <c r="E2" s="883" t="s">
        <v>1137</v>
      </c>
      <c r="F2" s="69">
        <v>9</v>
      </c>
      <c r="G2" s="69">
        <v>10</v>
      </c>
      <c r="H2" s="887">
        <f t="shared" ref="H2:H11" si="1">(F2*2+G2*3)/5</f>
        <v>9.6</v>
      </c>
      <c r="I2" s="266">
        <f t="shared" ref="I2:I11" si="2">RANK(H2,$H$2:$H$11)</f>
        <v>1</v>
      </c>
      <c r="J2" s="196" t="str">
        <f t="shared" ref="J2:J11" si="3">IF(H2&lt;5,"Kem",IF(H2&lt;=6.5,"TB",IF(H2&lt;=8,"Kha",IF(H2&lt;=9.5,"Gioi","XS"))))</f>
        <v>XS</v>
      </c>
      <c r="K2" s="197">
        <f t="shared" ref="K2:K11" si="4">IF(J2="XS",200,IF(J2="Gioi",100,IF(J2="Kha",50,IF(J2="TB",0,-100))))</f>
        <v>200</v>
      </c>
      <c r="M2" s="267"/>
    </row>
    <row r="3" spans="1:13">
      <c r="A3" s="268"/>
      <c r="B3" s="882" t="s">
        <v>2330</v>
      </c>
      <c r="C3" s="53">
        <v>27526</v>
      </c>
      <c r="D3" s="887">
        <f t="shared" ca="1" si="0"/>
        <v>44</v>
      </c>
      <c r="E3" s="882" t="s">
        <v>94</v>
      </c>
      <c r="F3" s="884">
        <v>10</v>
      </c>
      <c r="G3" s="884">
        <v>8</v>
      </c>
      <c r="H3" s="887">
        <f t="shared" si="1"/>
        <v>8.8000000000000007</v>
      </c>
      <c r="I3" s="266">
        <f t="shared" si="2"/>
        <v>2</v>
      </c>
      <c r="J3" s="196" t="str">
        <f t="shared" si="3"/>
        <v>Gioi</v>
      </c>
      <c r="K3" s="197">
        <f t="shared" si="4"/>
        <v>100</v>
      </c>
      <c r="M3" s="267"/>
    </row>
    <row r="4" spans="1:13">
      <c r="A4" s="268"/>
      <c r="B4" s="269" t="s">
        <v>2329</v>
      </c>
      <c r="C4" s="53">
        <v>25893</v>
      </c>
      <c r="D4" s="887">
        <f t="shared" ca="1" si="0"/>
        <v>49</v>
      </c>
      <c r="E4" s="269" t="s">
        <v>94</v>
      </c>
      <c r="F4" s="29">
        <v>8</v>
      </c>
      <c r="G4" s="29">
        <v>9</v>
      </c>
      <c r="H4" s="887">
        <f t="shared" si="1"/>
        <v>8.6</v>
      </c>
      <c r="I4" s="266">
        <f t="shared" si="2"/>
        <v>3</v>
      </c>
      <c r="J4" s="196" t="str">
        <f t="shared" si="3"/>
        <v>Gioi</v>
      </c>
      <c r="K4" s="197">
        <f t="shared" si="4"/>
        <v>100</v>
      </c>
      <c r="M4" s="267"/>
    </row>
    <row r="5" spans="1:13">
      <c r="A5" s="268"/>
      <c r="B5" s="269" t="s">
        <v>630</v>
      </c>
      <c r="C5" s="53">
        <v>29454</v>
      </c>
      <c r="D5" s="887">
        <f t="shared" ca="1" si="0"/>
        <v>39</v>
      </c>
      <c r="E5" s="269" t="s">
        <v>94</v>
      </c>
      <c r="F5" s="29">
        <v>6</v>
      </c>
      <c r="G5" s="29">
        <v>8</v>
      </c>
      <c r="H5" s="887">
        <f t="shared" si="1"/>
        <v>7.2</v>
      </c>
      <c r="I5" s="266">
        <f t="shared" si="2"/>
        <v>4</v>
      </c>
      <c r="J5" s="196" t="str">
        <f t="shared" si="3"/>
        <v>Kha</v>
      </c>
      <c r="K5" s="197">
        <f t="shared" si="4"/>
        <v>50</v>
      </c>
      <c r="M5" s="267"/>
    </row>
    <row r="6" spans="1:13">
      <c r="A6" s="268"/>
      <c r="B6" s="269" t="s">
        <v>1021</v>
      </c>
      <c r="C6" s="53">
        <v>24951</v>
      </c>
      <c r="D6" s="887">
        <f t="shared" ca="1" si="0"/>
        <v>51</v>
      </c>
      <c r="E6" s="269" t="s">
        <v>1137</v>
      </c>
      <c r="F6" s="29">
        <v>9</v>
      </c>
      <c r="G6" s="29">
        <v>6</v>
      </c>
      <c r="H6" s="887">
        <f t="shared" si="1"/>
        <v>7.2</v>
      </c>
      <c r="I6" s="266">
        <f t="shared" si="2"/>
        <v>4</v>
      </c>
      <c r="J6" s="196" t="str">
        <f t="shared" si="3"/>
        <v>Kha</v>
      </c>
      <c r="K6" s="197">
        <f t="shared" si="4"/>
        <v>50</v>
      </c>
      <c r="M6" s="267"/>
    </row>
    <row r="7" spans="1:13">
      <c r="A7" s="268"/>
      <c r="B7" s="269" t="s">
        <v>498</v>
      </c>
      <c r="C7" s="53">
        <v>27892</v>
      </c>
      <c r="D7" s="887">
        <f t="shared" ca="1" si="0"/>
        <v>43</v>
      </c>
      <c r="E7" s="269" t="s">
        <v>1137</v>
      </c>
      <c r="F7" s="29">
        <v>5</v>
      </c>
      <c r="G7" s="29">
        <v>8</v>
      </c>
      <c r="H7" s="887">
        <f t="shared" si="1"/>
        <v>6.8</v>
      </c>
      <c r="I7" s="266">
        <f t="shared" si="2"/>
        <v>6</v>
      </c>
      <c r="J7" s="196" t="str">
        <f t="shared" si="3"/>
        <v>Kha</v>
      </c>
      <c r="K7" s="197">
        <f t="shared" si="4"/>
        <v>50</v>
      </c>
      <c r="M7" s="267"/>
    </row>
    <row r="8" spans="1:13">
      <c r="A8" s="268"/>
      <c r="B8" s="269" t="s">
        <v>2326</v>
      </c>
      <c r="C8" s="53">
        <v>25990</v>
      </c>
      <c r="D8" s="887">
        <f t="shared" ca="1" si="0"/>
        <v>48</v>
      </c>
      <c r="E8" s="269" t="s">
        <v>1137</v>
      </c>
      <c r="F8" s="29">
        <v>6</v>
      </c>
      <c r="G8" s="29">
        <v>7</v>
      </c>
      <c r="H8" s="887">
        <f t="shared" si="1"/>
        <v>6.6</v>
      </c>
      <c r="I8" s="266">
        <f t="shared" si="2"/>
        <v>7</v>
      </c>
      <c r="J8" s="196" t="str">
        <f t="shared" si="3"/>
        <v>Kha</v>
      </c>
      <c r="K8" s="197">
        <f t="shared" si="4"/>
        <v>50</v>
      </c>
      <c r="M8" s="267"/>
    </row>
    <row r="9" spans="1:13">
      <c r="A9" s="48">
        <v>1</v>
      </c>
      <c r="B9" s="882" t="s">
        <v>620</v>
      </c>
      <c r="C9" s="53">
        <v>28520</v>
      </c>
      <c r="D9" s="887">
        <f t="shared" ca="1" si="0"/>
        <v>41</v>
      </c>
      <c r="E9" s="882" t="s">
        <v>1137</v>
      </c>
      <c r="F9" s="884">
        <v>4</v>
      </c>
      <c r="G9" s="884">
        <v>7</v>
      </c>
      <c r="H9" s="887">
        <f t="shared" si="1"/>
        <v>5.8</v>
      </c>
      <c r="I9" s="266">
        <f t="shared" si="2"/>
        <v>8</v>
      </c>
      <c r="J9" s="196" t="str">
        <f t="shared" si="3"/>
        <v>TB</v>
      </c>
      <c r="K9" s="197">
        <f t="shared" si="4"/>
        <v>0</v>
      </c>
      <c r="M9" s="267"/>
    </row>
    <row r="10" spans="1:13">
      <c r="A10" s="268"/>
      <c r="B10" s="269" t="s">
        <v>499</v>
      </c>
      <c r="C10" s="53">
        <v>28386</v>
      </c>
      <c r="D10" s="887">
        <f t="shared" ca="1" si="0"/>
        <v>42</v>
      </c>
      <c r="E10" s="269" t="s">
        <v>94</v>
      </c>
      <c r="F10" s="29">
        <v>5</v>
      </c>
      <c r="G10" s="29">
        <v>4</v>
      </c>
      <c r="H10" s="887">
        <f t="shared" si="1"/>
        <v>4.4000000000000004</v>
      </c>
      <c r="I10" s="266">
        <f t="shared" si="2"/>
        <v>9</v>
      </c>
      <c r="J10" s="196" t="str">
        <f t="shared" si="3"/>
        <v>Kem</v>
      </c>
      <c r="K10" s="197">
        <f t="shared" si="4"/>
        <v>-100</v>
      </c>
      <c r="M10" s="267"/>
    </row>
    <row r="11" spans="1:13" ht="16.5" thickBot="1">
      <c r="A11" s="270"/>
      <c r="B11" s="881" t="s">
        <v>848</v>
      </c>
      <c r="C11" s="271">
        <v>26785</v>
      </c>
      <c r="D11" s="887">
        <f t="shared" ca="1" si="0"/>
        <v>46</v>
      </c>
      <c r="E11" s="881" t="s">
        <v>94</v>
      </c>
      <c r="F11" s="72">
        <v>3</v>
      </c>
      <c r="G11" s="72">
        <v>5</v>
      </c>
      <c r="H11" s="887">
        <f t="shared" si="1"/>
        <v>4.2</v>
      </c>
      <c r="I11" s="266">
        <f t="shared" si="2"/>
        <v>10</v>
      </c>
      <c r="J11" s="196" t="str">
        <f t="shared" si="3"/>
        <v>Kem</v>
      </c>
      <c r="K11" s="197">
        <f t="shared" si="4"/>
        <v>-100</v>
      </c>
      <c r="M11" s="267"/>
    </row>
    <row r="12" spans="1:13" ht="17.25" thickTop="1" thickBot="1">
      <c r="A12" s="272"/>
      <c r="B12" s="273"/>
      <c r="C12" s="274"/>
      <c r="D12" s="275"/>
      <c r="E12" s="273"/>
      <c r="F12" s="275"/>
      <c r="G12" s="275"/>
      <c r="H12" s="276"/>
      <c r="I12" s="276"/>
      <c r="J12" s="276"/>
      <c r="K12" s="276"/>
    </row>
    <row r="13" spans="1:13" ht="17.25" thickTop="1" thickBot="1">
      <c r="A13" s="33" t="s">
        <v>2332</v>
      </c>
      <c r="B13" s="277"/>
      <c r="J13" s="14" t="s">
        <v>385</v>
      </c>
      <c r="K13" s="16" t="s">
        <v>681</v>
      </c>
      <c r="L13" s="61"/>
    </row>
    <row r="14" spans="1:13" ht="16.5" thickTop="1">
      <c r="A14" s="33" t="s">
        <v>2333</v>
      </c>
      <c r="B14" s="277"/>
      <c r="J14" s="68" t="s">
        <v>2331</v>
      </c>
      <c r="K14" s="278">
        <f>COUNTIF(J2:J11,"Kem")</f>
        <v>2</v>
      </c>
      <c r="L14" s="61"/>
    </row>
    <row r="15" spans="1:13">
      <c r="A15" s="33" t="s">
        <v>2325</v>
      </c>
      <c r="J15" s="70" t="s">
        <v>500</v>
      </c>
      <c r="K15" s="279">
        <f>COUNTIF($J$2:$J$11,"TB")</f>
        <v>1</v>
      </c>
      <c r="L15" s="280"/>
    </row>
    <row r="16" spans="1:13">
      <c r="J16" s="70" t="s">
        <v>2327</v>
      </c>
      <c r="K16" s="279">
        <f>COUNTIF($J$2:$J$11,"Kha")</f>
        <v>4</v>
      </c>
      <c r="L16" s="280"/>
    </row>
    <row r="17" spans="1:12">
      <c r="J17" s="70" t="s">
        <v>2144</v>
      </c>
      <c r="K17" s="279">
        <f>COUNTIF($J$2:$J$11,"Gioi")</f>
        <v>2</v>
      </c>
      <c r="L17" s="280"/>
    </row>
    <row r="18" spans="1:12" ht="16.5" thickBot="1">
      <c r="J18" s="71" t="s">
        <v>2142</v>
      </c>
      <c r="K18" s="279">
        <f>COUNTIF($J$2:$J$11,"XS")</f>
        <v>1</v>
      </c>
      <c r="L18" s="280"/>
    </row>
    <row r="19" spans="1:12" ht="16.5" thickTop="1">
      <c r="L19" s="280"/>
    </row>
    <row r="20" spans="1:12">
      <c r="A20" s="33" t="s">
        <v>2328</v>
      </c>
    </row>
    <row r="21" spans="1:12">
      <c r="A21" s="33"/>
    </row>
    <row r="22" spans="1:12">
      <c r="B22" s="33"/>
    </row>
    <row r="23" spans="1:12">
      <c r="B23" s="33"/>
    </row>
    <row r="24" spans="1:12">
      <c r="B24" s="33"/>
    </row>
  </sheetData>
  <sortState ref="A2:K11">
    <sortCondition ref="I2:I11"/>
  </sortState>
  <phoneticPr fontId="0" type="noConversion"/>
  <pageMargins left="0.75" right="0.75" top="1" bottom="1" header="0.5" footer="0.5"/>
  <pageSetup orientation="portrait" horizontalDpi="180" verticalDpi="180" r:id="rId1"/>
  <headerFooter alignWithMargins="0">
    <oddFooter>&amp;R&amp;A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I18"/>
  <sheetViews>
    <sheetView showGridLines="0" workbookViewId="0">
      <selection activeCell="I13" sqref="I13"/>
    </sheetView>
  </sheetViews>
  <sheetFormatPr defaultRowHeight="15.75"/>
  <cols>
    <col min="1" max="1" width="4.625" style="12" customWidth="1"/>
    <col min="2" max="2" width="8.75" style="12" customWidth="1"/>
    <col min="3" max="3" width="10.25" style="12" customWidth="1"/>
    <col min="4" max="5" width="6.875" style="12" customWidth="1"/>
    <col min="6" max="6" width="7.375" style="12" customWidth="1"/>
    <col min="7" max="7" width="10.25" style="12" customWidth="1"/>
    <col min="8" max="8" width="11.125" style="12" customWidth="1"/>
    <col min="9" max="9" width="13" style="12" customWidth="1"/>
    <col min="10" max="16384" width="9" style="12"/>
  </cols>
  <sheetData>
    <row r="1" spans="1:9" ht="33" thickTop="1" thickBot="1">
      <c r="A1" s="14" t="s">
        <v>842</v>
      </c>
      <c r="B1" s="74" t="s">
        <v>2336</v>
      </c>
      <c r="C1" s="74" t="s">
        <v>2350</v>
      </c>
      <c r="D1" s="74" t="s">
        <v>2341</v>
      </c>
      <c r="E1" s="74" t="s">
        <v>2340</v>
      </c>
      <c r="F1" s="74" t="s">
        <v>2345</v>
      </c>
      <c r="G1" s="74" t="s">
        <v>2337</v>
      </c>
      <c r="H1" s="74" t="s">
        <v>2346</v>
      </c>
      <c r="I1" s="75" t="s">
        <v>117</v>
      </c>
    </row>
    <row r="2" spans="1:9" ht="16.5" thickTop="1">
      <c r="A2" s="17">
        <v>1</v>
      </c>
      <c r="B2" s="18" t="s">
        <v>2329</v>
      </c>
      <c r="C2" s="18" t="s">
        <v>2104</v>
      </c>
      <c r="D2" s="19">
        <v>0</v>
      </c>
      <c r="E2" s="18">
        <v>500</v>
      </c>
      <c r="F2" s="77">
        <f>E2-D2</f>
        <v>500</v>
      </c>
      <c r="G2" s="20">
        <f>IF(C2=$C$2,2000*F2,IF(C2=$C$3,800*F2,500*F2))</f>
        <v>1000000</v>
      </c>
      <c r="H2" s="20">
        <f>IF(C2=$C$2,20000,IF(C2=$C$3,10000,5000))</f>
        <v>20000</v>
      </c>
      <c r="I2" s="78">
        <f>SUM(G2:H2)</f>
        <v>1020000</v>
      </c>
    </row>
    <row r="3" spans="1:9">
      <c r="A3" s="281">
        <f t="shared" ref="A3:A8" si="0">A2+1</f>
        <v>2</v>
      </c>
      <c r="B3" s="24" t="s">
        <v>630</v>
      </c>
      <c r="C3" s="24" t="s">
        <v>456</v>
      </c>
      <c r="D3" s="25">
        <v>0</v>
      </c>
      <c r="E3" s="24">
        <v>200</v>
      </c>
      <c r="F3" s="77">
        <f t="shared" ref="F3:F8" si="1">E3-D3</f>
        <v>200</v>
      </c>
      <c r="G3" s="20">
        <f t="shared" ref="G3:G8" si="2">IF(C3=$C$2,2000*F3,IF(C3=$C$3,800*F3,500*F3))</f>
        <v>160000</v>
      </c>
      <c r="H3" s="20">
        <f t="shared" ref="H3:H8" si="3">IF(C3=$C$2,20000,IF(C3=$C$3,10000,5000))</f>
        <v>10000</v>
      </c>
      <c r="I3" s="78">
        <f t="shared" ref="I3:I8" si="4">SUM(G3:H3)</f>
        <v>170000</v>
      </c>
    </row>
    <row r="4" spans="1:9">
      <c r="A4" s="281">
        <f t="shared" si="0"/>
        <v>3</v>
      </c>
      <c r="B4" s="24" t="s">
        <v>2326</v>
      </c>
      <c r="C4" s="24" t="s">
        <v>2127</v>
      </c>
      <c r="D4" s="25">
        <v>0</v>
      </c>
      <c r="E4" s="24">
        <v>150</v>
      </c>
      <c r="F4" s="77">
        <f t="shared" si="1"/>
        <v>150</v>
      </c>
      <c r="G4" s="20">
        <f t="shared" si="2"/>
        <v>75000</v>
      </c>
      <c r="H4" s="20">
        <f t="shared" si="3"/>
        <v>5000</v>
      </c>
      <c r="I4" s="78">
        <f t="shared" si="4"/>
        <v>80000</v>
      </c>
    </row>
    <row r="5" spans="1:9">
      <c r="A5" s="281">
        <f t="shared" si="0"/>
        <v>4</v>
      </c>
      <c r="B5" s="24" t="s">
        <v>498</v>
      </c>
      <c r="C5" s="24" t="s">
        <v>2104</v>
      </c>
      <c r="D5" s="25">
        <v>0</v>
      </c>
      <c r="E5" s="24">
        <v>600</v>
      </c>
      <c r="F5" s="77">
        <f t="shared" si="1"/>
        <v>600</v>
      </c>
      <c r="G5" s="20">
        <f t="shared" si="2"/>
        <v>1200000</v>
      </c>
      <c r="H5" s="20">
        <f t="shared" si="3"/>
        <v>20000</v>
      </c>
      <c r="I5" s="78">
        <f t="shared" si="4"/>
        <v>1220000</v>
      </c>
    </row>
    <row r="6" spans="1:9">
      <c r="A6" s="281">
        <f t="shared" si="0"/>
        <v>5</v>
      </c>
      <c r="B6" s="24" t="s">
        <v>501</v>
      </c>
      <c r="C6" s="24" t="s">
        <v>2127</v>
      </c>
      <c r="D6" s="25">
        <v>0</v>
      </c>
      <c r="E6" s="24">
        <v>101</v>
      </c>
      <c r="F6" s="77">
        <f t="shared" si="1"/>
        <v>101</v>
      </c>
      <c r="G6" s="20">
        <f t="shared" si="2"/>
        <v>50500</v>
      </c>
      <c r="H6" s="20">
        <f t="shared" si="3"/>
        <v>5000</v>
      </c>
      <c r="I6" s="78">
        <f t="shared" si="4"/>
        <v>55500</v>
      </c>
    </row>
    <row r="7" spans="1:9">
      <c r="A7" s="281">
        <f t="shared" si="0"/>
        <v>6</v>
      </c>
      <c r="B7" s="24" t="s">
        <v>848</v>
      </c>
      <c r="C7" s="24" t="s">
        <v>2127</v>
      </c>
      <c r="D7" s="25">
        <v>0</v>
      </c>
      <c r="E7" s="24">
        <v>50</v>
      </c>
      <c r="F7" s="77">
        <f t="shared" si="1"/>
        <v>50</v>
      </c>
      <c r="G7" s="20">
        <f t="shared" si="2"/>
        <v>25000</v>
      </c>
      <c r="H7" s="20">
        <f t="shared" si="3"/>
        <v>5000</v>
      </c>
      <c r="I7" s="78">
        <f t="shared" si="4"/>
        <v>30000</v>
      </c>
    </row>
    <row r="8" spans="1:9" ht="16.5" thickBot="1">
      <c r="A8" s="281">
        <f t="shared" si="0"/>
        <v>7</v>
      </c>
      <c r="B8" s="80" t="s">
        <v>2334</v>
      </c>
      <c r="C8" s="80" t="s">
        <v>456</v>
      </c>
      <c r="D8" s="153">
        <v>0</v>
      </c>
      <c r="E8" s="80">
        <v>300</v>
      </c>
      <c r="F8" s="77">
        <f t="shared" si="1"/>
        <v>300</v>
      </c>
      <c r="G8" s="20">
        <f t="shared" si="2"/>
        <v>240000</v>
      </c>
      <c r="H8" s="20">
        <f t="shared" si="3"/>
        <v>10000</v>
      </c>
      <c r="I8" s="78">
        <f t="shared" si="4"/>
        <v>250000</v>
      </c>
    </row>
    <row r="9" spans="1:9" ht="17.25" thickTop="1" thickBot="1"/>
    <row r="10" spans="1:9" ht="17.25" thickTop="1" thickBot="1">
      <c r="A10" s="26" t="s">
        <v>2351</v>
      </c>
      <c r="B10" s="283"/>
      <c r="G10" s="14" t="s">
        <v>385</v>
      </c>
      <c r="H10" s="15" t="s">
        <v>2335</v>
      </c>
      <c r="I10" s="16" t="s">
        <v>117</v>
      </c>
    </row>
    <row r="11" spans="1:9" ht="16.5" thickTop="1">
      <c r="A11" s="26" t="s">
        <v>2342</v>
      </c>
      <c r="G11" s="83" t="s">
        <v>2104</v>
      </c>
      <c r="H11" s="219">
        <f>COUNTIF($C$2:$C$8,$C$2)</f>
        <v>2</v>
      </c>
      <c r="I11" s="78">
        <f>SUMIF($C$2:$C$8,$C$2,$I$2:$I$8)</f>
        <v>2240000</v>
      </c>
    </row>
    <row r="12" spans="1:9">
      <c r="A12" s="26" t="s">
        <v>2343</v>
      </c>
      <c r="G12" s="87" t="s">
        <v>456</v>
      </c>
      <c r="H12" s="219">
        <f>COUNTIF($C$2:$C$8,$C$3)</f>
        <v>2</v>
      </c>
      <c r="I12" s="78">
        <f>SUMIF($C$2:$C$8,$C$3,$I$2:$I$8)</f>
        <v>420000</v>
      </c>
    </row>
    <row r="13" spans="1:9" ht="16.5" thickBot="1">
      <c r="A13" s="26" t="s">
        <v>2348</v>
      </c>
      <c r="G13" s="89" t="s">
        <v>2127</v>
      </c>
      <c r="H13" s="219">
        <f>COUNTIF($C$2:$C$8,$C$4)</f>
        <v>3</v>
      </c>
      <c r="I13" s="78">
        <f>SUMIF($C$2:$C$8,$C$4,$I$2:$I$8)</f>
        <v>165500</v>
      </c>
    </row>
    <row r="14" spans="1:9" ht="16.5" thickTop="1">
      <c r="A14" s="26" t="s">
        <v>2344</v>
      </c>
    </row>
    <row r="15" spans="1:9">
      <c r="A15" s="26" t="s">
        <v>2338</v>
      </c>
    </row>
    <row r="16" spans="1:9">
      <c r="A16" s="26" t="s">
        <v>2339</v>
      </c>
    </row>
    <row r="17" spans="1:1">
      <c r="A17" s="26" t="s">
        <v>2349</v>
      </c>
    </row>
    <row r="18" spans="1:1">
      <c r="A18" s="26" t="s">
        <v>2347</v>
      </c>
    </row>
  </sheetData>
  <phoneticPr fontId="0" type="noConversion"/>
  <pageMargins left="0.75" right="0.75" top="1" bottom="1" header="0.5" footer="0.5"/>
  <pageSetup paperSize="9" orientation="portrait" r:id="rId1"/>
  <headerFooter alignWithMargins="0">
    <oddFooter>&amp;R&amp;A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J31"/>
  <sheetViews>
    <sheetView showGridLines="0" workbookViewId="0">
      <selection activeCell="C8" sqref="C8"/>
    </sheetView>
  </sheetViews>
  <sheetFormatPr defaultRowHeight="15.75"/>
  <cols>
    <col min="1" max="1" width="4.25" style="12" customWidth="1"/>
    <col min="2" max="2" width="7.625" style="12" customWidth="1"/>
    <col min="3" max="3" width="8.625" style="12" customWidth="1"/>
    <col min="4" max="4" width="15.625" style="12" customWidth="1"/>
    <col min="5" max="6" width="9" style="12" customWidth="1"/>
    <col min="7" max="7" width="10.625" style="12" bestFit="1" customWidth="1"/>
    <col min="8" max="8" width="10.75" style="12" customWidth="1"/>
    <col min="9" max="9" width="11.5" style="12" customWidth="1"/>
    <col min="10" max="16384" width="9" style="12"/>
  </cols>
  <sheetData>
    <row r="1" spans="1:10" ht="24" customHeight="1" thickBot="1">
      <c r="A1" s="931" t="s">
        <v>2359</v>
      </c>
      <c r="B1" s="931"/>
      <c r="C1" s="931"/>
      <c r="D1" s="931"/>
      <c r="E1" s="931"/>
      <c r="F1" s="931"/>
      <c r="G1" s="931"/>
      <c r="H1" s="931"/>
    </row>
    <row r="2" spans="1:10" ht="33" thickTop="1" thickBot="1">
      <c r="A2" s="73" t="s">
        <v>842</v>
      </c>
      <c r="B2" s="74" t="s">
        <v>660</v>
      </c>
      <c r="C2" s="74" t="s">
        <v>663</v>
      </c>
      <c r="D2" s="74" t="s">
        <v>2357</v>
      </c>
      <c r="E2" s="74" t="s">
        <v>687</v>
      </c>
      <c r="F2" s="74" t="s">
        <v>681</v>
      </c>
      <c r="G2" s="15" t="s">
        <v>666</v>
      </c>
      <c r="H2" s="16" t="s">
        <v>151</v>
      </c>
    </row>
    <row r="3" spans="1:10" ht="17.25" thickTop="1" thickBot="1">
      <c r="A3" s="17">
        <v>1</v>
      </c>
      <c r="B3" s="285" t="s">
        <v>502</v>
      </c>
      <c r="C3" s="77" t="str">
        <f>IF(LEFT(B3,1)="D",$F$17,IF(LEFT(B3,1)="X",$F$16,$F$18))</f>
        <v>Dầu</v>
      </c>
      <c r="D3" s="235" t="str">
        <f>VLOOKUP(RIGHT(B3,2),$H$21:$I$26,2,0)</f>
        <v>British Petro</v>
      </c>
      <c r="E3" s="222">
        <f>IF(C3=$C$3,$I$17,IF(C3=$C$5,$I$16,$I$18))</f>
        <v>1400</v>
      </c>
      <c r="F3" s="286">
        <v>2000</v>
      </c>
      <c r="G3" s="20">
        <f>IF(D3=$D$10,E3*F3,F3*E3*VLOOKUP(C3,$I$10:$J$12,2,0))</f>
        <v>70000</v>
      </c>
      <c r="H3" s="78">
        <f>F3*E3+G3</f>
        <v>2870000</v>
      </c>
    </row>
    <row r="4" spans="1:10" ht="17.25" thickTop="1" thickBot="1">
      <c r="A4" s="17">
        <v>2</v>
      </c>
      <c r="B4" s="287" t="s">
        <v>503</v>
      </c>
      <c r="C4" s="77" t="str">
        <f t="shared" ref="C4:C12" si="0">IF(LEFT(B4,1)="D",$F$17,IF(LEFT(B4,1)="X",$F$16,$F$18))</f>
        <v>Dầu</v>
      </c>
      <c r="D4" s="235" t="str">
        <f t="shared" ref="D4:D12" si="1">VLOOKUP(RIGHT(B4,2),$H$21:$I$26,2,0)</f>
        <v>Esso</v>
      </c>
      <c r="E4" s="222">
        <f t="shared" ref="E4:E12" si="2">IF(C4=$C$3,$I$17,IF(C4=$C$5,$I$16,$I$18))</f>
        <v>1400</v>
      </c>
      <c r="F4" s="288">
        <v>3000</v>
      </c>
      <c r="G4" s="20">
        <f t="shared" ref="G4:G12" si="3">IF(D4=$D$10,E4*F4,F4*E4*VLOOKUP(C4,$I$10:$J$12,2,0))</f>
        <v>105000</v>
      </c>
      <c r="H4" s="78">
        <f t="shared" ref="H4:H12" si="4">F4*E4+G4</f>
        <v>4305000</v>
      </c>
    </row>
    <row r="5" spans="1:10" ht="17.25" thickTop="1" thickBot="1">
      <c r="A5" s="17">
        <v>3</v>
      </c>
      <c r="B5" s="287" t="s">
        <v>504</v>
      </c>
      <c r="C5" s="77" t="str">
        <f t="shared" si="0"/>
        <v>Xăng</v>
      </c>
      <c r="D5" s="235" t="str">
        <f t="shared" si="1"/>
        <v>Shell</v>
      </c>
      <c r="E5" s="222">
        <f t="shared" si="2"/>
        <v>4500</v>
      </c>
      <c r="F5" s="288">
        <v>2500</v>
      </c>
      <c r="G5" s="20">
        <f t="shared" si="3"/>
        <v>337500</v>
      </c>
      <c r="H5" s="78">
        <f t="shared" si="4"/>
        <v>11587500</v>
      </c>
    </row>
    <row r="6" spans="1:10" ht="17.25" thickTop="1" thickBot="1">
      <c r="A6" s="17">
        <v>4</v>
      </c>
      <c r="B6" s="287" t="s">
        <v>505</v>
      </c>
      <c r="C6" s="77" t="str">
        <f t="shared" si="0"/>
        <v>Nhớt</v>
      </c>
      <c r="D6" s="235" t="str">
        <f t="shared" si="1"/>
        <v>Castrol</v>
      </c>
      <c r="E6" s="222">
        <f t="shared" si="2"/>
        <v>2500</v>
      </c>
      <c r="F6" s="288">
        <v>1500</v>
      </c>
      <c r="G6" s="20">
        <f t="shared" si="3"/>
        <v>75000</v>
      </c>
      <c r="H6" s="78">
        <f t="shared" si="4"/>
        <v>3825000</v>
      </c>
    </row>
    <row r="7" spans="1:10" ht="17.25" thickTop="1" thickBot="1">
      <c r="A7" s="17">
        <v>5</v>
      </c>
      <c r="B7" s="287" t="s">
        <v>506</v>
      </c>
      <c r="C7" s="77" t="str">
        <f t="shared" si="0"/>
        <v>Dầu</v>
      </c>
      <c r="D7" s="235" t="str">
        <f t="shared" si="1"/>
        <v>Trong nuoc</v>
      </c>
      <c r="E7" s="222">
        <f t="shared" si="2"/>
        <v>1400</v>
      </c>
      <c r="F7" s="288">
        <v>2000</v>
      </c>
      <c r="G7" s="20">
        <f t="shared" si="3"/>
        <v>2800000</v>
      </c>
      <c r="H7" s="78">
        <f t="shared" si="4"/>
        <v>5600000</v>
      </c>
    </row>
    <row r="8" spans="1:10" ht="17.25" thickTop="1" thickBot="1">
      <c r="A8" s="17">
        <v>6</v>
      </c>
      <c r="B8" s="287" t="s">
        <v>507</v>
      </c>
      <c r="C8" s="77" t="str">
        <f t="shared" si="0"/>
        <v>Nhớt</v>
      </c>
      <c r="D8" s="235" t="str">
        <f t="shared" si="1"/>
        <v>Mobil</v>
      </c>
      <c r="E8" s="222">
        <f t="shared" si="2"/>
        <v>2500</v>
      </c>
      <c r="F8" s="288">
        <v>4000</v>
      </c>
      <c r="G8" s="20">
        <f t="shared" si="3"/>
        <v>200000</v>
      </c>
      <c r="H8" s="78">
        <f t="shared" si="4"/>
        <v>10200000</v>
      </c>
    </row>
    <row r="9" spans="1:10" ht="17.25" thickTop="1" thickBot="1">
      <c r="A9" s="17">
        <v>7</v>
      </c>
      <c r="B9" s="287" t="s">
        <v>508</v>
      </c>
      <c r="C9" s="77" t="str">
        <f t="shared" si="0"/>
        <v>Nhớt</v>
      </c>
      <c r="D9" s="235" t="str">
        <f t="shared" si="1"/>
        <v>British Petro</v>
      </c>
      <c r="E9" s="222">
        <f t="shared" si="2"/>
        <v>2500</v>
      </c>
      <c r="F9" s="288">
        <v>3500</v>
      </c>
      <c r="G9" s="20">
        <f t="shared" si="3"/>
        <v>175000</v>
      </c>
      <c r="H9" s="78">
        <f t="shared" si="4"/>
        <v>8925000</v>
      </c>
    </row>
    <row r="10" spans="1:10" ht="17.25" thickTop="1" thickBot="1">
      <c r="A10" s="17">
        <v>8</v>
      </c>
      <c r="B10" s="287" t="s">
        <v>509</v>
      </c>
      <c r="C10" s="77" t="str">
        <f t="shared" si="0"/>
        <v>Xăng</v>
      </c>
      <c r="D10" s="235" t="str">
        <f t="shared" si="1"/>
        <v>Trong nuoc</v>
      </c>
      <c r="E10" s="222">
        <f t="shared" si="2"/>
        <v>4500</v>
      </c>
      <c r="F10" s="288">
        <v>2500</v>
      </c>
      <c r="G10" s="20">
        <f t="shared" si="3"/>
        <v>11250000</v>
      </c>
      <c r="H10" s="78">
        <f t="shared" si="4"/>
        <v>22500000</v>
      </c>
      <c r="I10" s="24" t="s">
        <v>2395</v>
      </c>
      <c r="J10" s="631">
        <v>0.03</v>
      </c>
    </row>
    <row r="11" spans="1:10" ht="17.25" thickTop="1" thickBot="1">
      <c r="A11" s="17">
        <v>9</v>
      </c>
      <c r="B11" s="287" t="s">
        <v>510</v>
      </c>
      <c r="C11" s="77" t="str">
        <f t="shared" si="0"/>
        <v>Xăng</v>
      </c>
      <c r="D11" s="235" t="str">
        <f t="shared" si="1"/>
        <v>Esso</v>
      </c>
      <c r="E11" s="222">
        <f t="shared" si="2"/>
        <v>4500</v>
      </c>
      <c r="F11" s="288">
        <v>1500</v>
      </c>
      <c r="G11" s="20">
        <f t="shared" si="3"/>
        <v>202500</v>
      </c>
      <c r="H11" s="78">
        <f t="shared" si="4"/>
        <v>6952500</v>
      </c>
      <c r="I11" s="24" t="s">
        <v>17</v>
      </c>
      <c r="J11" s="889">
        <v>2.5000000000000001E-2</v>
      </c>
    </row>
    <row r="12" spans="1:10" ht="17.25" thickTop="1" thickBot="1">
      <c r="A12" s="17">
        <v>10</v>
      </c>
      <c r="B12" s="289" t="s">
        <v>511</v>
      </c>
      <c r="C12" s="77" t="str">
        <f t="shared" si="0"/>
        <v>Nhớt</v>
      </c>
      <c r="D12" s="235" t="str">
        <f t="shared" si="1"/>
        <v>Castrol</v>
      </c>
      <c r="E12" s="222">
        <f t="shared" si="2"/>
        <v>2500</v>
      </c>
      <c r="F12" s="290">
        <v>2000</v>
      </c>
      <c r="G12" s="20">
        <f t="shared" si="3"/>
        <v>100000</v>
      </c>
      <c r="H12" s="78">
        <f t="shared" si="4"/>
        <v>5100000</v>
      </c>
      <c r="I12" s="24" t="s">
        <v>2463</v>
      </c>
      <c r="J12" s="631">
        <v>0.02</v>
      </c>
    </row>
    <row r="13" spans="1:10" ht="16.5" thickTop="1">
      <c r="A13" s="291"/>
      <c r="B13" s="292"/>
      <c r="C13" s="293"/>
      <c r="D13" s="293"/>
      <c r="E13" s="294"/>
      <c r="F13" s="295"/>
      <c r="G13" s="296"/>
      <c r="H13" s="296"/>
    </row>
    <row r="14" spans="1:10">
      <c r="A14" s="291"/>
      <c r="B14" s="292"/>
      <c r="C14" s="293"/>
      <c r="D14" s="293"/>
      <c r="E14" s="294"/>
      <c r="F14" s="946" t="s">
        <v>2360</v>
      </c>
      <c r="G14" s="946"/>
      <c r="H14" s="946"/>
    </row>
    <row r="15" spans="1:10">
      <c r="A15" s="291"/>
      <c r="B15" s="292"/>
      <c r="C15" s="293"/>
      <c r="D15" s="293"/>
      <c r="E15" s="294"/>
      <c r="F15" s="880" t="s">
        <v>663</v>
      </c>
      <c r="G15" s="880" t="s">
        <v>681</v>
      </c>
      <c r="H15" s="880" t="s">
        <v>151</v>
      </c>
      <c r="I15" s="879" t="s">
        <v>687</v>
      </c>
    </row>
    <row r="16" spans="1:10">
      <c r="A16" s="291"/>
      <c r="B16" s="292"/>
      <c r="C16" s="293"/>
      <c r="D16" s="293"/>
      <c r="E16" s="294"/>
      <c r="F16" s="24" t="s">
        <v>423</v>
      </c>
      <c r="G16" s="145">
        <f>COUNTIF($C$3:$C$12,$C$5)</f>
        <v>3</v>
      </c>
      <c r="H16" s="145">
        <f>SUMIF($C$3:$C$12,$C$5,$H$3:$H$12)</f>
        <v>41040000</v>
      </c>
      <c r="I16" s="24">
        <v>4500</v>
      </c>
    </row>
    <row r="17" spans="1:9">
      <c r="A17" s="291"/>
      <c r="B17" s="292"/>
      <c r="C17" s="293"/>
      <c r="D17" s="293"/>
      <c r="E17" s="294"/>
      <c r="F17" s="24" t="s">
        <v>17</v>
      </c>
      <c r="G17" s="145">
        <f>COUNTIF($C$3:$C$12,$C$4)</f>
        <v>3</v>
      </c>
      <c r="H17" s="145">
        <f>SUMIF($C$3:$C$12,$C$4,$H$3:$H$12)</f>
        <v>12775000</v>
      </c>
      <c r="I17" s="24">
        <v>1400</v>
      </c>
    </row>
    <row r="18" spans="1:9">
      <c r="F18" s="24" t="s">
        <v>2352</v>
      </c>
      <c r="G18" s="145">
        <f>COUNTIF($C$3:$C$12,$C$6)</f>
        <v>4</v>
      </c>
      <c r="H18" s="145">
        <f>SUMIF($C$3:$C$12,$C$6,$H$3:$H$12)</f>
        <v>28050000</v>
      </c>
      <c r="I18" s="24">
        <v>2500</v>
      </c>
    </row>
    <row r="19" spans="1:9">
      <c r="A19" s="26" t="s">
        <v>2364</v>
      </c>
      <c r="B19" s="297"/>
    </row>
    <row r="20" spans="1:9">
      <c r="A20" s="26" t="s">
        <v>2353</v>
      </c>
    </row>
    <row r="21" spans="1:9">
      <c r="A21" s="26" t="s">
        <v>2365</v>
      </c>
      <c r="H21" s="24" t="s">
        <v>2474</v>
      </c>
      <c r="I21" s="24" t="s">
        <v>2477</v>
      </c>
    </row>
    <row r="22" spans="1:9">
      <c r="A22" s="26" t="s">
        <v>721</v>
      </c>
      <c r="H22" s="24" t="s">
        <v>1150</v>
      </c>
      <c r="I22" s="24" t="s">
        <v>2478</v>
      </c>
    </row>
    <row r="23" spans="1:9">
      <c r="A23" s="26" t="s">
        <v>2356</v>
      </c>
      <c r="H23" s="24" t="s">
        <v>2475</v>
      </c>
      <c r="I23" s="24" t="s">
        <v>2479</v>
      </c>
    </row>
    <row r="24" spans="1:9">
      <c r="A24" s="26" t="s">
        <v>2358</v>
      </c>
      <c r="H24" s="24" t="s">
        <v>2476</v>
      </c>
      <c r="I24" s="24" t="s">
        <v>2480</v>
      </c>
    </row>
    <row r="25" spans="1:9">
      <c r="A25" s="26" t="s">
        <v>2354</v>
      </c>
      <c r="H25" s="24" t="s">
        <v>568</v>
      </c>
      <c r="I25" s="24" t="s">
        <v>2481</v>
      </c>
    </row>
    <row r="26" spans="1:9">
      <c r="A26" s="26" t="s">
        <v>2366</v>
      </c>
      <c r="H26" s="24" t="s">
        <v>566</v>
      </c>
      <c r="I26" s="24" t="s">
        <v>2482</v>
      </c>
    </row>
    <row r="27" spans="1:9">
      <c r="A27" s="26" t="s">
        <v>2363</v>
      </c>
    </row>
    <row r="28" spans="1:9">
      <c r="A28" s="26" t="s">
        <v>512</v>
      </c>
      <c r="D28" s="26" t="s">
        <v>2355</v>
      </c>
    </row>
    <row r="29" spans="1:9">
      <c r="A29" s="26" t="s">
        <v>2367</v>
      </c>
    </row>
    <row r="30" spans="1:9">
      <c r="A30" s="26" t="s">
        <v>2361</v>
      </c>
    </row>
    <row r="31" spans="1:9">
      <c r="A31" s="26" t="s">
        <v>2362</v>
      </c>
    </row>
  </sheetData>
  <mergeCells count="2">
    <mergeCell ref="A1:H1"/>
    <mergeCell ref="F14:H14"/>
  </mergeCells>
  <phoneticPr fontId="0" type="noConversion"/>
  <pageMargins left="0.75" right="0.75" top="1" bottom="1" header="0.5" footer="0.5"/>
  <pageSetup paperSize="9" orientation="portrait" r:id="rId1"/>
  <headerFooter alignWithMargins="0">
    <oddFooter>&amp;R&amp;A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22"/>
  <sheetViews>
    <sheetView showGridLines="0" workbookViewId="0">
      <selection activeCell="L5" sqref="L5"/>
    </sheetView>
  </sheetViews>
  <sheetFormatPr defaultRowHeight="15.75"/>
  <cols>
    <col min="1" max="1" width="3.75" style="12" customWidth="1"/>
    <col min="2" max="2" width="10.125" style="12" customWidth="1"/>
    <col min="3" max="3" width="4.625" style="12" customWidth="1"/>
    <col min="4" max="4" width="9" style="12" customWidth="1"/>
    <col min="5" max="5" width="12.375" style="12" customWidth="1"/>
    <col min="6" max="6" width="10.75" style="12" customWidth="1"/>
    <col min="7" max="7" width="10.75" style="223" customWidth="1"/>
    <col min="8" max="8" width="10.375" style="223" customWidth="1"/>
    <col min="9" max="9" width="7.25" style="12" customWidth="1"/>
    <col min="10" max="10" width="4.875" style="12" customWidth="1"/>
    <col min="11" max="11" width="8" style="12" customWidth="1"/>
    <col min="12" max="12" width="7.625" style="632" customWidth="1"/>
    <col min="13" max="13" width="7.5" style="12" customWidth="1"/>
    <col min="14" max="16384" width="9" style="12"/>
  </cols>
  <sheetData>
    <row r="1" spans="1:14" ht="48.75" thickTop="1" thickBot="1">
      <c r="A1" s="73" t="s">
        <v>842</v>
      </c>
      <c r="B1" s="841" t="s">
        <v>2465</v>
      </c>
      <c r="C1" s="74" t="s">
        <v>661</v>
      </c>
      <c r="D1" s="74" t="s">
        <v>663</v>
      </c>
      <c r="E1" s="74" t="s">
        <v>2371</v>
      </c>
      <c r="F1" s="74" t="s">
        <v>2375</v>
      </c>
      <c r="G1" s="836" t="s">
        <v>2464</v>
      </c>
      <c r="H1" s="836" t="s">
        <v>2379</v>
      </c>
      <c r="I1" s="74" t="s">
        <v>681</v>
      </c>
      <c r="J1" s="74" t="s">
        <v>687</v>
      </c>
      <c r="K1" s="74" t="s">
        <v>151</v>
      </c>
      <c r="L1" s="838" t="s">
        <v>666</v>
      </c>
      <c r="M1" s="75" t="s">
        <v>2376</v>
      </c>
    </row>
    <row r="2" spans="1:14" ht="16.5" thickTop="1">
      <c r="A2" s="17">
        <v>1</v>
      </c>
      <c r="B2" s="842" t="str">
        <f t="shared" ref="B2:B7" si="0">LEFT(C2)</f>
        <v>B</v>
      </c>
      <c r="C2" s="19" t="s">
        <v>1163</v>
      </c>
      <c r="D2" s="18" t="s">
        <v>2369</v>
      </c>
      <c r="E2" s="113">
        <v>35927</v>
      </c>
      <c r="F2" s="113">
        <f>DATE(98,5,15)</f>
        <v>35930</v>
      </c>
      <c r="G2" s="840">
        <f t="shared" ref="G2:G7" si="1">F2-E2</f>
        <v>3</v>
      </c>
      <c r="H2" s="329" t="str">
        <f>IF(G2&lt;=30,"Ban chay",IF(AND(G2&lt;=90,G2&gt;30),"Ban duoc","Ban cham"))</f>
        <v>Ban chay</v>
      </c>
      <c r="I2" s="298">
        <v>100</v>
      </c>
      <c r="J2" s="298">
        <v>5</v>
      </c>
      <c r="K2" s="20">
        <f>J2*I2</f>
        <v>500</v>
      </c>
      <c r="L2" s="505">
        <f>VLOOKUP(C2,$K$13:$M$16,IF(RIGHT(C2,1)=1,2,3))*K2</f>
        <v>25</v>
      </c>
      <c r="M2" s="78">
        <f>SUM(K2:L2)</f>
        <v>525</v>
      </c>
      <c r="N2" s="299"/>
    </row>
    <row r="3" spans="1:14">
      <c r="A3" s="281">
        <v>2</v>
      </c>
      <c r="B3" s="842" t="str">
        <f t="shared" si="0"/>
        <v>A</v>
      </c>
      <c r="C3" s="25" t="s">
        <v>1155</v>
      </c>
      <c r="D3" s="24" t="s">
        <v>2383</v>
      </c>
      <c r="E3" s="117">
        <v>35802</v>
      </c>
      <c r="F3" s="117">
        <f>DATE(98,4,17)</f>
        <v>35902</v>
      </c>
      <c r="G3" s="840">
        <f t="shared" si="1"/>
        <v>100</v>
      </c>
      <c r="H3" s="329" t="str">
        <f t="shared" ref="H3:H7" si="2">IF(G3&lt;=30,"Ban chay",IF(AND(G3&lt;=90,G3&gt;30),"Ban duoc","Ban cham"))</f>
        <v>Ban cham</v>
      </c>
      <c r="I3" s="300">
        <v>200</v>
      </c>
      <c r="J3" s="300">
        <v>10</v>
      </c>
      <c r="K3" s="20">
        <f t="shared" ref="K3:K7" si="3">J3*I3</f>
        <v>2000</v>
      </c>
      <c r="L3" s="505">
        <f t="shared" ref="L3:L7" si="4">VLOOKUP(C3,$K$13:$M$16,IF(RIGHT(C3,1)=1,2,3))*K3</f>
        <v>20</v>
      </c>
      <c r="M3" s="78">
        <f t="shared" ref="M3:M6" si="5">SUM(K3:L3)</f>
        <v>2020</v>
      </c>
      <c r="N3" s="299"/>
    </row>
    <row r="4" spans="1:14">
      <c r="A4" s="17">
        <v>3</v>
      </c>
      <c r="B4" s="842" t="str">
        <f t="shared" si="0"/>
        <v>D</v>
      </c>
      <c r="C4" s="25" t="s">
        <v>513</v>
      </c>
      <c r="D4" s="24" t="s">
        <v>232</v>
      </c>
      <c r="E4" s="117">
        <f>DATE(98,7,30)</f>
        <v>36006</v>
      </c>
      <c r="F4" s="117">
        <f>DATE(98,9,28)</f>
        <v>36066</v>
      </c>
      <c r="G4" s="840">
        <f t="shared" si="1"/>
        <v>60</v>
      </c>
      <c r="H4" s="329" t="str">
        <f t="shared" si="2"/>
        <v>Ban duoc</v>
      </c>
      <c r="I4" s="300">
        <v>300</v>
      </c>
      <c r="J4" s="300">
        <v>20</v>
      </c>
      <c r="K4" s="20">
        <f t="shared" si="3"/>
        <v>6000</v>
      </c>
      <c r="L4" s="505">
        <f t="shared" si="4"/>
        <v>720</v>
      </c>
      <c r="M4" s="78">
        <f t="shared" si="5"/>
        <v>6720</v>
      </c>
      <c r="N4" s="299"/>
    </row>
    <row r="5" spans="1:14">
      <c r="A5" s="281">
        <v>4</v>
      </c>
      <c r="B5" s="842" t="str">
        <f t="shared" si="0"/>
        <v>C</v>
      </c>
      <c r="C5" s="25" t="s">
        <v>514</v>
      </c>
      <c r="D5" s="24" t="s">
        <v>231</v>
      </c>
      <c r="E5" s="117">
        <f>DATE(98,2,1)</f>
        <v>35827</v>
      </c>
      <c r="F5" s="117">
        <f>DATE(98,12,1)</f>
        <v>36130</v>
      </c>
      <c r="G5" s="840">
        <f t="shared" si="1"/>
        <v>303</v>
      </c>
      <c r="H5" s="329" t="str">
        <f t="shared" si="2"/>
        <v>Ban cham</v>
      </c>
      <c r="I5" s="300">
        <v>120</v>
      </c>
      <c r="J5" s="300">
        <v>15</v>
      </c>
      <c r="K5" s="20">
        <f t="shared" si="3"/>
        <v>1800</v>
      </c>
      <c r="L5" s="505">
        <f t="shared" si="4"/>
        <v>144</v>
      </c>
      <c r="M5" s="78">
        <f t="shared" si="5"/>
        <v>1944</v>
      </c>
      <c r="N5" s="299"/>
    </row>
    <row r="6" spans="1:14">
      <c r="A6" s="17">
        <v>5</v>
      </c>
      <c r="B6" s="842" t="str">
        <f t="shared" si="0"/>
        <v>A</v>
      </c>
      <c r="C6" s="25" t="s">
        <v>1156</v>
      </c>
      <c r="D6" s="24" t="s">
        <v>2368</v>
      </c>
      <c r="E6" s="117">
        <f>DATE(98,7,30)</f>
        <v>36006</v>
      </c>
      <c r="F6" s="117">
        <f>DATE(98,9,28)</f>
        <v>36066</v>
      </c>
      <c r="G6" s="840">
        <f t="shared" si="1"/>
        <v>60</v>
      </c>
      <c r="H6" s="329" t="str">
        <f t="shared" si="2"/>
        <v>Ban duoc</v>
      </c>
      <c r="I6" s="300">
        <v>400</v>
      </c>
      <c r="J6" s="300">
        <v>15</v>
      </c>
      <c r="K6" s="20">
        <f t="shared" si="3"/>
        <v>6000</v>
      </c>
      <c r="L6" s="505">
        <f t="shared" si="4"/>
        <v>60</v>
      </c>
      <c r="M6" s="78">
        <f t="shared" si="5"/>
        <v>6060</v>
      </c>
      <c r="N6" s="299"/>
    </row>
    <row r="7" spans="1:14" ht="16.5" thickBot="1">
      <c r="A7" s="281">
        <v>6</v>
      </c>
      <c r="B7" s="842" t="str">
        <f t="shared" si="0"/>
        <v>B</v>
      </c>
      <c r="C7" s="100" t="s">
        <v>1162</v>
      </c>
      <c r="D7" s="101" t="s">
        <v>2384</v>
      </c>
      <c r="E7" s="121">
        <f>DATE(98,5,12)</f>
        <v>35927</v>
      </c>
      <c r="F7" s="121">
        <f>DATE(98,5,15)</f>
        <v>35930</v>
      </c>
      <c r="G7" s="840">
        <f t="shared" si="1"/>
        <v>3</v>
      </c>
      <c r="H7" s="329" t="str">
        <f t="shared" si="2"/>
        <v>Ban chay</v>
      </c>
      <c r="I7" s="215">
        <v>50</v>
      </c>
      <c r="J7" s="215">
        <v>10</v>
      </c>
      <c r="K7" s="20">
        <f t="shared" si="3"/>
        <v>500</v>
      </c>
      <c r="L7" s="505">
        <f t="shared" si="4"/>
        <v>25</v>
      </c>
      <c r="M7" s="78">
        <f>SUM(K7:L7)</f>
        <v>525</v>
      </c>
      <c r="N7" s="299"/>
    </row>
    <row r="8" spans="1:14" ht="15" customHeight="1" thickTop="1" thickBot="1">
      <c r="A8" s="984" t="s">
        <v>671</v>
      </c>
      <c r="B8" s="985"/>
      <c r="C8" s="985"/>
      <c r="D8" s="985"/>
      <c r="E8" s="985"/>
      <c r="F8" s="985"/>
      <c r="G8" s="985"/>
      <c r="H8" s="986"/>
      <c r="I8" s="158"/>
      <c r="J8" s="302"/>
      <c r="K8" s="20"/>
      <c r="L8" s="505"/>
      <c r="M8" s="78"/>
    </row>
    <row r="9" spans="1:14" ht="16.5" thickTop="1"/>
    <row r="10" spans="1:14" ht="16.5" thickBot="1">
      <c r="A10" s="26" t="s">
        <v>2380</v>
      </c>
      <c r="B10" s="26"/>
      <c r="D10" s="26"/>
      <c r="K10" s="946" t="s">
        <v>2370</v>
      </c>
      <c r="L10" s="946"/>
      <c r="M10" s="946"/>
    </row>
    <row r="11" spans="1:14" ht="16.5" thickTop="1">
      <c r="A11" s="303" t="s">
        <v>2381</v>
      </c>
      <c r="B11" s="303"/>
      <c r="D11" s="26"/>
      <c r="K11" s="1008" t="s">
        <v>2373</v>
      </c>
      <c r="L11" s="1006" t="s">
        <v>2374</v>
      </c>
      <c r="M11" s="1007"/>
    </row>
    <row r="12" spans="1:14" ht="16.5" thickBot="1">
      <c r="A12" s="303" t="s">
        <v>2382</v>
      </c>
      <c r="B12" s="303"/>
      <c r="D12" s="26"/>
      <c r="K12" s="1009"/>
      <c r="L12" s="843">
        <v>1</v>
      </c>
      <c r="M12" s="67">
        <v>2</v>
      </c>
    </row>
    <row r="13" spans="1:14" ht="16.5" thickTop="1">
      <c r="A13" s="26" t="s">
        <v>2377</v>
      </c>
      <c r="B13" s="26"/>
      <c r="D13" s="26"/>
      <c r="K13" s="17" t="s">
        <v>1022</v>
      </c>
      <c r="L13" s="844">
        <v>1.4999999999999999E-2</v>
      </c>
      <c r="M13" s="129">
        <v>0.01</v>
      </c>
    </row>
    <row r="14" spans="1:14">
      <c r="A14" s="26" t="s">
        <v>2372</v>
      </c>
      <c r="B14" s="26"/>
      <c r="D14" s="26"/>
      <c r="K14" s="23" t="s">
        <v>1023</v>
      </c>
      <c r="L14" s="304">
        <v>0.06</v>
      </c>
      <c r="M14" s="131">
        <v>0.05</v>
      </c>
    </row>
    <row r="15" spans="1:14">
      <c r="A15" s="26" t="s">
        <v>2378</v>
      </c>
      <c r="B15" s="26"/>
      <c r="K15" s="23" t="s">
        <v>1024</v>
      </c>
      <c r="L15" s="304">
        <v>0.1</v>
      </c>
      <c r="M15" s="131">
        <v>0.08</v>
      </c>
    </row>
    <row r="16" spans="1:14" ht="16.5" thickBot="1">
      <c r="K16" s="79" t="s">
        <v>1025</v>
      </c>
      <c r="L16" s="305">
        <v>0.15</v>
      </c>
      <c r="M16" s="134">
        <v>0.12</v>
      </c>
    </row>
    <row r="17" spans="4:11" ht="16.5" thickTop="1">
      <c r="K17" s="306"/>
    </row>
    <row r="18" spans="4:11">
      <c r="K18" s="306"/>
    </row>
    <row r="19" spans="4:11">
      <c r="K19" s="306"/>
    </row>
    <row r="20" spans="4:11">
      <c r="K20" s="306"/>
    </row>
    <row r="21" spans="4:11">
      <c r="K21" s="306"/>
    </row>
    <row r="22" spans="4:11">
      <c r="D22" s="226"/>
      <c r="E22" s="307"/>
      <c r="F22" s="307"/>
      <c r="G22" s="837"/>
      <c r="K22" s="306"/>
    </row>
  </sheetData>
  <mergeCells count="4">
    <mergeCell ref="K10:M10"/>
    <mergeCell ref="L11:M11"/>
    <mergeCell ref="K11:K12"/>
    <mergeCell ref="A8:H8"/>
  </mergeCells>
  <phoneticPr fontId="0" type="noConversion"/>
  <pageMargins left="0.75" right="0.75" top="1" bottom="1" header="0.5" footer="0.5"/>
  <pageSetup paperSize="9" orientation="portrait" r:id="rId1"/>
  <headerFooter alignWithMargins="0">
    <oddFooter>&amp;R&amp;A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28"/>
  <sheetViews>
    <sheetView showGridLines="0" topLeftCell="A13" workbookViewId="0">
      <selection activeCell="D21" sqref="D21"/>
    </sheetView>
  </sheetViews>
  <sheetFormatPr defaultRowHeight="15.75"/>
  <cols>
    <col min="1" max="1" width="10.5" style="12" customWidth="1"/>
    <col min="2" max="2" width="9.875" style="12" customWidth="1"/>
    <col min="3" max="3" width="10.75" style="12" customWidth="1"/>
    <col min="4" max="4" width="9.625" style="12" customWidth="1"/>
    <col min="5" max="16384" width="9" style="12"/>
  </cols>
  <sheetData>
    <row r="1" spans="1:6" ht="17.25" thickTop="1" thickBot="1">
      <c r="A1" s="14" t="s">
        <v>152</v>
      </c>
      <c r="B1" s="15" t="s">
        <v>193</v>
      </c>
      <c r="C1" s="15" t="s">
        <v>2392</v>
      </c>
      <c r="D1" s="15" t="s">
        <v>2385</v>
      </c>
      <c r="E1" s="15" t="s">
        <v>277</v>
      </c>
      <c r="F1" s="16" t="s">
        <v>33</v>
      </c>
    </row>
    <row r="2" spans="1:6" ht="16.5" thickTop="1">
      <c r="A2" s="308">
        <f>DATE(99,8,20)</f>
        <v>36392</v>
      </c>
      <c r="B2" s="19" t="s">
        <v>409</v>
      </c>
      <c r="C2" s="19" t="s">
        <v>2387</v>
      </c>
      <c r="D2" s="19" t="s">
        <v>2386</v>
      </c>
      <c r="E2" s="19">
        <v>20</v>
      </c>
      <c r="F2" s="227">
        <f>VLOOKUP(C2,$G$25:$H$26,2,0)*E2</f>
        <v>2</v>
      </c>
    </row>
    <row r="3" spans="1:6">
      <c r="A3" s="309">
        <f>DATE(99,9,3)</f>
        <v>36406</v>
      </c>
      <c r="B3" s="25" t="s">
        <v>516</v>
      </c>
      <c r="C3" s="25" t="s">
        <v>2388</v>
      </c>
      <c r="D3" s="25" t="s">
        <v>2386</v>
      </c>
      <c r="E3" s="25">
        <v>20</v>
      </c>
      <c r="F3" s="227">
        <f t="shared" ref="F3:F11" si="0">VLOOKUP(C3,$G$25:$H$26,2,0)*E3</f>
        <v>1</v>
      </c>
    </row>
    <row r="4" spans="1:6">
      <c r="A4" s="309">
        <f>DATE(99,8,29)</f>
        <v>36401</v>
      </c>
      <c r="B4" s="25" t="s">
        <v>501</v>
      </c>
      <c r="C4" s="25" t="s">
        <v>2387</v>
      </c>
      <c r="D4" s="25" t="s">
        <v>2393</v>
      </c>
      <c r="E4" s="25">
        <v>10</v>
      </c>
      <c r="F4" s="227">
        <f t="shared" si="0"/>
        <v>1</v>
      </c>
    </row>
    <row r="5" spans="1:6">
      <c r="A5" s="309">
        <f>DATE(99,9,4)</f>
        <v>36407</v>
      </c>
      <c r="B5" s="25" t="s">
        <v>2329</v>
      </c>
      <c r="C5" s="25" t="s">
        <v>2388</v>
      </c>
      <c r="D5" s="25" t="s">
        <v>2393</v>
      </c>
      <c r="E5" s="25">
        <v>35</v>
      </c>
      <c r="F5" s="227">
        <f t="shared" si="0"/>
        <v>1.75</v>
      </c>
    </row>
    <row r="6" spans="1:6">
      <c r="A6" s="309">
        <f>DATE(99,8,30)</f>
        <v>36402</v>
      </c>
      <c r="B6" s="25" t="s">
        <v>517</v>
      </c>
      <c r="C6" s="25" t="s">
        <v>2387</v>
      </c>
      <c r="D6" s="25" t="s">
        <v>2393</v>
      </c>
      <c r="E6" s="25">
        <v>40</v>
      </c>
      <c r="F6" s="227">
        <f t="shared" si="0"/>
        <v>4</v>
      </c>
    </row>
    <row r="7" spans="1:6">
      <c r="A7" s="309">
        <f>DATE(99,8,30)</f>
        <v>36402</v>
      </c>
      <c r="B7" s="25" t="s">
        <v>516</v>
      </c>
      <c r="C7" s="25" t="s">
        <v>2388</v>
      </c>
      <c r="D7" s="25" t="s">
        <v>2391</v>
      </c>
      <c r="E7" s="25">
        <v>15</v>
      </c>
      <c r="F7" s="227">
        <f t="shared" si="0"/>
        <v>0.75</v>
      </c>
    </row>
    <row r="8" spans="1:6">
      <c r="A8" s="309">
        <f>DATE(99,8,30)</f>
        <v>36402</v>
      </c>
      <c r="B8" s="25" t="s">
        <v>2329</v>
      </c>
      <c r="C8" s="25" t="s">
        <v>2388</v>
      </c>
      <c r="D8" s="25" t="s">
        <v>2386</v>
      </c>
      <c r="E8" s="25">
        <v>25</v>
      </c>
      <c r="F8" s="227">
        <f t="shared" si="0"/>
        <v>1.25</v>
      </c>
    </row>
    <row r="9" spans="1:6">
      <c r="A9" s="309">
        <f>DATE(99,9,3)</f>
        <v>36406</v>
      </c>
      <c r="B9" s="25" t="s">
        <v>517</v>
      </c>
      <c r="C9" s="25" t="s">
        <v>2387</v>
      </c>
      <c r="D9" s="25" t="s">
        <v>2393</v>
      </c>
      <c r="E9" s="25">
        <v>30</v>
      </c>
      <c r="F9" s="227">
        <f t="shared" si="0"/>
        <v>3</v>
      </c>
    </row>
    <row r="10" spans="1:6">
      <c r="A10" s="309">
        <f>DATE(99,9,3)</f>
        <v>36406</v>
      </c>
      <c r="B10" s="25" t="s">
        <v>501</v>
      </c>
      <c r="C10" s="25" t="s">
        <v>2387</v>
      </c>
      <c r="D10" s="25" t="s">
        <v>2386</v>
      </c>
      <c r="E10" s="25">
        <v>45</v>
      </c>
      <c r="F10" s="227">
        <f t="shared" si="0"/>
        <v>4.5</v>
      </c>
    </row>
    <row r="11" spans="1:6" ht="16.5" thickBot="1">
      <c r="A11" s="310">
        <f>DATE(99,9,4)</f>
        <v>36407</v>
      </c>
      <c r="B11" s="153" t="s">
        <v>517</v>
      </c>
      <c r="C11" s="153" t="s">
        <v>2387</v>
      </c>
      <c r="D11" s="153" t="s">
        <v>2391</v>
      </c>
      <c r="E11" s="153">
        <v>10</v>
      </c>
      <c r="F11" s="227">
        <f t="shared" si="0"/>
        <v>1</v>
      </c>
    </row>
    <row r="12" spans="1:6" ht="16.5" thickTop="1"/>
    <row r="13" spans="1:6" ht="16.5" thickBot="1">
      <c r="B13" s="1012" t="s">
        <v>2399</v>
      </c>
      <c r="C13" s="1012"/>
      <c r="D13" s="1012"/>
    </row>
    <row r="14" spans="1:6" ht="17.25" thickTop="1" thickBot="1">
      <c r="B14" s="14" t="s">
        <v>193</v>
      </c>
      <c r="C14" s="15" t="s">
        <v>2394</v>
      </c>
      <c r="D14" s="16" t="s">
        <v>277</v>
      </c>
    </row>
    <row r="15" spans="1:6" ht="16.5" thickTop="1">
      <c r="B15" s="17" t="s">
        <v>517</v>
      </c>
      <c r="C15" s="219">
        <f>COUNTIF($B$2:$B$11,$B$6)</f>
        <v>3</v>
      </c>
      <c r="D15" s="164">
        <f>SUMIF($B$2:$B$11,$B$15,$E$2:$E$11)</f>
        <v>80</v>
      </c>
    </row>
    <row r="16" spans="1:6">
      <c r="B16" s="23" t="s">
        <v>516</v>
      </c>
      <c r="C16" s="219">
        <f>COUNTIF($B$2:$B$11,$B$3)</f>
        <v>2</v>
      </c>
      <c r="D16" s="164">
        <f>SUMIF($B$2:$B$11,$B$16,$E$2:$E$11)</f>
        <v>35</v>
      </c>
    </row>
    <row r="17" spans="1:8">
      <c r="B17" s="23" t="s">
        <v>2329</v>
      </c>
      <c r="C17" s="219">
        <f>COUNTIF($B$2:$B$11,$B$5)</f>
        <v>2</v>
      </c>
      <c r="D17" s="164">
        <f>SUMIF($B$2:$B$11,$B$17,$E$2:$E$11)</f>
        <v>60</v>
      </c>
    </row>
    <row r="18" spans="1:8" ht="16.5" thickBot="1">
      <c r="B18" s="79" t="s">
        <v>501</v>
      </c>
      <c r="C18" s="219">
        <f>COUNTIF($B$2:$B$11,$B$4)</f>
        <v>2</v>
      </c>
      <c r="D18" s="164">
        <f>SUMIF($B$2:$B$11,$B$18,$E$2:$E$11)</f>
        <v>55</v>
      </c>
    </row>
    <row r="19" spans="1:8" ht="17.25" thickTop="1" thickBot="1">
      <c r="B19" s="104"/>
    </row>
    <row r="20" spans="1:8" ht="17.25" thickTop="1" thickBot="1">
      <c r="B20" s="14" t="s">
        <v>2392</v>
      </c>
      <c r="C20" s="15" t="s">
        <v>2394</v>
      </c>
      <c r="D20" s="16" t="s">
        <v>277</v>
      </c>
    </row>
    <row r="21" spans="1:8" ht="16.5" thickTop="1">
      <c r="B21" s="17" t="s">
        <v>2387</v>
      </c>
      <c r="C21" s="219">
        <f>COUNTIF($C$2:$C$11,B21)</f>
        <v>6</v>
      </c>
      <c r="D21" s="164">
        <f>SUMIF($C$2:$C$11,B21,$E$2:$E$11)</f>
        <v>155</v>
      </c>
    </row>
    <row r="22" spans="1:8" ht="16.5" thickBot="1">
      <c r="B22" s="79" t="s">
        <v>2388</v>
      </c>
      <c r="C22" s="219">
        <f>COUNTIF($C$2:$C$11,B22)</f>
        <v>4</v>
      </c>
      <c r="D22" s="164">
        <f>SUMIF($C$2:$C$11,B22,$E$2:$E$11)</f>
        <v>95</v>
      </c>
    </row>
    <row r="23" spans="1:8" ht="16.5" thickTop="1"/>
    <row r="24" spans="1:8">
      <c r="A24" s="26" t="s">
        <v>2401</v>
      </c>
      <c r="B24" s="26"/>
      <c r="C24" s="26"/>
      <c r="D24" s="26"/>
      <c r="E24" s="26"/>
    </row>
    <row r="25" spans="1:8">
      <c r="A25" s="26"/>
      <c r="B25" s="26"/>
      <c r="C25" s="312" t="s">
        <v>2392</v>
      </c>
      <c r="D25" s="1010" t="s">
        <v>33</v>
      </c>
      <c r="E25" s="1011"/>
      <c r="G25" s="853" t="s">
        <v>2387</v>
      </c>
      <c r="H25" s="631">
        <v>0.1</v>
      </c>
    </row>
    <row r="26" spans="1:8">
      <c r="A26" s="26"/>
      <c r="B26" s="26"/>
      <c r="C26" s="313" t="s">
        <v>2387</v>
      </c>
      <c r="D26" s="314" t="s">
        <v>2389</v>
      </c>
      <c r="E26" s="313"/>
      <c r="G26" s="853" t="s">
        <v>2388</v>
      </c>
      <c r="H26" s="631">
        <v>0.05</v>
      </c>
    </row>
    <row r="27" spans="1:8">
      <c r="A27" s="26"/>
      <c r="B27" s="26"/>
      <c r="C27" s="315" t="s">
        <v>2388</v>
      </c>
      <c r="D27" s="316" t="s">
        <v>2390</v>
      </c>
      <c r="E27" s="315"/>
    </row>
    <row r="28" spans="1:8">
      <c r="A28" s="26" t="s">
        <v>2400</v>
      </c>
    </row>
  </sheetData>
  <mergeCells count="2">
    <mergeCell ref="D25:E25"/>
    <mergeCell ref="B13:D13"/>
  </mergeCells>
  <phoneticPr fontId="0" type="noConversion"/>
  <pageMargins left="0.75" right="0.75" top="1" bottom="1" header="0.5" footer="0.5"/>
  <pageSetup paperSize="9" orientation="portrait" r:id="rId1"/>
  <headerFooter alignWithMargins="0">
    <oddFooter>&amp;A</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J22"/>
  <sheetViews>
    <sheetView showGridLines="0" workbookViewId="0">
      <selection activeCell="B2" sqref="B2:I11"/>
    </sheetView>
  </sheetViews>
  <sheetFormatPr defaultRowHeight="15.75"/>
  <cols>
    <col min="1" max="1" width="4.125" style="12" customWidth="1"/>
    <col min="2" max="2" width="6.125" style="12" customWidth="1"/>
    <col min="3" max="3" width="16.5" style="12" customWidth="1"/>
    <col min="4" max="5" width="5.25" style="12" customWidth="1"/>
    <col min="6" max="6" width="4.625" style="12" customWidth="1"/>
    <col min="7" max="7" width="7.625" style="12" customWidth="1"/>
    <col min="8" max="8" width="9.5" style="12" customWidth="1"/>
    <col min="9" max="9" width="7.75" style="12" customWidth="1"/>
    <col min="10" max="10" width="8.5" style="12" customWidth="1"/>
    <col min="11" max="16384" width="9" style="12"/>
  </cols>
  <sheetData>
    <row r="1" spans="1:9" ht="33" thickTop="1" thickBot="1">
      <c r="A1" s="73" t="s">
        <v>842</v>
      </c>
      <c r="B1" s="74" t="s">
        <v>1891</v>
      </c>
      <c r="C1" s="74" t="s">
        <v>589</v>
      </c>
      <c r="D1" s="74" t="s">
        <v>496</v>
      </c>
      <c r="E1" s="74" t="s">
        <v>600</v>
      </c>
      <c r="F1" s="74" t="s">
        <v>497</v>
      </c>
      <c r="G1" s="74" t="s">
        <v>393</v>
      </c>
      <c r="H1" s="74" t="s">
        <v>2143</v>
      </c>
      <c r="I1" s="75" t="s">
        <v>2324</v>
      </c>
    </row>
    <row r="2" spans="1:9" ht="16.5" thickTop="1">
      <c r="A2" s="17">
        <v>1</v>
      </c>
      <c r="B2" s="18" t="s">
        <v>1129</v>
      </c>
      <c r="C2" s="285" t="s">
        <v>1900</v>
      </c>
      <c r="D2" s="18" t="s">
        <v>1137</v>
      </c>
      <c r="E2" s="19">
        <v>4</v>
      </c>
      <c r="F2" s="19">
        <v>7</v>
      </c>
      <c r="G2" s="317">
        <f>(E2*2+F2*3)/5</f>
        <v>5.8</v>
      </c>
      <c r="H2" s="77" t="str">
        <f>IF(G2&lt;5,"Kem",IF(G2&lt;7,"TB",IF(G2&lt;=8.4,"Kha","Gioi")))</f>
        <v>TB</v>
      </c>
      <c r="I2" s="227">
        <f>IF(AND(G2&gt;=7,E2&gt;=5,F2&gt;=5),100,0)</f>
        <v>0</v>
      </c>
    </row>
    <row r="3" spans="1:9">
      <c r="A3" s="281"/>
      <c r="B3" s="24" t="s">
        <v>1132</v>
      </c>
      <c r="C3" s="287" t="s">
        <v>1902</v>
      </c>
      <c r="D3" s="24" t="s">
        <v>94</v>
      </c>
      <c r="E3" s="25">
        <v>6</v>
      </c>
      <c r="F3" s="25">
        <v>8</v>
      </c>
      <c r="G3" s="891">
        <f t="shared" ref="G3:G11" si="0">(E3*2+F3*3)/5</f>
        <v>7.2</v>
      </c>
      <c r="H3" s="77" t="str">
        <f t="shared" ref="H3:H11" si="1">IF(G3&lt;5,"Kem",IF(G3&lt;7,"TB",IF(G3&lt;=8.4,"Kha","Gioi")))</f>
        <v>Kha</v>
      </c>
      <c r="I3" s="227">
        <f t="shared" ref="I3:I11" si="2">IF(AND(G3&gt;=7,E3&gt;=5,F3&gt;=5),100,0)</f>
        <v>100</v>
      </c>
    </row>
    <row r="4" spans="1:9">
      <c r="A4" s="281"/>
      <c r="B4" s="24" t="s">
        <v>519</v>
      </c>
      <c r="C4" s="287" t="s">
        <v>1894</v>
      </c>
      <c r="D4" s="24" t="s">
        <v>94</v>
      </c>
      <c r="E4" s="25">
        <v>8</v>
      </c>
      <c r="F4" s="25">
        <v>9</v>
      </c>
      <c r="G4" s="891">
        <f t="shared" si="0"/>
        <v>8.6</v>
      </c>
      <c r="H4" s="77" t="str">
        <f t="shared" si="1"/>
        <v>Gioi</v>
      </c>
      <c r="I4" s="227">
        <f t="shared" si="2"/>
        <v>100</v>
      </c>
    </row>
    <row r="5" spans="1:9">
      <c r="A5" s="281"/>
      <c r="B5" s="24" t="s">
        <v>1134</v>
      </c>
      <c r="C5" s="287" t="s">
        <v>1903</v>
      </c>
      <c r="D5" s="24" t="s">
        <v>1137</v>
      </c>
      <c r="E5" s="25">
        <v>9</v>
      </c>
      <c r="F5" s="25">
        <v>10</v>
      </c>
      <c r="G5" s="891">
        <f t="shared" si="0"/>
        <v>9.6</v>
      </c>
      <c r="H5" s="77" t="str">
        <f t="shared" si="1"/>
        <v>Gioi</v>
      </c>
      <c r="I5" s="227">
        <f t="shared" si="2"/>
        <v>100</v>
      </c>
    </row>
    <row r="6" spans="1:9">
      <c r="A6" s="281"/>
      <c r="B6" s="24" t="s">
        <v>1130</v>
      </c>
      <c r="C6" s="287" t="s">
        <v>1897</v>
      </c>
      <c r="D6" s="24" t="s">
        <v>1137</v>
      </c>
      <c r="E6" s="25">
        <v>5</v>
      </c>
      <c r="F6" s="25">
        <v>8</v>
      </c>
      <c r="G6" s="891">
        <f t="shared" si="0"/>
        <v>6.8</v>
      </c>
      <c r="H6" s="77" t="str">
        <f t="shared" si="1"/>
        <v>TB</v>
      </c>
      <c r="I6" s="227">
        <f t="shared" si="2"/>
        <v>0</v>
      </c>
    </row>
    <row r="7" spans="1:9">
      <c r="A7" s="281"/>
      <c r="B7" s="24" t="s">
        <v>520</v>
      </c>
      <c r="C7" s="287" t="s">
        <v>1904</v>
      </c>
      <c r="D7" s="24" t="s">
        <v>94</v>
      </c>
      <c r="E7" s="25">
        <v>5</v>
      </c>
      <c r="F7" s="25">
        <v>4</v>
      </c>
      <c r="G7" s="891">
        <f t="shared" si="0"/>
        <v>4.4000000000000004</v>
      </c>
      <c r="H7" s="77" t="str">
        <f t="shared" si="1"/>
        <v>Kem</v>
      </c>
      <c r="I7" s="227">
        <f t="shared" si="2"/>
        <v>0</v>
      </c>
    </row>
    <row r="8" spans="1:9">
      <c r="A8" s="281"/>
      <c r="B8" s="24" t="s">
        <v>1136</v>
      </c>
      <c r="C8" s="287" t="s">
        <v>1901</v>
      </c>
      <c r="D8" s="24" t="s">
        <v>1137</v>
      </c>
      <c r="E8" s="25">
        <v>9</v>
      </c>
      <c r="F8" s="25">
        <v>6</v>
      </c>
      <c r="G8" s="891">
        <f t="shared" si="0"/>
        <v>7.2</v>
      </c>
      <c r="H8" s="77" t="str">
        <f t="shared" si="1"/>
        <v>Kha</v>
      </c>
      <c r="I8" s="227">
        <f t="shared" si="2"/>
        <v>100</v>
      </c>
    </row>
    <row r="9" spans="1:9">
      <c r="A9" s="281"/>
      <c r="B9" s="24" t="s">
        <v>1133</v>
      </c>
      <c r="C9" s="287" t="s">
        <v>1889</v>
      </c>
      <c r="D9" s="24" t="s">
        <v>94</v>
      </c>
      <c r="E9" s="25">
        <v>3</v>
      </c>
      <c r="F9" s="25">
        <v>5</v>
      </c>
      <c r="G9" s="891">
        <f t="shared" si="0"/>
        <v>4.2</v>
      </c>
      <c r="H9" s="77" t="str">
        <f t="shared" si="1"/>
        <v>Kem</v>
      </c>
      <c r="I9" s="227">
        <f t="shared" si="2"/>
        <v>0</v>
      </c>
    </row>
    <row r="10" spans="1:9">
      <c r="A10" s="281"/>
      <c r="B10" s="24" t="s">
        <v>1131</v>
      </c>
      <c r="C10" s="287" t="s">
        <v>1892</v>
      </c>
      <c r="D10" s="24" t="s">
        <v>1137</v>
      </c>
      <c r="E10" s="25">
        <v>6</v>
      </c>
      <c r="F10" s="25">
        <v>7</v>
      </c>
      <c r="G10" s="891">
        <f t="shared" si="0"/>
        <v>6.6</v>
      </c>
      <c r="H10" s="77" t="str">
        <f t="shared" si="1"/>
        <v>TB</v>
      </c>
      <c r="I10" s="227">
        <f t="shared" si="2"/>
        <v>0</v>
      </c>
    </row>
    <row r="11" spans="1:9" ht="16.5" thickBot="1">
      <c r="A11" s="282"/>
      <c r="B11" s="80" t="s">
        <v>521</v>
      </c>
      <c r="C11" s="289" t="s">
        <v>1895</v>
      </c>
      <c r="D11" s="80" t="s">
        <v>94</v>
      </c>
      <c r="E11" s="153">
        <v>10</v>
      </c>
      <c r="F11" s="153">
        <v>8</v>
      </c>
      <c r="G11" s="891">
        <f t="shared" si="0"/>
        <v>8.8000000000000007</v>
      </c>
      <c r="H11" s="77" t="str">
        <f t="shared" si="1"/>
        <v>Gioi</v>
      </c>
      <c r="I11" s="227">
        <f t="shared" si="2"/>
        <v>100</v>
      </c>
    </row>
    <row r="12" spans="1:9" ht="16.5" thickTop="1"/>
    <row r="13" spans="1:9">
      <c r="A13" s="26" t="s">
        <v>1905</v>
      </c>
      <c r="G13" s="318"/>
    </row>
    <row r="14" spans="1:9">
      <c r="A14" s="26" t="s">
        <v>1890</v>
      </c>
    </row>
    <row r="15" spans="1:9">
      <c r="B15" s="26" t="s">
        <v>1896</v>
      </c>
    </row>
    <row r="16" spans="1:9">
      <c r="B16" s="26" t="s">
        <v>2402</v>
      </c>
    </row>
    <row r="17" spans="1:10">
      <c r="B17" s="26" t="s">
        <v>1893</v>
      </c>
    </row>
    <row r="18" spans="1:10">
      <c r="B18" s="26" t="s">
        <v>1898</v>
      </c>
    </row>
    <row r="19" spans="1:10">
      <c r="A19" s="26" t="s">
        <v>1899</v>
      </c>
    </row>
    <row r="20" spans="1:10">
      <c r="C20" s="319"/>
    </row>
    <row r="21" spans="1:10">
      <c r="C21" s="319"/>
    </row>
    <row r="22" spans="1:10">
      <c r="C22" s="319"/>
      <c r="I22" s="319"/>
      <c r="J22" s="319"/>
    </row>
  </sheetData>
  <dataConsolidate/>
  <phoneticPr fontId="0" type="noConversion"/>
  <pageMargins left="0.75" right="0.75" top="1" bottom="1" header="0.5" footer="0.5"/>
  <pageSetup paperSize="9" orientation="portrait" r:id="rId1"/>
  <headerFooter alignWithMargins="0">
    <oddFooter>&amp;A</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33"/>
  <sheetViews>
    <sheetView showGridLines="0" workbookViewId="0">
      <selection activeCell="D22" sqref="D22"/>
    </sheetView>
  </sheetViews>
  <sheetFormatPr defaultRowHeight="15.75"/>
  <cols>
    <col min="1" max="1" width="10.25" style="12" customWidth="1"/>
    <col min="2" max="2" width="15.125" style="12" customWidth="1"/>
    <col min="3" max="3" width="13.5" style="12" customWidth="1"/>
    <col min="4" max="4" width="12.5" style="12" customWidth="1"/>
    <col min="5" max="5" width="9" style="12" customWidth="1"/>
    <col min="6" max="6" width="12.5" style="12" customWidth="1"/>
    <col min="7" max="7" width="9.875" style="12" bestFit="1" customWidth="1"/>
    <col min="8" max="16384" width="9" style="12"/>
  </cols>
  <sheetData>
    <row r="1" spans="1:6" ht="17.25" thickTop="1" thickBot="1">
      <c r="A1" s="14" t="s">
        <v>152</v>
      </c>
      <c r="B1" s="15" t="s">
        <v>193</v>
      </c>
      <c r="C1" s="15" t="s">
        <v>2357</v>
      </c>
      <c r="D1" s="15" t="s">
        <v>2385</v>
      </c>
      <c r="E1" s="15" t="s">
        <v>277</v>
      </c>
      <c r="F1" s="16" t="s">
        <v>33</v>
      </c>
    </row>
    <row r="2" spans="1:6" ht="16.5" thickTop="1">
      <c r="A2" s="308">
        <v>36392</v>
      </c>
      <c r="B2" s="18" t="s">
        <v>409</v>
      </c>
      <c r="C2" s="18" t="s">
        <v>522</v>
      </c>
      <c r="D2" s="18" t="s">
        <v>1910</v>
      </c>
      <c r="E2" s="19">
        <v>200</v>
      </c>
      <c r="F2" s="227">
        <f>IF(E2&lt;100,0,IF(E2&lt;=199,E2*1%,IF(E2&lt;=299,E2*2%,E2*5%)))</f>
        <v>4</v>
      </c>
    </row>
    <row r="3" spans="1:6" ht="16.5" thickTop="1">
      <c r="A3" s="309">
        <f>DATE(99,9,3)</f>
        <v>36406</v>
      </c>
      <c r="B3" s="24" t="s">
        <v>516</v>
      </c>
      <c r="C3" s="24" t="s">
        <v>523</v>
      </c>
      <c r="D3" s="24" t="s">
        <v>1910</v>
      </c>
      <c r="E3" s="25">
        <v>200</v>
      </c>
      <c r="F3" s="227">
        <f t="shared" ref="F3:F11" si="0">IF(E3&lt;100,0,IF(E3&lt;=199,E3*1%,IF(E3&lt;=299,E3*2%,E3*5%)))</f>
        <v>4</v>
      </c>
    </row>
    <row r="4" spans="1:6" ht="16.5" thickTop="1">
      <c r="A4" s="309">
        <f>DATE(99,8,29)</f>
        <v>36401</v>
      </c>
      <c r="B4" s="24" t="s">
        <v>501</v>
      </c>
      <c r="C4" s="24" t="s">
        <v>522</v>
      </c>
      <c r="D4" s="24" t="s">
        <v>1907</v>
      </c>
      <c r="E4" s="25">
        <v>100</v>
      </c>
      <c r="F4" s="227">
        <f t="shared" si="0"/>
        <v>1</v>
      </c>
    </row>
    <row r="5" spans="1:6" ht="16.5" thickTop="1">
      <c r="A5" s="309">
        <f>DATE(99,9,4)</f>
        <v>36407</v>
      </c>
      <c r="B5" s="24" t="s">
        <v>2329</v>
      </c>
      <c r="C5" s="24" t="s">
        <v>523</v>
      </c>
      <c r="D5" s="24" t="s">
        <v>1907</v>
      </c>
      <c r="E5" s="25">
        <v>350</v>
      </c>
      <c r="F5" s="227">
        <f t="shared" si="0"/>
        <v>17.5</v>
      </c>
    </row>
    <row r="6" spans="1:6">
      <c r="A6" s="309">
        <f>DATE(99,8,30)</f>
        <v>36402</v>
      </c>
      <c r="B6" s="24" t="s">
        <v>517</v>
      </c>
      <c r="C6" s="24" t="s">
        <v>522</v>
      </c>
      <c r="D6" s="24" t="s">
        <v>1907</v>
      </c>
      <c r="E6" s="25">
        <v>400</v>
      </c>
      <c r="F6" s="227">
        <f t="shared" si="0"/>
        <v>20</v>
      </c>
    </row>
    <row r="7" spans="1:6">
      <c r="A7" s="309">
        <v>36402</v>
      </c>
      <c r="B7" s="24" t="s">
        <v>516</v>
      </c>
      <c r="C7" s="24" t="s">
        <v>523</v>
      </c>
      <c r="D7" s="24" t="s">
        <v>1906</v>
      </c>
      <c r="E7" s="25">
        <v>150</v>
      </c>
      <c r="F7" s="227">
        <f t="shared" si="0"/>
        <v>1.5</v>
      </c>
    </row>
    <row r="8" spans="1:6">
      <c r="A8" s="309">
        <f>DATE(99,8,30)</f>
        <v>36402</v>
      </c>
      <c r="B8" s="24" t="s">
        <v>2329</v>
      </c>
      <c r="C8" s="24" t="s">
        <v>523</v>
      </c>
      <c r="D8" s="24" t="s">
        <v>1910</v>
      </c>
      <c r="E8" s="25">
        <v>250</v>
      </c>
      <c r="F8" s="227">
        <f t="shared" si="0"/>
        <v>5</v>
      </c>
    </row>
    <row r="9" spans="1:6">
      <c r="A9" s="309">
        <f>DATE(99,9,3)</f>
        <v>36406</v>
      </c>
      <c r="B9" s="24" t="s">
        <v>517</v>
      </c>
      <c r="C9" s="24" t="s">
        <v>522</v>
      </c>
      <c r="D9" s="24" t="s">
        <v>1907</v>
      </c>
      <c r="E9" s="25">
        <v>300</v>
      </c>
      <c r="F9" s="227">
        <f t="shared" si="0"/>
        <v>15</v>
      </c>
    </row>
    <row r="10" spans="1:6">
      <c r="A10" s="309">
        <f>DATE(99,9,3)</f>
        <v>36406</v>
      </c>
      <c r="B10" s="24" t="s">
        <v>501</v>
      </c>
      <c r="C10" s="24" t="s">
        <v>522</v>
      </c>
      <c r="D10" s="24" t="s">
        <v>1910</v>
      </c>
      <c r="E10" s="25">
        <v>450</v>
      </c>
      <c r="F10" s="227">
        <f t="shared" si="0"/>
        <v>22.5</v>
      </c>
    </row>
    <row r="11" spans="1:6" ht="16.5" thickBot="1">
      <c r="A11" s="310">
        <f>DATE(99,9,4)</f>
        <v>36407</v>
      </c>
      <c r="B11" s="80" t="s">
        <v>517</v>
      </c>
      <c r="C11" s="80" t="s">
        <v>522</v>
      </c>
      <c r="D11" s="80" t="s">
        <v>1906</v>
      </c>
      <c r="E11" s="153">
        <v>150</v>
      </c>
      <c r="F11" s="227">
        <f t="shared" si="0"/>
        <v>1.5</v>
      </c>
    </row>
    <row r="12" spans="1:6" ht="16.5" thickTop="1"/>
    <row r="13" spans="1:6" ht="16.5" thickBot="1">
      <c r="A13" s="1012" t="s">
        <v>2360</v>
      </c>
      <c r="B13" s="1012"/>
      <c r="E13" s="320" t="s">
        <v>2357</v>
      </c>
      <c r="F13" s="320" t="s">
        <v>152</v>
      </c>
    </row>
    <row r="14" spans="1:6" ht="17.25" thickTop="1" thickBot="1">
      <c r="A14" s="14" t="s">
        <v>2357</v>
      </c>
      <c r="B14" s="16" t="s">
        <v>1911</v>
      </c>
      <c r="E14" s="321" t="s">
        <v>522</v>
      </c>
      <c r="F14" s="321" t="str">
        <f>("&lt;=8/31/1999")</f>
        <v>&lt;=8/31/1999</v>
      </c>
    </row>
    <row r="15" spans="1:6" ht="16.5" thickTop="1">
      <c r="A15" s="83" t="s">
        <v>522</v>
      </c>
      <c r="B15" s="227">
        <f>SUMIFS($F$2:$F$11,$A$2:$A$11,"&lt;=8/31/1999",$C$2:$C$11,$A$15)</f>
        <v>25</v>
      </c>
    </row>
    <row r="16" spans="1:6" ht="16.5" thickBot="1">
      <c r="A16" s="89" t="s">
        <v>523</v>
      </c>
      <c r="B16" s="227">
        <f>SUMIFS($F$2:$F$11,$A$2:$A$11,"&lt;=8/31/1999",$C$2:$C$11,$A$16)</f>
        <v>6.5</v>
      </c>
      <c r="E16" s="320" t="s">
        <v>2357</v>
      </c>
      <c r="F16" s="320" t="s">
        <v>152</v>
      </c>
    </row>
    <row r="17" spans="1:7" ht="16.5" thickTop="1">
      <c r="E17" s="321" t="s">
        <v>523</v>
      </c>
      <c r="F17" s="321" t="str">
        <f>("&lt;=8/31/99")</f>
        <v>&lt;=8/31/99</v>
      </c>
    </row>
    <row r="18" spans="1:7">
      <c r="A18" s="26" t="s">
        <v>1914</v>
      </c>
    </row>
    <row r="19" spans="1:7">
      <c r="B19" s="26" t="s">
        <v>1913</v>
      </c>
      <c r="F19" s="322"/>
      <c r="G19" s="223"/>
    </row>
    <row r="20" spans="1:7">
      <c r="B20" s="26" t="s">
        <v>1908</v>
      </c>
      <c r="F20" s="323"/>
      <c r="G20" s="323"/>
    </row>
    <row r="21" spans="1:7">
      <c r="B21" s="26" t="s">
        <v>1909</v>
      </c>
      <c r="F21" s="324"/>
      <c r="G21" s="325"/>
    </row>
    <row r="22" spans="1:7">
      <c r="B22" s="26" t="s">
        <v>1912</v>
      </c>
      <c r="F22" s="324"/>
      <c r="G22" s="326"/>
    </row>
    <row r="23" spans="1:7">
      <c r="A23" s="26" t="s">
        <v>2400</v>
      </c>
    </row>
    <row r="24" spans="1:7">
      <c r="G24" s="226"/>
    </row>
    <row r="25" spans="1:7">
      <c r="C25" s="258"/>
      <c r="G25" s="91"/>
    </row>
    <row r="26" spans="1:7">
      <c r="C26" s="327"/>
      <c r="G26" s="226"/>
    </row>
    <row r="27" spans="1:7">
      <c r="C27" s="327"/>
      <c r="E27" s="106"/>
      <c r="F27" s="106"/>
      <c r="G27" s="226"/>
    </row>
    <row r="28" spans="1:7">
      <c r="G28" s="226"/>
    </row>
    <row r="29" spans="1:7">
      <c r="A29" s="226"/>
      <c r="B29" s="226"/>
      <c r="C29" s="226"/>
      <c r="G29" s="226"/>
    </row>
    <row r="30" spans="1:7">
      <c r="A30" s="226"/>
      <c r="B30" s="327"/>
      <c r="C30" s="327"/>
      <c r="G30" s="226"/>
    </row>
    <row r="31" spans="1:7">
      <c r="A31" s="226"/>
      <c r="B31" s="327"/>
      <c r="C31" s="327"/>
    </row>
    <row r="32" spans="1:7">
      <c r="A32" s="226"/>
      <c r="B32" s="327"/>
      <c r="C32" s="327"/>
    </row>
    <row r="33" spans="1:3">
      <c r="A33" s="226"/>
      <c r="B33" s="226"/>
      <c r="C33" s="226"/>
    </row>
  </sheetData>
  <mergeCells count="1">
    <mergeCell ref="A13:B13"/>
  </mergeCells>
  <phoneticPr fontId="0" type="noConversion"/>
  <pageMargins left="0.75" right="0.75" top="1" bottom="1" header="0.5" footer="0.5"/>
  <pageSetup paperSize="9" orientation="portrait" r:id="rId1"/>
  <headerFooter alignWithMargins="0">
    <oddFooter>&amp;A</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L23"/>
  <sheetViews>
    <sheetView showGridLines="0" workbookViewId="0">
      <selection activeCell="H3" sqref="H3"/>
    </sheetView>
  </sheetViews>
  <sheetFormatPr defaultRowHeight="15.75"/>
  <cols>
    <col min="1" max="1" width="4.25" style="12" customWidth="1"/>
    <col min="2" max="2" width="5.875" style="12" customWidth="1"/>
    <col min="3" max="3" width="6.625" style="12" customWidth="1"/>
    <col min="4" max="4" width="10.875" style="12" customWidth="1"/>
    <col min="5" max="5" width="10.5" style="12" customWidth="1"/>
    <col min="6" max="6" width="10.5" style="223" customWidth="1"/>
    <col min="7" max="7" width="6" style="12" customWidth="1"/>
    <col min="8" max="9" width="7.75" style="12" customWidth="1"/>
    <col min="10" max="10" width="7.5" style="12" customWidth="1"/>
    <col min="11" max="11" width="11.875" style="12" customWidth="1"/>
    <col min="12" max="12" width="4.5" style="12" customWidth="1"/>
    <col min="13" max="16384" width="9" style="12"/>
  </cols>
  <sheetData>
    <row r="1" spans="1:12" ht="48.75" thickTop="1" thickBot="1">
      <c r="A1" s="73" t="s">
        <v>1916</v>
      </c>
      <c r="B1" s="74" t="s">
        <v>2136</v>
      </c>
      <c r="C1" s="74" t="s">
        <v>1921</v>
      </c>
      <c r="D1" s="74" t="s">
        <v>633</v>
      </c>
      <c r="E1" s="74" t="s">
        <v>634</v>
      </c>
      <c r="F1" s="836" t="s">
        <v>2483</v>
      </c>
      <c r="G1" s="74" t="s">
        <v>1917</v>
      </c>
      <c r="H1" s="74" t="s">
        <v>1919</v>
      </c>
      <c r="I1" s="74" t="s">
        <v>1920</v>
      </c>
      <c r="J1" s="74" t="s">
        <v>1918</v>
      </c>
      <c r="K1" s="75" t="s">
        <v>117</v>
      </c>
    </row>
    <row r="2" spans="1:12" ht="16.5" thickTop="1">
      <c r="A2" s="17">
        <v>1</v>
      </c>
      <c r="B2" s="18" t="s">
        <v>1006</v>
      </c>
      <c r="C2" s="19" t="s">
        <v>495</v>
      </c>
      <c r="D2" s="255">
        <f>DATE(99,12,7)</f>
        <v>36501</v>
      </c>
      <c r="E2" s="255">
        <f>DATE(99,12,18)</f>
        <v>36512</v>
      </c>
      <c r="F2" s="628">
        <f t="shared" ref="F2:F7" si="0">E2-D2</f>
        <v>11</v>
      </c>
      <c r="G2" s="328">
        <f>INT(F2/7)</f>
        <v>1</v>
      </c>
      <c r="H2" s="329">
        <f>INDEX($E$11:$H$13,MATCH(LEFT(C2,1),$D$11:$D$13,0),MATCH(VALUE(RIGHT(C2,1)),$E$10:$H$10,0))</f>
        <v>50</v>
      </c>
      <c r="I2" s="330">
        <f>INDEX($I$11:$K$13,MATCH(LEFT(C2,1),$D$11:$D$13,0),MATCH(VALUE(RIGHT(C2,1)),$I$10:$K$10,0))</f>
        <v>10</v>
      </c>
      <c r="J2" s="328">
        <f>MOD(F2,7)</f>
        <v>4</v>
      </c>
      <c r="K2" s="331">
        <f>H2*G2+J2*I2</f>
        <v>90</v>
      </c>
      <c r="L2" s="223"/>
    </row>
    <row r="3" spans="1:12">
      <c r="A3" s="281"/>
      <c r="B3" s="24" t="s">
        <v>517</v>
      </c>
      <c r="C3" s="25" t="s">
        <v>1158</v>
      </c>
      <c r="D3" s="256">
        <f>DATE(99,12,1)</f>
        <v>36495</v>
      </c>
      <c r="E3" s="256">
        <f>DATE(99,12,29)</f>
        <v>36523</v>
      </c>
      <c r="F3" s="628">
        <f t="shared" si="0"/>
        <v>28</v>
      </c>
      <c r="G3" s="328">
        <f t="shared" ref="G3:G7" si="1">INT(F3/7)</f>
        <v>4</v>
      </c>
      <c r="H3" s="329">
        <f t="shared" ref="H3:H7" si="2">INDEX($E$11:$H$13,MATCH(LEFT(C3,1),$D$11:$D$13,0),MATCH(VALUE(RIGHT(C3,1)),$E$10:$H$10,0))</f>
        <v>65</v>
      </c>
      <c r="I3" s="330">
        <f t="shared" ref="I3:I7" si="3">INDEX($I$11:$K$13,MATCH(LEFT(C3,1),$D$11:$D$13,0),MATCH(VALUE(RIGHT(C3,1)),$I$10:$K$10,0))</f>
        <v>10</v>
      </c>
      <c r="J3" s="328">
        <f t="shared" ref="J3:J7" si="4">MOD(F3,7)</f>
        <v>0</v>
      </c>
      <c r="K3" s="331">
        <f t="shared" ref="K3:K7" si="5">H3*G3+J3*I3</f>
        <v>260</v>
      </c>
      <c r="L3" s="223"/>
    </row>
    <row r="4" spans="1:12">
      <c r="A4" s="281"/>
      <c r="B4" s="24" t="s">
        <v>1915</v>
      </c>
      <c r="C4" s="25" t="s">
        <v>1156</v>
      </c>
      <c r="D4" s="256">
        <f>DATE(99,11,20)</f>
        <v>36484</v>
      </c>
      <c r="E4" s="256">
        <f>DATE(99,11,26)</f>
        <v>36490</v>
      </c>
      <c r="F4" s="628">
        <f t="shared" si="0"/>
        <v>6</v>
      </c>
      <c r="G4" s="328">
        <f t="shared" si="1"/>
        <v>0</v>
      </c>
      <c r="H4" s="329">
        <f t="shared" si="2"/>
        <v>90</v>
      </c>
      <c r="I4" s="330">
        <f t="shared" si="3"/>
        <v>16</v>
      </c>
      <c r="J4" s="328">
        <f t="shared" si="4"/>
        <v>6</v>
      </c>
      <c r="K4" s="331">
        <f t="shared" si="5"/>
        <v>96</v>
      </c>
      <c r="L4" s="223"/>
    </row>
    <row r="5" spans="1:12">
      <c r="A5" s="281"/>
      <c r="B5" s="24" t="s">
        <v>2054</v>
      </c>
      <c r="C5" s="25" t="s">
        <v>1162</v>
      </c>
      <c r="D5" s="256">
        <f>DATE(99,7,30)</f>
        <v>36371</v>
      </c>
      <c r="E5" s="256">
        <f>DATE(99,9,1)</f>
        <v>36404</v>
      </c>
      <c r="F5" s="628">
        <f t="shared" si="0"/>
        <v>33</v>
      </c>
      <c r="G5" s="328">
        <f t="shared" si="1"/>
        <v>4</v>
      </c>
      <c r="H5" s="329">
        <f t="shared" si="2"/>
        <v>75</v>
      </c>
      <c r="I5" s="330">
        <f t="shared" si="3"/>
        <v>15</v>
      </c>
      <c r="J5" s="328">
        <f t="shared" si="4"/>
        <v>5</v>
      </c>
      <c r="K5" s="331">
        <f t="shared" si="5"/>
        <v>375</v>
      </c>
      <c r="L5" s="223"/>
    </row>
    <row r="6" spans="1:12">
      <c r="A6" s="281"/>
      <c r="B6" s="24" t="s">
        <v>524</v>
      </c>
      <c r="C6" s="25" t="s">
        <v>1155</v>
      </c>
      <c r="D6" s="256">
        <f>DATE(99,7,30)</f>
        <v>36371</v>
      </c>
      <c r="E6" s="256">
        <f>DATE(99,9,30)</f>
        <v>36433</v>
      </c>
      <c r="F6" s="628">
        <f t="shared" si="0"/>
        <v>62</v>
      </c>
      <c r="G6" s="328">
        <f t="shared" si="1"/>
        <v>8</v>
      </c>
      <c r="H6" s="329">
        <f t="shared" si="2"/>
        <v>100</v>
      </c>
      <c r="I6" s="330">
        <f t="shared" si="3"/>
        <v>20</v>
      </c>
      <c r="J6" s="328">
        <f t="shared" si="4"/>
        <v>6</v>
      </c>
      <c r="K6" s="331">
        <f t="shared" si="5"/>
        <v>920</v>
      </c>
      <c r="L6" s="223"/>
    </row>
    <row r="7" spans="1:12" ht="16.5" thickBot="1">
      <c r="A7" s="282"/>
      <c r="B7" s="80" t="s">
        <v>1925</v>
      </c>
      <c r="C7" s="153" t="s">
        <v>1163</v>
      </c>
      <c r="D7" s="257">
        <f>DATE(99,7,30)</f>
        <v>36371</v>
      </c>
      <c r="E7" s="257">
        <f>DATE(99,8,30)</f>
        <v>36402</v>
      </c>
      <c r="F7" s="628">
        <f t="shared" si="0"/>
        <v>31</v>
      </c>
      <c r="G7" s="328">
        <f t="shared" si="1"/>
        <v>4</v>
      </c>
      <c r="H7" s="329">
        <f t="shared" si="2"/>
        <v>70</v>
      </c>
      <c r="I7" s="330">
        <f t="shared" si="3"/>
        <v>12</v>
      </c>
      <c r="J7" s="328">
        <f t="shared" si="4"/>
        <v>3</v>
      </c>
      <c r="K7" s="331">
        <f t="shared" si="5"/>
        <v>316</v>
      </c>
      <c r="L7" s="223"/>
    </row>
    <row r="8" spans="1:12" ht="17.25" thickTop="1" thickBot="1">
      <c r="A8" s="258"/>
      <c r="B8" s="226"/>
      <c r="C8" s="258"/>
      <c r="D8" s="259"/>
      <c r="E8" s="259"/>
      <c r="F8" s="837"/>
      <c r="G8" s="258"/>
      <c r="H8" s="258"/>
      <c r="I8" s="258"/>
      <c r="J8" s="258"/>
      <c r="K8" s="258"/>
    </row>
    <row r="9" spans="1:12" ht="16.5" thickTop="1">
      <c r="D9" s="1013" t="s">
        <v>2439</v>
      </c>
      <c r="E9" s="1015" t="s">
        <v>1919</v>
      </c>
      <c r="F9" s="1016"/>
      <c r="G9" s="1016"/>
      <c r="H9" s="1017"/>
      <c r="I9" s="1018" t="s">
        <v>1920</v>
      </c>
      <c r="J9" s="1018"/>
      <c r="K9" s="1019"/>
    </row>
    <row r="10" spans="1:12" ht="16.5" thickBot="1">
      <c r="D10" s="1014"/>
      <c r="E10" s="334">
        <v>1</v>
      </c>
      <c r="F10" s="845"/>
      <c r="G10" s="334">
        <v>2</v>
      </c>
      <c r="H10" s="334">
        <v>3</v>
      </c>
      <c r="I10" s="334">
        <v>1</v>
      </c>
      <c r="J10" s="334">
        <v>2</v>
      </c>
      <c r="K10" s="335">
        <v>3</v>
      </c>
    </row>
    <row r="11" spans="1:12" ht="16.5" thickTop="1">
      <c r="D11" s="336" t="s">
        <v>1022</v>
      </c>
      <c r="E11" s="337">
        <v>100</v>
      </c>
      <c r="F11" s="846"/>
      <c r="G11" s="337">
        <v>90</v>
      </c>
      <c r="H11" s="337">
        <v>80</v>
      </c>
      <c r="I11" s="337">
        <v>20</v>
      </c>
      <c r="J11" s="337">
        <v>16</v>
      </c>
      <c r="K11" s="338">
        <v>14</v>
      </c>
    </row>
    <row r="12" spans="1:12">
      <c r="D12" s="339" t="s">
        <v>1023</v>
      </c>
      <c r="E12" s="340">
        <v>75</v>
      </c>
      <c r="F12" s="847"/>
      <c r="G12" s="340">
        <v>70</v>
      </c>
      <c r="H12" s="340">
        <v>65</v>
      </c>
      <c r="I12" s="340">
        <v>15</v>
      </c>
      <c r="J12" s="340">
        <v>12</v>
      </c>
      <c r="K12" s="341">
        <v>10</v>
      </c>
    </row>
    <row r="13" spans="1:12" ht="16.5" thickBot="1">
      <c r="D13" s="342" t="s">
        <v>1024</v>
      </c>
      <c r="E13" s="343">
        <v>50</v>
      </c>
      <c r="F13" s="848"/>
      <c r="G13" s="343"/>
      <c r="H13" s="343"/>
      <c r="I13" s="343">
        <v>10</v>
      </c>
      <c r="J13" s="343"/>
      <c r="K13" s="344"/>
    </row>
    <row r="14" spans="1:12" ht="17.25" thickTop="1" thickBot="1">
      <c r="D14" s="345"/>
      <c r="E14" s="324"/>
      <c r="F14" s="849"/>
      <c r="G14" s="324"/>
      <c r="H14" s="324"/>
      <c r="I14" s="324"/>
      <c r="J14" s="324"/>
      <c r="K14" s="324"/>
    </row>
    <row r="15" spans="1:12" ht="17.25" thickTop="1" thickBot="1">
      <c r="D15" s="14" t="s">
        <v>1922</v>
      </c>
      <c r="E15" s="16" t="s">
        <v>408</v>
      </c>
      <c r="F15" s="850"/>
      <c r="G15" s="324"/>
      <c r="H15" s="324"/>
      <c r="I15" s="324"/>
      <c r="J15" s="324"/>
      <c r="K15" s="324"/>
    </row>
    <row r="16" spans="1:12" ht="16.5" thickTop="1">
      <c r="D16" s="17" t="s">
        <v>1022</v>
      </c>
      <c r="E16" s="78"/>
      <c r="F16" s="851"/>
      <c r="G16" s="324"/>
      <c r="H16" s="324"/>
      <c r="I16" s="324"/>
      <c r="J16" s="324"/>
      <c r="K16" s="324"/>
    </row>
    <row r="17" spans="1:11">
      <c r="D17" s="23" t="s">
        <v>1023</v>
      </c>
      <c r="E17" s="212"/>
      <c r="F17" s="851"/>
      <c r="G17" s="324"/>
      <c r="H17" s="324"/>
      <c r="I17" s="324"/>
      <c r="J17" s="324"/>
      <c r="K17" s="324"/>
    </row>
    <row r="18" spans="1:11" ht="16.5" thickBot="1">
      <c r="D18" s="79" t="s">
        <v>1024</v>
      </c>
      <c r="E18" s="248"/>
      <c r="F18" s="851"/>
      <c r="G18" s="324"/>
      <c r="H18" s="324"/>
      <c r="I18" s="324"/>
      <c r="J18" s="324"/>
      <c r="K18" s="324"/>
    </row>
    <row r="19" spans="1:11" ht="16.5" thickTop="1">
      <c r="D19" s="346"/>
      <c r="E19" s="347"/>
      <c r="F19" s="852"/>
      <c r="G19" s="324"/>
      <c r="H19" s="324"/>
      <c r="I19" s="324"/>
      <c r="J19" s="324"/>
      <c r="K19" s="324"/>
    </row>
    <row r="20" spans="1:11">
      <c r="A20" s="26" t="s">
        <v>1926</v>
      </c>
      <c r="B20" s="348"/>
      <c r="D20" s="345"/>
      <c r="E20" s="324"/>
      <c r="F20" s="849"/>
      <c r="G20" s="324"/>
      <c r="H20" s="324"/>
      <c r="I20" s="324"/>
      <c r="J20" s="324"/>
      <c r="K20" s="324"/>
    </row>
    <row r="21" spans="1:11">
      <c r="A21" s="26" t="s">
        <v>1923</v>
      </c>
      <c r="B21" s="348"/>
      <c r="D21" s="345"/>
      <c r="E21" s="324"/>
      <c r="F21" s="849"/>
      <c r="G21" s="324"/>
      <c r="H21" s="324"/>
      <c r="I21" s="324"/>
      <c r="J21" s="324"/>
      <c r="K21" s="324"/>
    </row>
    <row r="22" spans="1:11">
      <c r="A22" s="26" t="s">
        <v>1924</v>
      </c>
    </row>
    <row r="23" spans="1:11">
      <c r="A23" s="26" t="s">
        <v>1927</v>
      </c>
      <c r="C23" s="348"/>
    </row>
  </sheetData>
  <mergeCells count="3">
    <mergeCell ref="D9:D10"/>
    <mergeCell ref="E9:H9"/>
    <mergeCell ref="I9:K9"/>
  </mergeCells>
  <phoneticPr fontId="0" type="noConversion"/>
  <pageMargins left="0.75" right="0.75" top="1" bottom="1" header="0.5" footer="0.5"/>
  <pageSetup paperSize="9" orientation="portrait" r:id="rId1"/>
  <headerFooter alignWithMargins="0">
    <oddFooter>&amp;A</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M37"/>
  <sheetViews>
    <sheetView showGridLines="0" workbookViewId="0">
      <selection activeCell="H18" sqref="H18"/>
    </sheetView>
  </sheetViews>
  <sheetFormatPr defaultRowHeight="15.75"/>
  <cols>
    <col min="1" max="1" width="3.625" style="12" customWidth="1"/>
    <col min="2" max="2" width="9" style="12" customWidth="1"/>
    <col min="3" max="3" width="6.375" style="12" customWidth="1"/>
    <col min="4" max="4" width="5.5" style="12" customWidth="1"/>
    <col min="5" max="5" width="4.625" style="12" customWidth="1"/>
    <col min="6" max="6" width="7" style="12" customWidth="1"/>
    <col min="7" max="7" width="9" style="12" customWidth="1"/>
    <col min="8" max="8" width="10.875" style="12" customWidth="1"/>
    <col min="9" max="9" width="7.625" style="12" customWidth="1"/>
    <col min="10" max="10" width="8.375" style="12" customWidth="1"/>
    <col min="11" max="16384" width="9" style="12"/>
  </cols>
  <sheetData>
    <row r="1" spans="1:13" ht="33" thickTop="1" thickBot="1">
      <c r="A1" s="73" t="s">
        <v>842</v>
      </c>
      <c r="B1" s="74" t="s">
        <v>2059</v>
      </c>
      <c r="C1" s="74" t="s">
        <v>496</v>
      </c>
      <c r="D1" s="74" t="s">
        <v>600</v>
      </c>
      <c r="E1" s="74" t="s">
        <v>497</v>
      </c>
      <c r="F1" s="74" t="s">
        <v>1021</v>
      </c>
      <c r="G1" s="74" t="s">
        <v>1939</v>
      </c>
      <c r="H1" s="74" t="s">
        <v>65</v>
      </c>
      <c r="I1" s="74" t="s">
        <v>392</v>
      </c>
      <c r="J1" s="74" t="s">
        <v>2143</v>
      </c>
      <c r="K1" s="75" t="s">
        <v>2324</v>
      </c>
      <c r="L1" s="226"/>
    </row>
    <row r="2" spans="1:13" ht="16.5" thickTop="1">
      <c r="A2" s="896"/>
      <c r="B2" s="285" t="s">
        <v>630</v>
      </c>
      <c r="C2" s="18" t="s">
        <v>1137</v>
      </c>
      <c r="D2" s="19">
        <v>9</v>
      </c>
      <c r="E2" s="19">
        <v>10</v>
      </c>
      <c r="F2" s="19">
        <v>7</v>
      </c>
      <c r="G2" s="19" t="s">
        <v>1022</v>
      </c>
      <c r="H2" s="317">
        <f t="shared" ref="H2:H11" si="0">IF(VLOOKUP(G2,$B$22:$F$25,1,0)="A",(D2*2+E2*3+F2)/6+0.5,IF(VLOOKUP(G2,$B$22:$F$25,1,0)="B",(D2*2+E2*3+F2)/6+0.2,IF(VLOOKUP(G2,$B$22:$F$25,1,0)="C",(D2*2+E2*3+F2)/6,(D2*2+E2*3+F2)/6-0.5)))</f>
        <v>9.6666666666666661</v>
      </c>
      <c r="I2" s="219">
        <f t="shared" ref="I2:I11" si="1">RANK(H2,$H$2:$H$11)</f>
        <v>1</v>
      </c>
      <c r="J2" s="77" t="str">
        <f t="shared" ref="J2:J11" si="2">IF(H2&lt;5,"Kem",IF(H2&lt;=6.4,"TB",IF(H2&lt;=7.9,"Kha","Gioi")))</f>
        <v>Gioi</v>
      </c>
      <c r="K2" s="227">
        <f t="shared" ref="K2:K11" si="3">IF(I2&lt;=3,100,IF(I2&lt;=6,50,0))</f>
        <v>100</v>
      </c>
      <c r="L2" s="349"/>
    </row>
    <row r="3" spans="1:13">
      <c r="A3" s="281"/>
      <c r="B3" s="287" t="s">
        <v>2329</v>
      </c>
      <c r="C3" s="24" t="s">
        <v>94</v>
      </c>
      <c r="D3" s="25">
        <v>10</v>
      </c>
      <c r="E3" s="25">
        <v>8</v>
      </c>
      <c r="F3" s="25">
        <v>9</v>
      </c>
      <c r="G3" s="25" t="s">
        <v>1022</v>
      </c>
      <c r="H3" s="891">
        <f t="shared" si="0"/>
        <v>9.3333333333333339</v>
      </c>
      <c r="I3" s="219">
        <f t="shared" si="1"/>
        <v>2</v>
      </c>
      <c r="J3" s="77" t="str">
        <f t="shared" si="2"/>
        <v>Gioi</v>
      </c>
      <c r="K3" s="227">
        <f t="shared" si="3"/>
        <v>100</v>
      </c>
      <c r="L3" s="349"/>
    </row>
    <row r="4" spans="1:13">
      <c r="A4" s="281"/>
      <c r="B4" s="893" t="s">
        <v>2330</v>
      </c>
      <c r="C4" s="24" t="s">
        <v>94</v>
      </c>
      <c r="D4" s="25">
        <v>10</v>
      </c>
      <c r="E4" s="25">
        <v>8</v>
      </c>
      <c r="F4" s="25">
        <v>9</v>
      </c>
      <c r="G4" s="25" t="s">
        <v>1022</v>
      </c>
      <c r="H4" s="891">
        <f t="shared" si="0"/>
        <v>9.3333333333333339</v>
      </c>
      <c r="I4" s="219">
        <f t="shared" si="1"/>
        <v>2</v>
      </c>
      <c r="J4" s="77" t="str">
        <f t="shared" si="2"/>
        <v>Gioi</v>
      </c>
      <c r="K4" s="227">
        <f t="shared" si="3"/>
        <v>100</v>
      </c>
      <c r="L4" s="349"/>
    </row>
    <row r="5" spans="1:13">
      <c r="A5" s="281"/>
      <c r="B5" s="287" t="s">
        <v>498</v>
      </c>
      <c r="C5" s="24" t="s">
        <v>1137</v>
      </c>
      <c r="D5" s="25">
        <v>5</v>
      </c>
      <c r="E5" s="25">
        <v>9</v>
      </c>
      <c r="F5" s="25">
        <v>8</v>
      </c>
      <c r="G5" s="25" t="s">
        <v>1023</v>
      </c>
      <c r="H5" s="891">
        <f t="shared" si="0"/>
        <v>7.7</v>
      </c>
      <c r="I5" s="219">
        <f t="shared" si="1"/>
        <v>4</v>
      </c>
      <c r="J5" s="77" t="str">
        <f t="shared" si="2"/>
        <v>Kha</v>
      </c>
      <c r="K5" s="227">
        <f t="shared" si="3"/>
        <v>50</v>
      </c>
      <c r="L5" s="349"/>
    </row>
    <row r="6" spans="1:13">
      <c r="A6" s="281"/>
      <c r="B6" s="287" t="s">
        <v>1021</v>
      </c>
      <c r="C6" s="24" t="s">
        <v>1137</v>
      </c>
      <c r="D6" s="25">
        <v>9</v>
      </c>
      <c r="E6" s="25">
        <v>6</v>
      </c>
      <c r="F6" s="25">
        <v>7</v>
      </c>
      <c r="G6" s="25" t="s">
        <v>1022</v>
      </c>
      <c r="H6" s="891">
        <f t="shared" si="0"/>
        <v>7.666666666666667</v>
      </c>
      <c r="I6" s="219">
        <f t="shared" si="1"/>
        <v>5</v>
      </c>
      <c r="J6" s="77" t="str">
        <f t="shared" si="2"/>
        <v>Kha</v>
      </c>
      <c r="K6" s="227">
        <f t="shared" si="3"/>
        <v>50</v>
      </c>
      <c r="L6" s="349"/>
    </row>
    <row r="7" spans="1:13">
      <c r="A7" s="281"/>
      <c r="B7" s="287" t="s">
        <v>630</v>
      </c>
      <c r="C7" s="24" t="s">
        <v>94</v>
      </c>
      <c r="D7" s="25">
        <v>6</v>
      </c>
      <c r="E7" s="25">
        <v>8</v>
      </c>
      <c r="F7" s="25">
        <v>6</v>
      </c>
      <c r="G7" s="25" t="s">
        <v>1022</v>
      </c>
      <c r="H7" s="891">
        <f t="shared" si="0"/>
        <v>7.5</v>
      </c>
      <c r="I7" s="219">
        <f t="shared" si="1"/>
        <v>6</v>
      </c>
      <c r="J7" s="77" t="str">
        <f t="shared" si="2"/>
        <v>Kha</v>
      </c>
      <c r="K7" s="227">
        <f t="shared" si="3"/>
        <v>50</v>
      </c>
      <c r="L7" s="349"/>
    </row>
    <row r="8" spans="1:13">
      <c r="A8" s="281"/>
      <c r="B8" s="287" t="s">
        <v>2326</v>
      </c>
      <c r="C8" s="24" t="s">
        <v>1137</v>
      </c>
      <c r="D8" s="25">
        <v>5</v>
      </c>
      <c r="E8" s="25">
        <v>9</v>
      </c>
      <c r="F8" s="25">
        <v>5</v>
      </c>
      <c r="G8" s="25" t="s">
        <v>1023</v>
      </c>
      <c r="H8" s="891">
        <f t="shared" si="0"/>
        <v>7.2</v>
      </c>
      <c r="I8" s="219">
        <f t="shared" si="1"/>
        <v>7</v>
      </c>
      <c r="J8" s="77" t="str">
        <f t="shared" si="2"/>
        <v>Kha</v>
      </c>
      <c r="K8" s="227">
        <f t="shared" si="3"/>
        <v>0</v>
      </c>
      <c r="L8" s="349"/>
    </row>
    <row r="9" spans="1:13">
      <c r="A9" s="281"/>
      <c r="B9" s="287" t="s">
        <v>848</v>
      </c>
      <c r="C9" s="24" t="s">
        <v>94</v>
      </c>
      <c r="D9" s="25">
        <v>6</v>
      </c>
      <c r="E9" s="25">
        <v>5</v>
      </c>
      <c r="F9" s="25">
        <v>7</v>
      </c>
      <c r="G9" s="25" t="s">
        <v>1023</v>
      </c>
      <c r="H9" s="891">
        <f t="shared" si="0"/>
        <v>5.8666666666666671</v>
      </c>
      <c r="I9" s="219">
        <f t="shared" si="1"/>
        <v>8</v>
      </c>
      <c r="J9" s="77" t="str">
        <f t="shared" si="2"/>
        <v>TB</v>
      </c>
      <c r="K9" s="227">
        <f t="shared" si="3"/>
        <v>0</v>
      </c>
      <c r="L9" s="349"/>
    </row>
    <row r="10" spans="1:13">
      <c r="A10" s="23">
        <v>1</v>
      </c>
      <c r="B10" s="893" t="s">
        <v>620</v>
      </c>
      <c r="C10" s="24" t="s">
        <v>1137</v>
      </c>
      <c r="D10" s="25">
        <v>4</v>
      </c>
      <c r="E10" s="25">
        <v>7</v>
      </c>
      <c r="F10" s="25">
        <v>5</v>
      </c>
      <c r="G10" s="25" t="s">
        <v>1024</v>
      </c>
      <c r="H10" s="891">
        <f t="shared" si="0"/>
        <v>5.666666666666667</v>
      </c>
      <c r="I10" s="219">
        <f t="shared" si="1"/>
        <v>9</v>
      </c>
      <c r="J10" s="77" t="str">
        <f t="shared" si="2"/>
        <v>TB</v>
      </c>
      <c r="K10" s="227">
        <f t="shared" si="3"/>
        <v>0</v>
      </c>
      <c r="L10" s="349"/>
    </row>
    <row r="11" spans="1:13" ht="16.5" thickBot="1">
      <c r="A11" s="282"/>
      <c r="B11" s="894" t="s">
        <v>499</v>
      </c>
      <c r="C11" s="80" t="s">
        <v>94</v>
      </c>
      <c r="D11" s="892">
        <v>5</v>
      </c>
      <c r="E11" s="892">
        <v>4</v>
      </c>
      <c r="F11" s="892">
        <v>6</v>
      </c>
      <c r="G11" s="892" t="s">
        <v>1025</v>
      </c>
      <c r="H11" s="891">
        <f t="shared" si="0"/>
        <v>4.166666666666667</v>
      </c>
      <c r="I11" s="219">
        <f t="shared" si="1"/>
        <v>10</v>
      </c>
      <c r="J11" s="77" t="str">
        <f t="shared" si="2"/>
        <v>Kem</v>
      </c>
      <c r="K11" s="227">
        <f t="shared" si="3"/>
        <v>0</v>
      </c>
      <c r="L11" s="349"/>
    </row>
    <row r="12" spans="1:13" ht="17.25" thickTop="1" thickBot="1">
      <c r="H12" s="897"/>
      <c r="I12" s="350"/>
      <c r="J12" s="350"/>
      <c r="K12" s="350"/>
    </row>
    <row r="13" spans="1:13" ht="21" customHeight="1" thickTop="1" thickBot="1">
      <c r="B13" s="73" t="s">
        <v>2143</v>
      </c>
      <c r="C13" s="15" t="s">
        <v>1928</v>
      </c>
      <c r="D13" s="1024" t="s">
        <v>1929</v>
      </c>
      <c r="E13" s="1025"/>
      <c r="F13" s="1000"/>
      <c r="J13" s="890" t="s">
        <v>2143</v>
      </c>
      <c r="K13" s="890" t="s">
        <v>2143</v>
      </c>
      <c r="L13" s="890" t="s">
        <v>2143</v>
      </c>
      <c r="M13" s="890" t="s">
        <v>2143</v>
      </c>
    </row>
    <row r="14" spans="1:13" ht="16.5" thickTop="1">
      <c r="B14" s="83" t="s">
        <v>2331</v>
      </c>
      <c r="C14" s="219">
        <f>COUNTIF($J$2:$J$11,J11)</f>
        <v>1</v>
      </c>
      <c r="D14" s="1029">
        <f>DMAX($A$1:$K$11,$H$1,$J$13:$J$14)</f>
        <v>4.166666666666667</v>
      </c>
      <c r="E14" s="1029"/>
      <c r="F14" s="1030"/>
      <c r="J14" s="300" t="s">
        <v>2484</v>
      </c>
      <c r="K14" s="300" t="s">
        <v>500</v>
      </c>
      <c r="L14" s="24" t="s">
        <v>2485</v>
      </c>
      <c r="M14" s="24" t="s">
        <v>2486</v>
      </c>
    </row>
    <row r="15" spans="1:13">
      <c r="B15" s="87" t="s">
        <v>500</v>
      </c>
      <c r="C15" s="219">
        <f>COUNTIF($J$2:$J$11,J10)</f>
        <v>2</v>
      </c>
      <c r="D15" s="1031">
        <f>DMAX($A$1:$K$11,$H$1,$K$13:$K$14)</f>
        <v>5.8666666666666671</v>
      </c>
      <c r="E15" s="1031"/>
      <c r="F15" s="1032"/>
      <c r="J15" s="350"/>
      <c r="K15" s="350"/>
    </row>
    <row r="16" spans="1:13">
      <c r="B16" s="87" t="s">
        <v>2327</v>
      </c>
      <c r="C16" s="219">
        <f>COUNTIF($J$2:$J$11,J8)</f>
        <v>4</v>
      </c>
      <c r="D16" s="1033">
        <f>DMAX($A$1:$K$11,$H$1,$L$13:$L$14)</f>
        <v>7.7</v>
      </c>
      <c r="E16" s="1034"/>
      <c r="F16" s="1035"/>
      <c r="J16" s="350"/>
      <c r="K16" s="350"/>
    </row>
    <row r="17" spans="1:12" ht="16.5" thickBot="1">
      <c r="B17" s="89" t="s">
        <v>2144</v>
      </c>
      <c r="C17" s="219">
        <f>COUNTIF($J$2:$J$11,J2)</f>
        <v>3</v>
      </c>
      <c r="D17" s="1026">
        <f>DMAX($A$1:$K$11,$H$1,$M$13:$M$14)</f>
        <v>9.6666666666666661</v>
      </c>
      <c r="E17" s="1027"/>
      <c r="F17" s="1028"/>
    </row>
    <row r="18" spans="1:12" ht="16.5" thickTop="1">
      <c r="H18" s="898"/>
    </row>
    <row r="19" spans="1:12">
      <c r="A19" s="26" t="s">
        <v>1946</v>
      </c>
      <c r="B19" s="283"/>
    </row>
    <row r="20" spans="1:12">
      <c r="A20" s="26" t="s">
        <v>1936</v>
      </c>
    </row>
    <row r="21" spans="1:12">
      <c r="B21" s="1022" t="s">
        <v>1940</v>
      </c>
      <c r="C21" s="1022"/>
      <c r="D21" s="1020" t="s">
        <v>1941</v>
      </c>
      <c r="E21" s="1023"/>
      <c r="F21" s="1021"/>
    </row>
    <row r="22" spans="1:12">
      <c r="B22" s="1020" t="s">
        <v>1022</v>
      </c>
      <c r="C22" s="1021"/>
      <c r="D22" s="1020">
        <v>0.5</v>
      </c>
      <c r="E22" s="1023"/>
      <c r="F22" s="1021"/>
    </row>
    <row r="23" spans="1:12">
      <c r="B23" s="1020" t="s">
        <v>1023</v>
      </c>
      <c r="C23" s="1021"/>
      <c r="D23" s="1020">
        <v>0.2</v>
      </c>
      <c r="E23" s="1023"/>
      <c r="F23" s="1021"/>
    </row>
    <row r="24" spans="1:12">
      <c r="B24" s="1020" t="s">
        <v>1024</v>
      </c>
      <c r="C24" s="1021"/>
      <c r="D24" s="1020">
        <v>0</v>
      </c>
      <c r="E24" s="1023"/>
      <c r="F24" s="1021"/>
    </row>
    <row r="25" spans="1:12">
      <c r="B25" s="1020" t="s">
        <v>1025</v>
      </c>
      <c r="C25" s="1021"/>
      <c r="D25" s="1020">
        <v>-0.5</v>
      </c>
      <c r="E25" s="1023"/>
      <c r="F25" s="1021"/>
    </row>
    <row r="26" spans="1:12">
      <c r="A26" s="26" t="s">
        <v>1930</v>
      </c>
    </row>
    <row r="27" spans="1:12">
      <c r="A27" s="26" t="s">
        <v>1931</v>
      </c>
      <c r="E27" s="318"/>
      <c r="L27" s="226"/>
    </row>
    <row r="28" spans="1:12">
      <c r="B28" s="303" t="s">
        <v>1938</v>
      </c>
      <c r="E28" s="318"/>
      <c r="L28" s="226"/>
    </row>
    <row r="29" spans="1:12">
      <c r="B29" s="303" t="s">
        <v>1932</v>
      </c>
      <c r="E29" s="318"/>
      <c r="L29" s="226"/>
    </row>
    <row r="30" spans="1:12">
      <c r="B30" s="303" t="s">
        <v>1937</v>
      </c>
      <c r="E30" s="318"/>
      <c r="L30" s="226"/>
    </row>
    <row r="31" spans="1:12">
      <c r="B31" s="303" t="s">
        <v>1942</v>
      </c>
    </row>
    <row r="32" spans="1:12">
      <c r="A32" s="26" t="s">
        <v>1933</v>
      </c>
    </row>
    <row r="33" spans="1:2">
      <c r="B33" s="26" t="s">
        <v>1934</v>
      </c>
    </row>
    <row r="34" spans="1:2">
      <c r="B34" s="26" t="s">
        <v>1935</v>
      </c>
    </row>
    <row r="35" spans="1:2">
      <c r="B35" s="26" t="s">
        <v>1944</v>
      </c>
    </row>
    <row r="36" spans="1:2">
      <c r="A36" s="26" t="s">
        <v>1943</v>
      </c>
    </row>
    <row r="37" spans="1:2">
      <c r="B37" s="26" t="s">
        <v>1945</v>
      </c>
    </row>
  </sheetData>
  <sortState ref="A2:K11">
    <sortCondition ref="I2:I11"/>
  </sortState>
  <mergeCells count="15">
    <mergeCell ref="D13:F13"/>
    <mergeCell ref="D17:F17"/>
    <mergeCell ref="D25:F25"/>
    <mergeCell ref="D14:F14"/>
    <mergeCell ref="D15:F15"/>
    <mergeCell ref="D16:F16"/>
    <mergeCell ref="B24:C24"/>
    <mergeCell ref="B25:C25"/>
    <mergeCell ref="B21:C21"/>
    <mergeCell ref="D21:F21"/>
    <mergeCell ref="D22:F22"/>
    <mergeCell ref="D23:F23"/>
    <mergeCell ref="B22:C22"/>
    <mergeCell ref="B23:C23"/>
    <mergeCell ref="D24:F24"/>
  </mergeCells>
  <phoneticPr fontId="0" type="noConversion"/>
  <pageMargins left="0.75" right="0.75" top="1" bottom="1" header="0.5" footer="0.5"/>
  <pageSetup paperSize="9" orientation="portrait" r:id="rId1"/>
  <headerFooter alignWithMargins="0">
    <oddFooter>&amp;A</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F22"/>
  <sheetViews>
    <sheetView showGridLines="0" workbookViewId="0">
      <selection activeCell="E12" sqref="E12"/>
    </sheetView>
  </sheetViews>
  <sheetFormatPr defaultRowHeight="15.75"/>
  <cols>
    <col min="1" max="1" width="4.25" style="12" customWidth="1"/>
    <col min="2" max="2" width="9" style="12" customWidth="1"/>
    <col min="3" max="3" width="13" style="12" customWidth="1"/>
    <col min="4" max="4" width="18.5" style="12" customWidth="1"/>
    <col min="5" max="5" width="17.625" style="12" customWidth="1"/>
    <col min="6" max="16384" width="9" style="12"/>
  </cols>
  <sheetData>
    <row r="1" spans="1:6" ht="17.25" thickTop="1" thickBot="1">
      <c r="A1" s="73" t="s">
        <v>842</v>
      </c>
      <c r="B1" s="74" t="s">
        <v>1950</v>
      </c>
      <c r="C1" s="74" t="s">
        <v>1951</v>
      </c>
      <c r="D1" s="74" t="s">
        <v>1948</v>
      </c>
      <c r="E1" s="75" t="s">
        <v>1949</v>
      </c>
    </row>
    <row r="2" spans="1:6" ht="16.5" thickTop="1">
      <c r="A2" s="17">
        <v>1</v>
      </c>
      <c r="B2" s="19" t="s">
        <v>517</v>
      </c>
      <c r="C2" s="154">
        <v>1400000</v>
      </c>
      <c r="D2" s="19" t="s">
        <v>1026</v>
      </c>
      <c r="E2" s="78">
        <f>IF(D2="USD",C2/14000,IF(D2="DM",C2/10000,C2/6000))</f>
        <v>100</v>
      </c>
    </row>
    <row r="3" spans="1:6">
      <c r="A3" s="281">
        <v>2</v>
      </c>
      <c r="B3" s="25" t="s">
        <v>848</v>
      </c>
      <c r="C3" s="146">
        <v>15000000</v>
      </c>
      <c r="D3" s="25" t="s">
        <v>525</v>
      </c>
      <c r="E3" s="78">
        <f t="shared" ref="E3:E8" si="0">IF(D3="USD",C3/14000,IF(D3="DM",C3/10000,C3/6000))</f>
        <v>1500</v>
      </c>
    </row>
    <row r="4" spans="1:6">
      <c r="A4" s="17">
        <v>3</v>
      </c>
      <c r="B4" s="25" t="s">
        <v>848</v>
      </c>
      <c r="C4" s="146">
        <v>18000000</v>
      </c>
      <c r="D4" s="25" t="s">
        <v>526</v>
      </c>
      <c r="E4" s="78">
        <f t="shared" si="0"/>
        <v>3000</v>
      </c>
    </row>
    <row r="5" spans="1:6">
      <c r="A5" s="281">
        <v>4</v>
      </c>
      <c r="B5" s="25" t="s">
        <v>517</v>
      </c>
      <c r="C5" s="146">
        <v>10000000</v>
      </c>
      <c r="D5" s="25" t="s">
        <v>525</v>
      </c>
      <c r="E5" s="78">
        <f t="shared" si="0"/>
        <v>1000</v>
      </c>
    </row>
    <row r="6" spans="1:6">
      <c r="A6" s="17">
        <v>5</v>
      </c>
      <c r="B6" s="25" t="s">
        <v>517</v>
      </c>
      <c r="C6" s="146">
        <v>24000000</v>
      </c>
      <c r="D6" s="25" t="s">
        <v>526</v>
      </c>
      <c r="E6" s="78">
        <f t="shared" si="0"/>
        <v>4000</v>
      </c>
    </row>
    <row r="7" spans="1:6">
      <c r="A7" s="281">
        <v>6</v>
      </c>
      <c r="B7" s="25" t="s">
        <v>848</v>
      </c>
      <c r="C7" s="146">
        <v>7000000</v>
      </c>
      <c r="D7" s="25" t="s">
        <v>1026</v>
      </c>
      <c r="E7" s="78">
        <f t="shared" si="0"/>
        <v>500</v>
      </c>
    </row>
    <row r="8" spans="1:6" ht="16.5" thickBot="1">
      <c r="A8" s="17">
        <v>7</v>
      </c>
      <c r="B8" s="153" t="s">
        <v>517</v>
      </c>
      <c r="C8" s="351">
        <v>5000000</v>
      </c>
      <c r="D8" s="153" t="s">
        <v>525</v>
      </c>
      <c r="E8" s="78">
        <f t="shared" si="0"/>
        <v>500</v>
      </c>
    </row>
    <row r="9" spans="1:6" ht="16.5" thickTop="1"/>
    <row r="10" spans="1:6" ht="16.5" thickBot="1">
      <c r="B10" s="1012" t="s">
        <v>2399</v>
      </c>
      <c r="C10" s="1012"/>
      <c r="D10" s="1012"/>
      <c r="E10" s="1012"/>
    </row>
    <row r="11" spans="1:6" ht="15" customHeight="1" thickTop="1" thickBot="1">
      <c r="B11" s="14" t="s">
        <v>1947</v>
      </c>
      <c r="C11" s="15" t="s">
        <v>1952</v>
      </c>
      <c r="D11" s="15" t="s">
        <v>1953</v>
      </c>
      <c r="E11" s="75" t="s">
        <v>1949</v>
      </c>
    </row>
    <row r="12" spans="1:6" ht="16.5" thickTop="1">
      <c r="B12" s="1036" t="s">
        <v>1026</v>
      </c>
      <c r="C12" s="19" t="s">
        <v>848</v>
      </c>
      <c r="D12" s="219">
        <f>COUNTIF($B$2:$B$8,C12)</f>
        <v>3</v>
      </c>
      <c r="E12" s="227">
        <f>SUMIFS($E$2:$E$8,$D$2:$D$8,"USD",$B$2:$B$8,C12)</f>
        <v>500</v>
      </c>
    </row>
    <row r="13" spans="1:6" ht="16.5" thickBot="1">
      <c r="B13" s="1037"/>
      <c r="C13" s="153" t="s">
        <v>517</v>
      </c>
      <c r="D13" s="219">
        <f>COUNTIF($B$2:$B$8,C13)</f>
        <v>4</v>
      </c>
      <c r="E13" s="227">
        <f>SUMIFS($E$2:$E$8,$D$2:$D$8,"USD",$B$2:$B$8,C13)</f>
        <v>100</v>
      </c>
    </row>
    <row r="14" spans="1:6" ht="16.5" thickTop="1">
      <c r="C14" s="226"/>
      <c r="D14" s="226"/>
      <c r="E14" s="327"/>
      <c r="F14" s="327"/>
    </row>
    <row r="15" spans="1:6">
      <c r="C15" s="353" t="s">
        <v>1950</v>
      </c>
      <c r="D15" s="353" t="s">
        <v>1948</v>
      </c>
      <c r="E15" s="327"/>
      <c r="F15" s="327"/>
    </row>
    <row r="16" spans="1:6">
      <c r="C16" s="354" t="s">
        <v>517</v>
      </c>
      <c r="D16" s="354" t="s">
        <v>1026</v>
      </c>
      <c r="E16" s="327"/>
      <c r="F16" s="327"/>
    </row>
    <row r="17" spans="1:4">
      <c r="D17" s="104"/>
    </row>
    <row r="18" spans="1:4">
      <c r="C18" s="353" t="s">
        <v>1950</v>
      </c>
      <c r="D18" s="353" t="s">
        <v>1948</v>
      </c>
    </row>
    <row r="19" spans="1:4">
      <c r="C19" s="354" t="s">
        <v>848</v>
      </c>
      <c r="D19" s="354" t="s">
        <v>1026</v>
      </c>
    </row>
    <row r="21" spans="1:4">
      <c r="A21" s="26" t="s">
        <v>1954</v>
      </c>
    </row>
    <row r="22" spans="1:4">
      <c r="A22" s="26" t="s">
        <v>1955</v>
      </c>
    </row>
  </sheetData>
  <mergeCells count="2">
    <mergeCell ref="B12:B13"/>
    <mergeCell ref="B10:E10"/>
  </mergeCells>
  <phoneticPr fontId="0" type="noConversion"/>
  <pageMargins left="0.75" right="0.75" top="1" bottom="1" header="0.5" footer="0.5"/>
  <pageSetup paperSize="9" orientation="portrait" r:id="rId1"/>
  <headerFooter alignWithMargins="0">
    <oddFooter>&amp;A</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L13"/>
  <sheetViews>
    <sheetView showGridLines="0" zoomScaleNormal="100" workbookViewId="0">
      <selection activeCell="L5" sqref="L5"/>
    </sheetView>
  </sheetViews>
  <sheetFormatPr defaultRowHeight="15.75"/>
  <cols>
    <col min="1" max="2" width="4.125" style="12" customWidth="1"/>
    <col min="3" max="3" width="8.25" style="12" customWidth="1"/>
    <col min="4" max="4" width="10.75" style="12" customWidth="1"/>
    <col min="5" max="5" width="10.625" style="12" customWidth="1"/>
    <col min="6" max="6" width="10.625" style="223" customWidth="1"/>
    <col min="7" max="8" width="5.625" style="12" customWidth="1"/>
    <col min="9" max="12" width="8.625" style="12" customWidth="1"/>
    <col min="13" max="16384" width="9" style="12"/>
  </cols>
  <sheetData>
    <row r="1" spans="1:12" ht="48.75" thickTop="1" thickBot="1">
      <c r="A1" s="73" t="s">
        <v>842</v>
      </c>
      <c r="B1" s="74" t="s">
        <v>661</v>
      </c>
      <c r="C1" s="74" t="s">
        <v>663</v>
      </c>
      <c r="D1" s="74" t="s">
        <v>2371</v>
      </c>
      <c r="E1" s="74" t="s">
        <v>2375</v>
      </c>
      <c r="F1" s="836" t="s">
        <v>2483</v>
      </c>
      <c r="G1" s="74" t="s">
        <v>681</v>
      </c>
      <c r="H1" s="74" t="s">
        <v>687</v>
      </c>
      <c r="I1" s="74" t="s">
        <v>151</v>
      </c>
      <c r="J1" s="74" t="s">
        <v>666</v>
      </c>
      <c r="K1" s="74" t="s">
        <v>33</v>
      </c>
      <c r="L1" s="75" t="s">
        <v>2376</v>
      </c>
    </row>
    <row r="2" spans="1:12" ht="16.5" thickTop="1">
      <c r="A2" s="17">
        <v>1</v>
      </c>
      <c r="B2" s="19" t="s">
        <v>1163</v>
      </c>
      <c r="C2" s="18" t="s">
        <v>2369</v>
      </c>
      <c r="D2" s="255">
        <f>DATE(98,5,12)</f>
        <v>35927</v>
      </c>
      <c r="E2" s="255">
        <f>DATE(98,5,15)</f>
        <v>35930</v>
      </c>
      <c r="F2" s="628">
        <f>E2-D2</f>
        <v>3</v>
      </c>
      <c r="G2" s="19">
        <v>100</v>
      </c>
      <c r="H2" s="18">
        <v>5</v>
      </c>
      <c r="I2" s="20">
        <f>H2*G2</f>
        <v>500</v>
      </c>
      <c r="J2" s="20">
        <f>IF(LEFT(B2,1)="A",1%*I2,IF(LEFT(B2,1)="B",5%*I2,IF(LEFT(B2,1)="C",7%*I2,10%*I2)))</f>
        <v>25</v>
      </c>
      <c r="K2" s="20">
        <f>IF(F2&lt;30,2%*I2,IF(F2&lt;=89,1%*I2,0))</f>
        <v>10</v>
      </c>
      <c r="L2" s="78">
        <f>SUM(I2:K2)</f>
        <v>535</v>
      </c>
    </row>
    <row r="3" spans="1:12">
      <c r="A3" s="281"/>
      <c r="B3" s="25" t="s">
        <v>1155</v>
      </c>
      <c r="C3" s="24" t="s">
        <v>1956</v>
      </c>
      <c r="D3" s="256">
        <f>DATE(98,1,7)</f>
        <v>35802</v>
      </c>
      <c r="E3" s="256">
        <f>DATE(98,4,17)</f>
        <v>35902</v>
      </c>
      <c r="F3" s="628">
        <f>E3-D3</f>
        <v>100</v>
      </c>
      <c r="G3" s="25">
        <v>200</v>
      </c>
      <c r="H3" s="24">
        <v>10</v>
      </c>
      <c r="I3" s="20">
        <f t="shared" ref="I3:I5" si="0">H3*G3</f>
        <v>2000</v>
      </c>
      <c r="J3" s="20">
        <f t="shared" ref="J3:J5" si="1">IF(LEFT(B3,1)="A",1%*I3,IF(LEFT(B3,1)="B",5%*I3,IF(LEFT(B3,1)="C",7%*I3,10%*I3)))</f>
        <v>20</v>
      </c>
      <c r="K3" s="20">
        <f t="shared" ref="K3:K5" si="2">IF(F3&lt;30,2%*I3,IF(F3&lt;=89,1%*I3,0))</f>
        <v>0</v>
      </c>
      <c r="L3" s="78">
        <f t="shared" ref="L3:L4" si="3">SUM(I3:K3)</f>
        <v>2020</v>
      </c>
    </row>
    <row r="4" spans="1:12">
      <c r="A4" s="281"/>
      <c r="B4" s="25" t="s">
        <v>527</v>
      </c>
      <c r="C4" s="24" t="s">
        <v>232</v>
      </c>
      <c r="D4" s="256">
        <f>DATE(98,7,30)</f>
        <v>36006</v>
      </c>
      <c r="E4" s="256">
        <f>DATE(98,9,28)</f>
        <v>36066</v>
      </c>
      <c r="F4" s="628">
        <f>E4-D4</f>
        <v>60</v>
      </c>
      <c r="G4" s="25">
        <v>300</v>
      </c>
      <c r="H4" s="24">
        <v>20</v>
      </c>
      <c r="I4" s="20">
        <f t="shared" si="0"/>
        <v>6000</v>
      </c>
      <c r="J4" s="20">
        <f t="shared" si="1"/>
        <v>600</v>
      </c>
      <c r="K4" s="20">
        <f t="shared" si="2"/>
        <v>60</v>
      </c>
      <c r="L4" s="78">
        <f t="shared" si="3"/>
        <v>6660</v>
      </c>
    </row>
    <row r="5" spans="1:12" ht="16.5" thickBot="1">
      <c r="A5" s="301"/>
      <c r="B5" s="100" t="s">
        <v>514</v>
      </c>
      <c r="C5" s="101" t="s">
        <v>231</v>
      </c>
      <c r="D5" s="355">
        <f>DATE(98,2,1)</f>
        <v>35827</v>
      </c>
      <c r="E5" s="355">
        <f>DATE(98,12,1)</f>
        <v>36130</v>
      </c>
      <c r="F5" s="628">
        <f>E5-D5</f>
        <v>303</v>
      </c>
      <c r="G5" s="100">
        <v>120</v>
      </c>
      <c r="H5" s="101">
        <v>15</v>
      </c>
      <c r="I5" s="20">
        <f t="shared" si="0"/>
        <v>1800</v>
      </c>
      <c r="J5" s="20">
        <f t="shared" si="1"/>
        <v>126.00000000000001</v>
      </c>
      <c r="K5" s="20">
        <f t="shared" si="2"/>
        <v>0</v>
      </c>
      <c r="L5" s="78">
        <f>SUM(I5:K5)</f>
        <v>1926</v>
      </c>
    </row>
    <row r="6" spans="1:12" ht="17.25" thickTop="1" thickBot="1">
      <c r="A6" s="984" t="s">
        <v>671</v>
      </c>
      <c r="B6" s="985"/>
      <c r="C6" s="985"/>
      <c r="D6" s="985"/>
      <c r="E6" s="985"/>
      <c r="F6" s="985"/>
      <c r="G6" s="985"/>
      <c r="H6" s="986"/>
      <c r="I6" s="20"/>
      <c r="J6" s="158"/>
      <c r="K6" s="158"/>
      <c r="L6" s="159"/>
    </row>
    <row r="7" spans="1:12" ht="16.5" thickTop="1"/>
    <row r="8" spans="1:12">
      <c r="A8" s="26" t="s">
        <v>1959</v>
      </c>
    </row>
    <row r="9" spans="1:12">
      <c r="A9" s="26" t="s">
        <v>1961</v>
      </c>
    </row>
    <row r="10" spans="1:12">
      <c r="A10" s="303" t="s">
        <v>1957</v>
      </c>
      <c r="J10" s="306"/>
      <c r="K10" s="306"/>
    </row>
    <row r="11" spans="1:12">
      <c r="A11" s="303" t="s">
        <v>1958</v>
      </c>
      <c r="J11" s="306"/>
      <c r="K11" s="306"/>
    </row>
    <row r="12" spans="1:12">
      <c r="A12" s="303" t="s">
        <v>1962</v>
      </c>
      <c r="J12" s="306"/>
      <c r="K12" s="306"/>
    </row>
    <row r="13" spans="1:12">
      <c r="A13" s="26" t="s">
        <v>1960</v>
      </c>
      <c r="J13" s="306"/>
      <c r="K13" s="306"/>
    </row>
  </sheetData>
  <mergeCells count="1">
    <mergeCell ref="A6:H6"/>
  </mergeCells>
  <phoneticPr fontId="0" type="noConversion"/>
  <pageMargins left="0.52" right="0.86" top="1" bottom="1" header="0.5" footer="0.5"/>
  <pageSetup paperSize="9" orientation="portrait" r:id="rId1"/>
  <headerFooter alignWithMargins="0">
    <oddFooter>&amp;A</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26"/>
  <sheetViews>
    <sheetView showGridLines="0" workbookViewId="0">
      <selection activeCell="F19" sqref="F19"/>
    </sheetView>
  </sheetViews>
  <sheetFormatPr defaultRowHeight="15.75"/>
  <cols>
    <col min="1" max="1" width="11.125" style="12" customWidth="1"/>
    <col min="2" max="2" width="9.75" style="12" customWidth="1"/>
    <col min="3" max="3" width="10.625" style="12" customWidth="1"/>
    <col min="4" max="4" width="9.875" style="12" customWidth="1"/>
    <col min="5" max="5" width="10.375" style="12" customWidth="1"/>
    <col min="6" max="6" width="10.75" style="12" customWidth="1"/>
    <col min="7" max="7" width="10.5" style="12" customWidth="1"/>
    <col min="8" max="16384" width="9" style="12"/>
  </cols>
  <sheetData>
    <row r="1" spans="1:7" ht="17.25" thickTop="1" thickBot="1">
      <c r="A1" s="14" t="s">
        <v>152</v>
      </c>
      <c r="B1" s="15" t="s">
        <v>193</v>
      </c>
      <c r="C1" s="15" t="s">
        <v>2392</v>
      </c>
      <c r="D1" s="15" t="s">
        <v>150</v>
      </c>
      <c r="E1" s="15" t="s">
        <v>1963</v>
      </c>
      <c r="F1" s="15" t="s">
        <v>1971</v>
      </c>
      <c r="G1" s="16" t="s">
        <v>1966</v>
      </c>
    </row>
    <row r="2" spans="1:7" ht="16.5" thickTop="1">
      <c r="A2" s="356">
        <f>DATE(98,8,20)</f>
        <v>36027</v>
      </c>
      <c r="B2" s="19" t="s">
        <v>409</v>
      </c>
      <c r="C2" s="19" t="s">
        <v>2387</v>
      </c>
      <c r="D2" s="19" t="s">
        <v>2386</v>
      </c>
      <c r="E2" s="19">
        <v>200</v>
      </c>
      <c r="F2" s="219">
        <f t="shared" ref="F2:F11" si="0">IF(D2=$D$2,3%*E2,IF(D2=$D$4,2%*E2,1%*E2))</f>
        <v>6</v>
      </c>
      <c r="G2" s="164">
        <f t="shared" ref="G2:G11" si="1">SUM(E2:F2)</f>
        <v>206</v>
      </c>
    </row>
    <row r="3" spans="1:7" ht="16.5" thickTop="1">
      <c r="A3" s="357">
        <f>DATE(98,8,29)</f>
        <v>36036</v>
      </c>
      <c r="B3" s="25" t="s">
        <v>501</v>
      </c>
      <c r="C3" s="25" t="s">
        <v>2387</v>
      </c>
      <c r="D3" s="25" t="s">
        <v>2393</v>
      </c>
      <c r="E3" s="25">
        <v>400</v>
      </c>
      <c r="F3" s="219">
        <f t="shared" si="0"/>
        <v>8</v>
      </c>
      <c r="G3" s="164">
        <f t="shared" si="1"/>
        <v>408</v>
      </c>
    </row>
    <row r="4" spans="1:7" ht="16.5" thickTop="1">
      <c r="A4" s="357">
        <f>DATE(98,8,30)</f>
        <v>36037</v>
      </c>
      <c r="B4" s="25" t="s">
        <v>517</v>
      </c>
      <c r="C4" s="25" t="s">
        <v>2387</v>
      </c>
      <c r="D4" s="25" t="s">
        <v>2393</v>
      </c>
      <c r="E4" s="25">
        <v>100</v>
      </c>
      <c r="F4" s="219">
        <f t="shared" si="0"/>
        <v>2</v>
      </c>
      <c r="G4" s="164">
        <f t="shared" si="1"/>
        <v>102</v>
      </c>
    </row>
    <row r="5" spans="1:7" ht="16.5" thickTop="1">
      <c r="A5" s="357">
        <f>DATE(98,8,10)</f>
        <v>36017</v>
      </c>
      <c r="B5" s="25" t="s">
        <v>517</v>
      </c>
      <c r="C5" s="25" t="s">
        <v>2387</v>
      </c>
      <c r="D5" s="25" t="s">
        <v>2393</v>
      </c>
      <c r="E5" s="25">
        <v>300</v>
      </c>
      <c r="F5" s="219">
        <f t="shared" si="0"/>
        <v>6</v>
      </c>
      <c r="G5" s="164">
        <f t="shared" si="1"/>
        <v>306</v>
      </c>
    </row>
    <row r="6" spans="1:7" ht="16.5" thickTop="1">
      <c r="A6" s="357">
        <f>DATE(98,9,3)</f>
        <v>36041</v>
      </c>
      <c r="B6" s="25" t="s">
        <v>501</v>
      </c>
      <c r="C6" s="25" t="s">
        <v>2387</v>
      </c>
      <c r="D6" s="25" t="s">
        <v>2386</v>
      </c>
      <c r="E6" s="25">
        <v>600</v>
      </c>
      <c r="F6" s="219">
        <f t="shared" si="0"/>
        <v>18</v>
      </c>
      <c r="G6" s="164">
        <f t="shared" si="1"/>
        <v>618</v>
      </c>
    </row>
    <row r="7" spans="1:7">
      <c r="A7" s="357">
        <f>DATE(98,9,4)</f>
        <v>36042</v>
      </c>
      <c r="B7" s="25" t="s">
        <v>517</v>
      </c>
      <c r="C7" s="25" t="s">
        <v>2387</v>
      </c>
      <c r="D7" s="25" t="s">
        <v>2391</v>
      </c>
      <c r="E7" s="25">
        <v>100</v>
      </c>
      <c r="F7" s="219">
        <f t="shared" si="0"/>
        <v>1</v>
      </c>
      <c r="G7" s="164">
        <f t="shared" si="1"/>
        <v>101</v>
      </c>
    </row>
    <row r="8" spans="1:7">
      <c r="A8" s="357">
        <f>DATE(98,9,3)</f>
        <v>36041</v>
      </c>
      <c r="B8" s="25" t="s">
        <v>516</v>
      </c>
      <c r="C8" s="25" t="s">
        <v>2388</v>
      </c>
      <c r="D8" s="25" t="s">
        <v>2386</v>
      </c>
      <c r="E8" s="25">
        <v>100</v>
      </c>
      <c r="F8" s="219">
        <f t="shared" si="0"/>
        <v>3</v>
      </c>
      <c r="G8" s="164">
        <f t="shared" si="1"/>
        <v>103</v>
      </c>
    </row>
    <row r="9" spans="1:7">
      <c r="A9" s="357">
        <f>DATE(98,9,4)</f>
        <v>36042</v>
      </c>
      <c r="B9" s="25" t="s">
        <v>2329</v>
      </c>
      <c r="C9" s="25" t="s">
        <v>2388</v>
      </c>
      <c r="D9" s="25" t="s">
        <v>2393</v>
      </c>
      <c r="E9" s="25">
        <v>500</v>
      </c>
      <c r="F9" s="219">
        <f t="shared" si="0"/>
        <v>10</v>
      </c>
      <c r="G9" s="164">
        <f t="shared" si="1"/>
        <v>510</v>
      </c>
    </row>
    <row r="10" spans="1:7">
      <c r="A10" s="357">
        <f>DATE(98,8,30)</f>
        <v>36037</v>
      </c>
      <c r="B10" s="25" t="s">
        <v>516</v>
      </c>
      <c r="C10" s="25" t="s">
        <v>2388</v>
      </c>
      <c r="D10" s="25" t="s">
        <v>2391</v>
      </c>
      <c r="E10" s="25">
        <v>200</v>
      </c>
      <c r="F10" s="219">
        <f t="shared" si="0"/>
        <v>2</v>
      </c>
      <c r="G10" s="164">
        <f t="shared" si="1"/>
        <v>202</v>
      </c>
    </row>
    <row r="11" spans="1:7" ht="16.5" thickBot="1">
      <c r="A11" s="358">
        <f>DATE(98,8,30)</f>
        <v>36037</v>
      </c>
      <c r="B11" s="895" t="s">
        <v>2329</v>
      </c>
      <c r="C11" s="895" t="s">
        <v>2388</v>
      </c>
      <c r="D11" s="895" t="s">
        <v>2386</v>
      </c>
      <c r="E11" s="895">
        <v>500</v>
      </c>
      <c r="F11" s="219">
        <f t="shared" si="0"/>
        <v>15</v>
      </c>
      <c r="G11" s="164">
        <f t="shared" si="1"/>
        <v>515</v>
      </c>
    </row>
    <row r="12" spans="1:7" ht="16.5" thickTop="1"/>
    <row r="13" spans="1:7" ht="16.5" thickBot="1">
      <c r="A13" s="1012" t="s">
        <v>2399</v>
      </c>
      <c r="B13" s="1012"/>
      <c r="C13" s="1012"/>
      <c r="D13" s="1012"/>
    </row>
    <row r="14" spans="1:7" ht="15" customHeight="1" thickTop="1" thickBot="1">
      <c r="A14" s="14" t="s">
        <v>1967</v>
      </c>
      <c r="B14" s="15" t="s">
        <v>193</v>
      </c>
      <c r="C14" s="15" t="s">
        <v>2394</v>
      </c>
      <c r="D14" s="16" t="s">
        <v>1966</v>
      </c>
      <c r="F14" s="224" t="s">
        <v>152</v>
      </c>
      <c r="G14" s="353" t="s">
        <v>193</v>
      </c>
    </row>
    <row r="15" spans="1:7" ht="16.5" thickTop="1">
      <c r="A15" s="17">
        <v>8</v>
      </c>
      <c r="B15" s="19" t="s">
        <v>517</v>
      </c>
      <c r="C15" s="219">
        <f>COUNTIF($B$2:$B$11, "CHI")</f>
        <v>3</v>
      </c>
      <c r="D15" s="164">
        <f>SUMIF($B$2:$B$11, "CHI", $G$2:$G$11)</f>
        <v>509</v>
      </c>
      <c r="F15" s="899" t="str">
        <f>("&lt;=8/31/1998")</f>
        <v>&lt;=8/31/1998</v>
      </c>
      <c r="G15" s="354" t="s">
        <v>517</v>
      </c>
    </row>
    <row r="16" spans="1:7" ht="16.5" thickBot="1">
      <c r="A16" s="79">
        <v>9</v>
      </c>
      <c r="B16" s="153" t="s">
        <v>516</v>
      </c>
      <c r="C16" s="219">
        <f>COUNTIF($B$2:$B$11, "NGA")</f>
        <v>2</v>
      </c>
      <c r="D16" s="164">
        <f>SUMIF($B$2:$B$11, "NGA", $G$2:$G$11)</f>
        <v>305</v>
      </c>
    </row>
    <row r="17" spans="1:7" ht="15" customHeight="1" thickTop="1">
      <c r="F17" s="224" t="s">
        <v>152</v>
      </c>
      <c r="G17" s="353" t="s">
        <v>193</v>
      </c>
    </row>
    <row r="18" spans="1:7">
      <c r="A18" s="26" t="s">
        <v>1972</v>
      </c>
      <c r="F18" s="899" t="str">
        <f>("&gt;=9/1/1998")</f>
        <v>&gt;=9/1/1998</v>
      </c>
      <c r="G18" s="354" t="s">
        <v>516</v>
      </c>
    </row>
    <row r="19" spans="1:7">
      <c r="A19" s="303" t="s">
        <v>1968</v>
      </c>
    </row>
    <row r="20" spans="1:7">
      <c r="A20" s="303" t="s">
        <v>1965</v>
      </c>
    </row>
    <row r="21" spans="1:7">
      <c r="A21" s="303" t="s">
        <v>1964</v>
      </c>
    </row>
    <row r="22" spans="1:7">
      <c r="A22" s="26" t="s">
        <v>1973</v>
      </c>
    </row>
    <row r="23" spans="1:7">
      <c r="A23" s="26" t="s">
        <v>1969</v>
      </c>
    </row>
    <row r="24" spans="1:7">
      <c r="A24" s="26" t="s">
        <v>1970</v>
      </c>
    </row>
    <row r="25" spans="1:7">
      <c r="C25" s="359"/>
    </row>
    <row r="26" spans="1:7">
      <c r="C26" s="258"/>
    </row>
  </sheetData>
  <sortState ref="A2:G11">
    <sortCondition ref="C2:C11"/>
  </sortState>
  <mergeCells count="1">
    <mergeCell ref="A13:D13"/>
  </mergeCells>
  <phoneticPr fontId="0" type="noConversion"/>
  <pageMargins left="0.75" right="0.75" top="1" bottom="1" header="0.5" footer="0.5"/>
  <pageSetup paperSize="9" orientation="portrait" r:id="rId1"/>
  <headerFooter alignWithMargins="0">
    <oddFooter>&amp;A</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L16"/>
  <sheetViews>
    <sheetView showGridLines="0" workbookViewId="0">
      <selection activeCell="K6" sqref="K6"/>
    </sheetView>
  </sheetViews>
  <sheetFormatPr defaultRowHeight="15.75"/>
  <cols>
    <col min="1" max="1" width="4.125" style="12" customWidth="1"/>
    <col min="2" max="3" width="6.375" style="12" customWidth="1"/>
    <col min="4" max="4" width="11" style="12" customWidth="1"/>
    <col min="5" max="5" width="10.5" style="12" customWidth="1"/>
    <col min="6" max="6" width="12.875" style="12" customWidth="1"/>
    <col min="7" max="7" width="12.5" style="12" bestFit="1" customWidth="1"/>
    <col min="8" max="8" width="12.375" style="12" bestFit="1" customWidth="1"/>
    <col min="9" max="9" width="7.5" style="12" bestFit="1" customWidth="1"/>
    <col min="10" max="10" width="11" style="12" bestFit="1" customWidth="1"/>
    <col min="11" max="11" width="9.75" style="12" bestFit="1" customWidth="1"/>
    <col min="12" max="12" width="9.875" style="12" bestFit="1" customWidth="1"/>
    <col min="13" max="16384" width="9" style="12"/>
  </cols>
  <sheetData>
    <row r="1" spans="1:12" ht="24" customHeight="1" thickBot="1">
      <c r="A1" s="926" t="s">
        <v>1975</v>
      </c>
      <c r="B1" s="926"/>
      <c r="C1" s="926"/>
      <c r="D1" s="926"/>
      <c r="E1" s="926"/>
      <c r="F1" s="926"/>
      <c r="G1" s="926"/>
      <c r="H1" s="926"/>
      <c r="I1" s="926"/>
      <c r="J1" s="926"/>
      <c r="K1" s="926"/>
    </row>
    <row r="2" spans="1:12" ht="36.75" customHeight="1" thickTop="1" thickBot="1">
      <c r="A2" s="73" t="s">
        <v>842</v>
      </c>
      <c r="B2" s="74" t="s">
        <v>2136</v>
      </c>
      <c r="C2" s="74" t="s">
        <v>1922</v>
      </c>
      <c r="D2" s="74" t="s">
        <v>633</v>
      </c>
      <c r="E2" s="74" t="s">
        <v>634</v>
      </c>
      <c r="F2" s="74" t="s">
        <v>2467</v>
      </c>
      <c r="G2" s="74" t="s">
        <v>2466</v>
      </c>
      <c r="H2" s="74" t="s">
        <v>2468</v>
      </c>
      <c r="I2" s="74" t="s">
        <v>1918</v>
      </c>
      <c r="J2" s="74" t="s">
        <v>1976</v>
      </c>
      <c r="K2" s="75" t="s">
        <v>151</v>
      </c>
    </row>
    <row r="3" spans="1:12" ht="16.5" thickTop="1">
      <c r="A3" s="17">
        <v>1</v>
      </c>
      <c r="B3" s="18" t="s">
        <v>1006</v>
      </c>
      <c r="C3" s="19" t="s">
        <v>1024</v>
      </c>
      <c r="D3" s="255">
        <f>DATE(98,12,7)</f>
        <v>36136</v>
      </c>
      <c r="E3" s="255">
        <f>DATE(98,12,25)</f>
        <v>36154</v>
      </c>
      <c r="F3" s="219">
        <f>E3-D3</f>
        <v>18</v>
      </c>
      <c r="G3" s="219">
        <f>INT(F3/7)</f>
        <v>2</v>
      </c>
      <c r="H3" s="219">
        <f>VLOOKUP(C3,$D$12:$F$15,2,0)*G3</f>
        <v>100</v>
      </c>
      <c r="I3" s="219">
        <f>MOD(F3,7)</f>
        <v>4</v>
      </c>
      <c r="J3" s="219">
        <f>VLOOKUP(C3,$D$12:$F$15,3,0)*I3</f>
        <v>40</v>
      </c>
      <c r="K3" s="164">
        <f>SUM(J3,H3)</f>
        <v>140</v>
      </c>
      <c r="L3" s="223"/>
    </row>
    <row r="4" spans="1:12">
      <c r="A4" s="281">
        <v>2</v>
      </c>
      <c r="B4" s="24" t="s">
        <v>517</v>
      </c>
      <c r="C4" s="25" t="s">
        <v>1023</v>
      </c>
      <c r="D4" s="256">
        <f>DATE(98,12,1)</f>
        <v>36130</v>
      </c>
      <c r="E4" s="256">
        <f>DATE(98,12,29)</f>
        <v>36158</v>
      </c>
      <c r="F4" s="219">
        <f t="shared" ref="F4:F6" si="0">E4-D4</f>
        <v>28</v>
      </c>
      <c r="G4" s="219">
        <f t="shared" ref="G4:G6" si="1">INT(F4/7)</f>
        <v>4</v>
      </c>
      <c r="H4" s="219">
        <f t="shared" ref="H4:H6" si="2">VLOOKUP(C4,$D$12:$F$15,2,0)*G4</f>
        <v>320</v>
      </c>
      <c r="I4" s="219">
        <f t="shared" ref="I4:I6" si="3">MOD(F4,7)</f>
        <v>0</v>
      </c>
      <c r="J4" s="219">
        <f t="shared" ref="J4:J6" si="4">VLOOKUP(C4,$D$12:$F$15,3,0)*I4</f>
        <v>0</v>
      </c>
      <c r="K4" s="164">
        <f t="shared" ref="K4:K6" si="5">SUM(J4,H4)</f>
        <v>320</v>
      </c>
      <c r="L4" s="223"/>
    </row>
    <row r="5" spans="1:12">
      <c r="A5" s="17">
        <v>3</v>
      </c>
      <c r="B5" s="24" t="s">
        <v>1915</v>
      </c>
      <c r="C5" s="25" t="s">
        <v>1022</v>
      </c>
      <c r="D5" s="256">
        <f>DATE(98,11,2)</f>
        <v>36101</v>
      </c>
      <c r="E5" s="256">
        <f>DATE(98,11,29)</f>
        <v>36128</v>
      </c>
      <c r="F5" s="219">
        <f t="shared" si="0"/>
        <v>27</v>
      </c>
      <c r="G5" s="219">
        <f t="shared" si="1"/>
        <v>3</v>
      </c>
      <c r="H5" s="219">
        <f t="shared" si="2"/>
        <v>330</v>
      </c>
      <c r="I5" s="219">
        <f t="shared" si="3"/>
        <v>6</v>
      </c>
      <c r="J5" s="219">
        <f t="shared" si="4"/>
        <v>120</v>
      </c>
      <c r="K5" s="164">
        <f t="shared" si="5"/>
        <v>450</v>
      </c>
      <c r="L5" s="223"/>
    </row>
    <row r="6" spans="1:12" ht="16.5" thickBot="1">
      <c r="A6" s="281">
        <v>4</v>
      </c>
      <c r="B6" s="80" t="s">
        <v>2054</v>
      </c>
      <c r="C6" s="153" t="s">
        <v>1023</v>
      </c>
      <c r="D6" s="257">
        <f>DATE(98,7,30)</f>
        <v>36006</v>
      </c>
      <c r="E6" s="257">
        <f>DATE(98,8,30)</f>
        <v>36037</v>
      </c>
      <c r="F6" s="219">
        <f t="shared" si="0"/>
        <v>31</v>
      </c>
      <c r="G6" s="219">
        <f t="shared" si="1"/>
        <v>4</v>
      </c>
      <c r="H6" s="219">
        <f t="shared" si="2"/>
        <v>320</v>
      </c>
      <c r="I6" s="219">
        <f t="shared" si="3"/>
        <v>3</v>
      </c>
      <c r="J6" s="219">
        <f t="shared" si="4"/>
        <v>45</v>
      </c>
      <c r="K6" s="164">
        <f t="shared" si="5"/>
        <v>365</v>
      </c>
      <c r="L6" s="223"/>
    </row>
    <row r="7" spans="1:12" ht="16.5" thickTop="1">
      <c r="F7" s="319"/>
      <c r="G7" s="319"/>
      <c r="H7" s="319"/>
      <c r="I7" s="319"/>
      <c r="J7" s="319"/>
      <c r="K7" s="319"/>
    </row>
    <row r="8" spans="1:12">
      <c r="A8" s="26" t="s">
        <v>1977</v>
      </c>
      <c r="C8" s="26"/>
    </row>
    <row r="9" spans="1:12">
      <c r="A9" s="26" t="s">
        <v>1978</v>
      </c>
      <c r="C9" s="26"/>
    </row>
    <row r="10" spans="1:12">
      <c r="B10" s="303" t="s">
        <v>1979</v>
      </c>
    </row>
    <row r="11" spans="1:12">
      <c r="B11" s="303" t="s">
        <v>1980</v>
      </c>
    </row>
    <row r="12" spans="1:12">
      <c r="D12" s="853" t="s">
        <v>2439</v>
      </c>
      <c r="E12" s="853" t="s">
        <v>1919</v>
      </c>
      <c r="F12" s="853" t="s">
        <v>1974</v>
      </c>
      <c r="G12" s="324"/>
    </row>
    <row r="13" spans="1:12">
      <c r="D13" s="853" t="s">
        <v>1022</v>
      </c>
      <c r="E13" s="853">
        <v>110</v>
      </c>
      <c r="F13" s="853">
        <v>20</v>
      </c>
      <c r="G13" s="324"/>
    </row>
    <row r="14" spans="1:12">
      <c r="D14" s="853" t="s">
        <v>1023</v>
      </c>
      <c r="E14" s="853">
        <v>80</v>
      </c>
      <c r="F14" s="853">
        <v>15</v>
      </c>
      <c r="G14" s="324"/>
    </row>
    <row r="15" spans="1:12">
      <c r="D15" s="853" t="s">
        <v>1024</v>
      </c>
      <c r="E15" s="853">
        <v>50</v>
      </c>
      <c r="F15" s="853">
        <v>10</v>
      </c>
      <c r="G15" s="324"/>
    </row>
    <row r="16" spans="1:12">
      <c r="A16" s="26" t="s">
        <v>1981</v>
      </c>
      <c r="C16" s="26"/>
    </row>
  </sheetData>
  <mergeCells count="1">
    <mergeCell ref="A1:K1"/>
  </mergeCells>
  <phoneticPr fontId="0" type="noConversion"/>
  <pageMargins left="0.75" right="0.75" top="1" bottom="1" header="0.5" footer="0.5"/>
  <pageSetup paperSize="9" orientation="portrait" r:id="rId1"/>
  <headerFooter alignWithMargins="0">
    <oddFooter>&amp;A</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L24"/>
  <sheetViews>
    <sheetView showGridLines="0" workbookViewId="0">
      <selection activeCell="H12" sqref="H12"/>
    </sheetView>
  </sheetViews>
  <sheetFormatPr defaultRowHeight="15.75"/>
  <cols>
    <col min="1" max="1" width="5.5" style="12" customWidth="1"/>
    <col min="2" max="2" width="6.5" style="12" customWidth="1"/>
    <col min="3" max="3" width="7.375" style="12" customWidth="1"/>
    <col min="4" max="4" width="11.5" style="12" customWidth="1"/>
    <col min="5" max="5" width="11.375" style="12" customWidth="1"/>
    <col min="6" max="6" width="8.625" style="12" customWidth="1"/>
    <col min="7" max="7" width="9.625" style="12" customWidth="1"/>
    <col min="8" max="8" width="10.625" style="12" customWidth="1"/>
    <col min="9" max="16384" width="9" style="12"/>
  </cols>
  <sheetData>
    <row r="1" spans="1:12" ht="24" customHeight="1" thickBot="1">
      <c r="A1" s="926" t="s">
        <v>1991</v>
      </c>
      <c r="B1" s="926"/>
      <c r="C1" s="926"/>
      <c r="D1" s="926"/>
      <c r="E1" s="926"/>
      <c r="F1" s="926"/>
      <c r="G1" s="926"/>
      <c r="H1" s="926"/>
    </row>
    <row r="2" spans="1:12" ht="17.25" thickTop="1" thickBot="1">
      <c r="A2" s="14" t="s">
        <v>1017</v>
      </c>
      <c r="B2" s="15" t="s">
        <v>2059</v>
      </c>
      <c r="C2" s="15" t="s">
        <v>1990</v>
      </c>
      <c r="D2" s="15" t="s">
        <v>1987</v>
      </c>
      <c r="E2" s="15" t="s">
        <v>1988</v>
      </c>
      <c r="F2" s="15" t="s">
        <v>840</v>
      </c>
      <c r="G2" s="15" t="s">
        <v>579</v>
      </c>
      <c r="H2" s="16" t="s">
        <v>1982</v>
      </c>
    </row>
    <row r="3" spans="1:12" ht="16.5" thickTop="1">
      <c r="A3" s="17">
        <v>1</v>
      </c>
      <c r="B3" s="18" t="s">
        <v>1915</v>
      </c>
      <c r="C3" s="18" t="s">
        <v>2427</v>
      </c>
      <c r="D3" s="115">
        <v>50000</v>
      </c>
      <c r="E3" s="115">
        <v>28</v>
      </c>
      <c r="F3" s="20">
        <f>IF(C3=$C$3,200000,IF(C3=$C$4,150000,IF(C3=$C$5,100000,IF(C3=$C$6,80000,IF(C3=$C$12,30000,0)))))</f>
        <v>200000</v>
      </c>
      <c r="G3" s="20">
        <f>D3*E3</f>
        <v>1400000</v>
      </c>
      <c r="H3" s="78">
        <f>SUM(F3:G3)</f>
        <v>1600000</v>
      </c>
      <c r="I3" s="22"/>
      <c r="J3" s="22"/>
      <c r="L3" s="22"/>
    </row>
    <row r="4" spans="1:12">
      <c r="A4" s="281"/>
      <c r="B4" s="24" t="s">
        <v>516</v>
      </c>
      <c r="C4" s="24" t="s">
        <v>2428</v>
      </c>
      <c r="D4" s="119">
        <v>40000</v>
      </c>
      <c r="E4" s="119">
        <v>25</v>
      </c>
      <c r="F4" s="20">
        <f t="shared" ref="F4:F12" si="0">IF(C4=$C$3,200000,IF(C4=$C$4,150000,IF(C4=$C$5,100000,IF(C4=$C$6,80000,IF(C4=$C$12,30000,0)))))</f>
        <v>150000</v>
      </c>
      <c r="G4" s="20">
        <f t="shared" ref="G4:G12" si="1">D4*E4</f>
        <v>1000000</v>
      </c>
      <c r="H4" s="78">
        <f t="shared" ref="H4:H12" si="2">SUM(F4:G4)</f>
        <v>1150000</v>
      </c>
      <c r="I4" s="22"/>
      <c r="J4" s="22"/>
      <c r="L4" s="22"/>
    </row>
    <row r="5" spans="1:12">
      <c r="A5" s="281"/>
      <c r="B5" s="24" t="s">
        <v>1983</v>
      </c>
      <c r="C5" s="24" t="s">
        <v>845</v>
      </c>
      <c r="D5" s="119">
        <v>35000</v>
      </c>
      <c r="E5" s="119">
        <v>27</v>
      </c>
      <c r="F5" s="20">
        <f t="shared" si="0"/>
        <v>100000</v>
      </c>
      <c r="G5" s="20">
        <f t="shared" si="1"/>
        <v>945000</v>
      </c>
      <c r="H5" s="78">
        <f t="shared" si="2"/>
        <v>1045000</v>
      </c>
      <c r="I5" s="22"/>
      <c r="J5" s="22"/>
      <c r="L5" s="22"/>
    </row>
    <row r="6" spans="1:12">
      <c r="A6" s="281"/>
      <c r="B6" s="24" t="s">
        <v>2329</v>
      </c>
      <c r="C6" s="24" t="s">
        <v>1069</v>
      </c>
      <c r="D6" s="119">
        <v>30000</v>
      </c>
      <c r="E6" s="119">
        <v>24</v>
      </c>
      <c r="F6" s="20">
        <f t="shared" si="0"/>
        <v>80000</v>
      </c>
      <c r="G6" s="20">
        <f t="shared" si="1"/>
        <v>720000</v>
      </c>
      <c r="H6" s="78">
        <f t="shared" si="2"/>
        <v>800000</v>
      </c>
      <c r="I6" s="22"/>
      <c r="J6" s="22"/>
      <c r="L6" s="22"/>
    </row>
    <row r="7" spans="1:12">
      <c r="A7" s="281"/>
      <c r="B7" s="24" t="s">
        <v>517</v>
      </c>
      <c r="C7" s="24" t="s">
        <v>846</v>
      </c>
      <c r="D7" s="119">
        <v>20000</v>
      </c>
      <c r="E7" s="119">
        <v>25</v>
      </c>
      <c r="F7" s="20">
        <f t="shared" si="0"/>
        <v>0</v>
      </c>
      <c r="G7" s="20">
        <f t="shared" si="1"/>
        <v>500000</v>
      </c>
      <c r="H7" s="78">
        <f t="shared" si="2"/>
        <v>500000</v>
      </c>
      <c r="I7" s="22"/>
      <c r="J7" s="22"/>
      <c r="L7" s="22"/>
    </row>
    <row r="8" spans="1:12">
      <c r="A8" s="281"/>
      <c r="B8" s="24" t="s">
        <v>516</v>
      </c>
      <c r="C8" s="24" t="s">
        <v>846</v>
      </c>
      <c r="D8" s="119">
        <v>20000</v>
      </c>
      <c r="E8" s="119">
        <v>27</v>
      </c>
      <c r="F8" s="20">
        <f t="shared" si="0"/>
        <v>0</v>
      </c>
      <c r="G8" s="20">
        <f t="shared" si="1"/>
        <v>540000</v>
      </c>
      <c r="H8" s="78">
        <f t="shared" si="2"/>
        <v>540000</v>
      </c>
      <c r="I8" s="22"/>
      <c r="J8" s="22"/>
      <c r="L8" s="22"/>
    </row>
    <row r="9" spans="1:12">
      <c r="A9" s="281"/>
      <c r="B9" s="24" t="s">
        <v>236</v>
      </c>
      <c r="C9" s="24" t="s">
        <v>845</v>
      </c>
      <c r="D9" s="119">
        <v>32000</v>
      </c>
      <c r="E9" s="119">
        <v>26</v>
      </c>
      <c r="F9" s="20">
        <f t="shared" si="0"/>
        <v>100000</v>
      </c>
      <c r="G9" s="20">
        <f t="shared" si="1"/>
        <v>832000</v>
      </c>
      <c r="H9" s="78">
        <f t="shared" si="2"/>
        <v>932000</v>
      </c>
      <c r="I9" s="22"/>
      <c r="J9" s="22"/>
      <c r="L9" s="22"/>
    </row>
    <row r="10" spans="1:12">
      <c r="A10" s="281"/>
      <c r="B10" s="24" t="s">
        <v>176</v>
      </c>
      <c r="C10" s="24" t="s">
        <v>846</v>
      </c>
      <c r="D10" s="119">
        <v>20000</v>
      </c>
      <c r="E10" s="119">
        <v>25</v>
      </c>
      <c r="F10" s="20">
        <f t="shared" si="0"/>
        <v>0</v>
      </c>
      <c r="G10" s="20">
        <f t="shared" si="1"/>
        <v>500000</v>
      </c>
      <c r="H10" s="78">
        <f t="shared" si="2"/>
        <v>500000</v>
      </c>
      <c r="I10" s="22"/>
      <c r="J10" s="22"/>
      <c r="L10" s="22"/>
    </row>
    <row r="11" spans="1:12">
      <c r="A11" s="281"/>
      <c r="B11" s="24" t="s">
        <v>501</v>
      </c>
      <c r="C11" s="24" t="s">
        <v>1069</v>
      </c>
      <c r="D11" s="119">
        <v>28000</v>
      </c>
      <c r="E11" s="119">
        <v>23</v>
      </c>
      <c r="F11" s="20">
        <f t="shared" si="0"/>
        <v>80000</v>
      </c>
      <c r="G11" s="20">
        <f t="shared" si="1"/>
        <v>644000</v>
      </c>
      <c r="H11" s="78">
        <f t="shared" si="2"/>
        <v>724000</v>
      </c>
      <c r="I11" s="22"/>
      <c r="J11" s="22"/>
      <c r="L11" s="22"/>
    </row>
    <row r="12" spans="1:12" ht="16.5" thickBot="1">
      <c r="A12" s="282"/>
      <c r="B12" s="80" t="s">
        <v>1006</v>
      </c>
      <c r="C12" s="80" t="s">
        <v>538</v>
      </c>
      <c r="D12" s="167">
        <v>15000</v>
      </c>
      <c r="E12" s="167">
        <v>28</v>
      </c>
      <c r="F12" s="20">
        <f t="shared" si="0"/>
        <v>30000</v>
      </c>
      <c r="G12" s="20">
        <f t="shared" si="1"/>
        <v>420000</v>
      </c>
      <c r="H12" s="78">
        <f t="shared" si="2"/>
        <v>450000</v>
      </c>
      <c r="I12" s="22"/>
      <c r="J12" s="22"/>
      <c r="L12" s="22"/>
    </row>
    <row r="13" spans="1:12" ht="16.5" thickTop="1"/>
    <row r="14" spans="1:12">
      <c r="A14" s="26" t="s">
        <v>1993</v>
      </c>
      <c r="B14" s="26"/>
    </row>
    <row r="15" spans="1:12">
      <c r="A15" s="26"/>
      <c r="B15" s="26" t="s">
        <v>1985</v>
      </c>
    </row>
    <row r="16" spans="1:12">
      <c r="A16" s="26"/>
      <c r="B16" s="26" t="s">
        <v>1986</v>
      </c>
    </row>
    <row r="17" spans="1:2">
      <c r="A17" s="26"/>
      <c r="B17" s="26" t="s">
        <v>836</v>
      </c>
    </row>
    <row r="18" spans="1:2">
      <c r="A18" s="26"/>
      <c r="B18" s="26" t="s">
        <v>837</v>
      </c>
    </row>
    <row r="19" spans="1:2">
      <c r="A19" s="26"/>
      <c r="B19" s="26" t="s">
        <v>838</v>
      </c>
    </row>
    <row r="20" spans="1:2">
      <c r="A20" s="26"/>
      <c r="B20" s="26" t="s">
        <v>839</v>
      </c>
    </row>
    <row r="21" spans="1:2">
      <c r="A21" s="26" t="s">
        <v>1989</v>
      </c>
    </row>
    <row r="22" spans="1:2">
      <c r="A22" s="26" t="s">
        <v>1992</v>
      </c>
    </row>
    <row r="23" spans="1:2">
      <c r="A23" s="26" t="s">
        <v>1994</v>
      </c>
    </row>
    <row r="24" spans="1:2">
      <c r="A24" s="26" t="s">
        <v>1984</v>
      </c>
    </row>
  </sheetData>
  <mergeCells count="1">
    <mergeCell ref="A1:H1"/>
  </mergeCells>
  <phoneticPr fontId="0" type="noConversion"/>
  <pageMargins left="0.75" right="0.75" top="1" bottom="1" header="0.5" footer="0.5"/>
  <pageSetup paperSize="9" orientation="portrait" r:id="rId1"/>
  <headerFooter alignWithMargins="0">
    <oddFooter>&amp;A</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I26"/>
  <sheetViews>
    <sheetView showGridLines="0" topLeftCell="A13" workbookViewId="0">
      <selection activeCell="I10" sqref="I10"/>
    </sheetView>
  </sheetViews>
  <sheetFormatPr defaultRowHeight="15.75"/>
  <cols>
    <col min="1" max="1" width="3.875" style="12" customWidth="1"/>
    <col min="2" max="2" width="9" style="12" customWidth="1"/>
    <col min="3" max="3" width="5.25" style="12" customWidth="1"/>
    <col min="4" max="4" width="5.875" style="12" customWidth="1"/>
    <col min="5" max="5" width="5.5" style="12" customWidth="1"/>
    <col min="6" max="6" width="8.375" style="12" customWidth="1"/>
    <col min="7" max="8" width="10.25" style="12" customWidth="1"/>
    <col min="9" max="9" width="9.375" style="12" customWidth="1"/>
    <col min="10" max="16384" width="9" style="12"/>
  </cols>
  <sheetData>
    <row r="1" spans="1:9" ht="24" customHeight="1" thickBot="1">
      <c r="A1" s="927" t="s">
        <v>1995</v>
      </c>
      <c r="B1" s="927"/>
      <c r="C1" s="927"/>
      <c r="D1" s="927"/>
      <c r="E1" s="927"/>
      <c r="F1" s="927"/>
      <c r="G1" s="927"/>
      <c r="H1" s="927"/>
      <c r="I1" s="927"/>
    </row>
    <row r="2" spans="1:9" ht="17.25" thickTop="1" thickBot="1">
      <c r="A2" s="14" t="s">
        <v>842</v>
      </c>
      <c r="B2" s="15" t="s">
        <v>2059</v>
      </c>
      <c r="C2" s="15" t="s">
        <v>496</v>
      </c>
      <c r="D2" s="15" t="s">
        <v>600</v>
      </c>
      <c r="E2" s="15" t="s">
        <v>497</v>
      </c>
      <c r="F2" s="15" t="s">
        <v>1998</v>
      </c>
      <c r="G2" s="15" t="s">
        <v>1996</v>
      </c>
      <c r="H2" s="15" t="s">
        <v>2143</v>
      </c>
      <c r="I2" s="16" t="s">
        <v>2324</v>
      </c>
    </row>
    <row r="3" spans="1:9" ht="16.5" thickTop="1">
      <c r="A3" s="17">
        <v>1</v>
      </c>
      <c r="B3" s="285" t="s">
        <v>620</v>
      </c>
      <c r="C3" s="18" t="s">
        <v>1137</v>
      </c>
      <c r="D3" s="19">
        <v>4</v>
      </c>
      <c r="E3" s="19">
        <v>7</v>
      </c>
      <c r="F3" s="19" t="s">
        <v>1025</v>
      </c>
      <c r="G3" s="77">
        <f>IF(F3="A",D3+E3+1,IF(F3="B",D3+E3+0.5,IF(F3="D",D3+E3-1,D3+E3)))</f>
        <v>10</v>
      </c>
      <c r="H3" s="77" t="str">
        <f>IF(G3&lt;10,"Kem",IF(G3&lt;=13.9,"TB",IF(G3&lt;=16.9,"Kha",IF(G3&lt;=18.9,"Gioi","XS"))))</f>
        <v>TB</v>
      </c>
      <c r="I3" s="227">
        <f>IF(AND(G3&gt;=14,D3&gt;=5,E3&gt;=5),100,0)</f>
        <v>0</v>
      </c>
    </row>
    <row r="4" spans="1:9">
      <c r="A4" s="281">
        <v>2</v>
      </c>
      <c r="B4" s="287" t="s">
        <v>630</v>
      </c>
      <c r="C4" s="24" t="s">
        <v>94</v>
      </c>
      <c r="D4" s="25">
        <v>6</v>
      </c>
      <c r="E4" s="25">
        <v>8</v>
      </c>
      <c r="F4" s="25" t="s">
        <v>1022</v>
      </c>
      <c r="G4" s="77">
        <f t="shared" ref="G4:G12" si="0">IF(F4="A",D4+E4+1,IF(F4="B",D4+E4+0.5,IF(F4="D",D4+E4-1,D4+E4)))</f>
        <v>15</v>
      </c>
      <c r="H4" s="77" t="str">
        <f t="shared" ref="H4:H12" si="1">IF(G4&lt;10,"Kem",IF(G4&lt;=13.9,"TB",IF(G4&lt;=16.9,"Kha",IF(G4&lt;=18.9,"Gioi","XS"))))</f>
        <v>Kha</v>
      </c>
      <c r="I4" s="227">
        <f t="shared" ref="I4:I12" si="2">IF(AND(G4&gt;=14,D4&gt;=5,E4&gt;=5),100,0)</f>
        <v>100</v>
      </c>
    </row>
    <row r="5" spans="1:9">
      <c r="A5" s="17">
        <v>3</v>
      </c>
      <c r="B5" s="287" t="s">
        <v>2329</v>
      </c>
      <c r="C5" s="24" t="s">
        <v>94</v>
      </c>
      <c r="D5" s="25">
        <v>8</v>
      </c>
      <c r="E5" s="25">
        <v>9</v>
      </c>
      <c r="F5" s="25" t="s">
        <v>1023</v>
      </c>
      <c r="G5" s="77">
        <f t="shared" si="0"/>
        <v>17.5</v>
      </c>
      <c r="H5" s="77" t="str">
        <f t="shared" si="1"/>
        <v>Gioi</v>
      </c>
      <c r="I5" s="227">
        <f t="shared" si="2"/>
        <v>100</v>
      </c>
    </row>
    <row r="6" spans="1:9">
      <c r="A6" s="281">
        <v>4</v>
      </c>
      <c r="B6" s="287" t="s">
        <v>630</v>
      </c>
      <c r="C6" s="24" t="s">
        <v>1137</v>
      </c>
      <c r="D6" s="25">
        <v>9</v>
      </c>
      <c r="E6" s="25">
        <v>10</v>
      </c>
      <c r="F6" s="25" t="s">
        <v>1022</v>
      </c>
      <c r="G6" s="77">
        <f t="shared" si="0"/>
        <v>20</v>
      </c>
      <c r="H6" s="77" t="str">
        <f t="shared" si="1"/>
        <v>XS</v>
      </c>
      <c r="I6" s="227">
        <f t="shared" si="2"/>
        <v>100</v>
      </c>
    </row>
    <row r="7" spans="1:9">
      <c r="A7" s="17">
        <v>5</v>
      </c>
      <c r="B7" s="287" t="s">
        <v>498</v>
      </c>
      <c r="C7" s="24" t="s">
        <v>1137</v>
      </c>
      <c r="D7" s="25">
        <v>5</v>
      </c>
      <c r="E7" s="25">
        <v>8</v>
      </c>
      <c r="F7" s="25" t="s">
        <v>1025</v>
      </c>
      <c r="G7" s="77">
        <f t="shared" si="0"/>
        <v>12</v>
      </c>
      <c r="H7" s="77" t="str">
        <f t="shared" si="1"/>
        <v>TB</v>
      </c>
      <c r="I7" s="227">
        <f t="shared" si="2"/>
        <v>0</v>
      </c>
    </row>
    <row r="8" spans="1:9">
      <c r="A8" s="281">
        <v>6</v>
      </c>
      <c r="B8" s="287" t="s">
        <v>499</v>
      </c>
      <c r="C8" s="24" t="s">
        <v>94</v>
      </c>
      <c r="D8" s="25">
        <v>5</v>
      </c>
      <c r="E8" s="25">
        <v>4</v>
      </c>
      <c r="F8" s="25" t="s">
        <v>1024</v>
      </c>
      <c r="G8" s="77">
        <f t="shared" si="0"/>
        <v>9</v>
      </c>
      <c r="H8" s="77" t="str">
        <f t="shared" si="1"/>
        <v>Kem</v>
      </c>
      <c r="I8" s="227">
        <f t="shared" si="2"/>
        <v>0</v>
      </c>
    </row>
    <row r="9" spans="1:9">
      <c r="A9" s="17">
        <v>7</v>
      </c>
      <c r="B9" s="287" t="s">
        <v>1021</v>
      </c>
      <c r="C9" s="24" t="s">
        <v>1137</v>
      </c>
      <c r="D9" s="25">
        <v>9</v>
      </c>
      <c r="E9" s="25">
        <v>6</v>
      </c>
      <c r="F9" s="25" t="s">
        <v>1022</v>
      </c>
      <c r="G9" s="77">
        <f t="shared" si="0"/>
        <v>16</v>
      </c>
      <c r="H9" s="77" t="str">
        <f t="shared" si="1"/>
        <v>Kha</v>
      </c>
      <c r="I9" s="227">
        <f t="shared" si="2"/>
        <v>100</v>
      </c>
    </row>
    <row r="10" spans="1:9">
      <c r="A10" s="281">
        <v>8</v>
      </c>
      <c r="B10" s="287" t="s">
        <v>848</v>
      </c>
      <c r="C10" s="24" t="s">
        <v>94</v>
      </c>
      <c r="D10" s="25">
        <v>4</v>
      </c>
      <c r="E10" s="25">
        <v>10</v>
      </c>
      <c r="F10" s="25" t="s">
        <v>1023</v>
      </c>
      <c r="G10" s="77">
        <f t="shared" si="0"/>
        <v>14.5</v>
      </c>
      <c r="H10" s="77" t="str">
        <f t="shared" si="1"/>
        <v>Kha</v>
      </c>
      <c r="I10" s="227">
        <f t="shared" si="2"/>
        <v>0</v>
      </c>
    </row>
    <row r="11" spans="1:9">
      <c r="A11" s="17">
        <v>9</v>
      </c>
      <c r="B11" s="287" t="s">
        <v>2326</v>
      </c>
      <c r="C11" s="24" t="s">
        <v>1137</v>
      </c>
      <c r="D11" s="25">
        <v>6</v>
      </c>
      <c r="E11" s="25">
        <v>7</v>
      </c>
      <c r="F11" s="25" t="s">
        <v>1024</v>
      </c>
      <c r="G11" s="77">
        <f t="shared" si="0"/>
        <v>13</v>
      </c>
      <c r="H11" s="77" t="str">
        <f t="shared" si="1"/>
        <v>TB</v>
      </c>
      <c r="I11" s="227">
        <f t="shared" si="2"/>
        <v>0</v>
      </c>
    </row>
    <row r="12" spans="1:9" ht="16.5" thickBot="1">
      <c r="A12" s="281">
        <v>10</v>
      </c>
      <c r="B12" s="289" t="s">
        <v>2330</v>
      </c>
      <c r="C12" s="80" t="s">
        <v>94</v>
      </c>
      <c r="D12" s="153">
        <v>10</v>
      </c>
      <c r="E12" s="153">
        <v>8</v>
      </c>
      <c r="F12" s="153" t="s">
        <v>1023</v>
      </c>
      <c r="G12" s="77">
        <f t="shared" si="0"/>
        <v>18.5</v>
      </c>
      <c r="H12" s="77" t="str">
        <f t="shared" si="1"/>
        <v>Gioi</v>
      </c>
      <c r="I12" s="227">
        <f t="shared" si="2"/>
        <v>100</v>
      </c>
    </row>
    <row r="13" spans="1:9" ht="16.5" thickTop="1"/>
    <row r="14" spans="1:9">
      <c r="A14" s="26" t="s">
        <v>2037</v>
      </c>
      <c r="B14" s="26"/>
      <c r="E14" s="26"/>
    </row>
    <row r="15" spans="1:9">
      <c r="A15" s="26" t="s">
        <v>2001</v>
      </c>
      <c r="E15" s="26"/>
    </row>
    <row r="16" spans="1:9">
      <c r="A16" s="26" t="s">
        <v>2004</v>
      </c>
      <c r="E16" s="26"/>
    </row>
    <row r="17" spans="1:5">
      <c r="A17" s="26" t="s">
        <v>2005</v>
      </c>
      <c r="E17" s="26"/>
    </row>
    <row r="18" spans="1:5">
      <c r="A18" s="26" t="s">
        <v>1999</v>
      </c>
      <c r="E18" s="26"/>
    </row>
    <row r="19" spans="1:5">
      <c r="A19" s="26" t="s">
        <v>2006</v>
      </c>
      <c r="E19" s="26"/>
    </row>
    <row r="20" spans="1:5">
      <c r="A20" s="26" t="s">
        <v>2000</v>
      </c>
      <c r="B20" s="26"/>
    </row>
    <row r="21" spans="1:5">
      <c r="A21" s="26" t="s">
        <v>2003</v>
      </c>
    </row>
    <row r="22" spans="1:5">
      <c r="A22" s="26" t="s">
        <v>2036</v>
      </c>
    </row>
    <row r="23" spans="1:5">
      <c r="A23" s="26" t="s">
        <v>2002</v>
      </c>
    </row>
    <row r="24" spans="1:5">
      <c r="A24" s="26" t="s">
        <v>1997</v>
      </c>
    </row>
    <row r="25" spans="1:5">
      <c r="A25" s="26" t="s">
        <v>2007</v>
      </c>
    </row>
    <row r="26" spans="1:5">
      <c r="A26" s="26" t="s">
        <v>2035</v>
      </c>
    </row>
  </sheetData>
  <mergeCells count="1">
    <mergeCell ref="A1:I1"/>
  </mergeCells>
  <phoneticPr fontId="0" type="noConversion"/>
  <pageMargins left="0.75" right="0.75" top="1" bottom="1" header="0.5" footer="0.5"/>
  <pageSetup paperSize="9" orientation="portrait" r:id="rId1"/>
  <headerFooter alignWithMargins="0">
    <oddFooter>&amp;A</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33"/>
  <sheetViews>
    <sheetView showGridLines="0" topLeftCell="A13" workbookViewId="0">
      <selection activeCell="I12" sqref="I12"/>
    </sheetView>
  </sheetViews>
  <sheetFormatPr defaultRowHeight="15.75"/>
  <cols>
    <col min="1" max="1" width="3.625" style="12" customWidth="1"/>
    <col min="2" max="2" width="9" style="12" customWidth="1"/>
    <col min="3" max="3" width="6.375" style="12" customWidth="1"/>
    <col min="4" max="4" width="11.125" style="12" customWidth="1"/>
    <col min="5" max="5" width="10.125" style="12" customWidth="1"/>
    <col min="6" max="6" width="11.5" style="12" customWidth="1"/>
    <col min="7" max="7" width="9.875" style="12" bestFit="1" customWidth="1"/>
    <col min="8" max="8" width="8.75" style="12" customWidth="1"/>
    <col min="9" max="9" width="8.125" style="12" customWidth="1"/>
    <col min="10" max="11" width="4.625" style="12" customWidth="1"/>
    <col min="12" max="12" width="7.375" style="12" customWidth="1"/>
    <col min="13" max="13" width="9.5" style="12" customWidth="1"/>
    <col min="14" max="14" width="11.375" style="12" customWidth="1"/>
    <col min="15" max="16384" width="9" style="12"/>
  </cols>
  <sheetData>
    <row r="1" spans="1:14" ht="24" customHeight="1" thickBot="1">
      <c r="A1" s="931" t="s">
        <v>1616</v>
      </c>
      <c r="B1" s="931"/>
      <c r="C1" s="931"/>
      <c r="D1" s="931"/>
      <c r="E1" s="931"/>
      <c r="F1" s="931"/>
      <c r="G1" s="931"/>
      <c r="H1" s="931"/>
      <c r="I1" s="931"/>
      <c r="J1" s="13"/>
      <c r="K1" s="13"/>
      <c r="L1" s="13"/>
    </row>
    <row r="2" spans="1:14" ht="37.5" customHeight="1" thickTop="1" thickBot="1">
      <c r="A2" s="73" t="s">
        <v>842</v>
      </c>
      <c r="B2" s="74" t="s">
        <v>2038</v>
      </c>
      <c r="C2" s="74" t="s">
        <v>681</v>
      </c>
      <c r="D2" s="74" t="s">
        <v>1615</v>
      </c>
      <c r="E2" s="74" t="s">
        <v>1617</v>
      </c>
      <c r="F2" s="74" t="s">
        <v>634</v>
      </c>
      <c r="G2" s="74" t="s">
        <v>633</v>
      </c>
      <c r="H2" s="74" t="s">
        <v>1609</v>
      </c>
      <c r="I2" s="75" t="s">
        <v>33</v>
      </c>
      <c r="J2" s="360"/>
      <c r="M2" s="361"/>
      <c r="N2" s="361"/>
    </row>
    <row r="3" spans="1:14" ht="16.5" thickTop="1">
      <c r="A3" s="362">
        <v>1</v>
      </c>
      <c r="B3" s="19" t="s">
        <v>738</v>
      </c>
      <c r="C3" s="18">
        <v>7</v>
      </c>
      <c r="D3" s="18" t="s">
        <v>1611</v>
      </c>
      <c r="E3" s="907">
        <f>IF(C3&lt;=VLOOKUP(LEFT(B3,3),$G$15:$I$17,3,0),C3*VLOOKUP(D3,$B$16:$E$22,3,0),C3*VLOOKUP(D3,$B$16:$E$22,3,0)*105%)</f>
        <v>55125</v>
      </c>
      <c r="F3" s="255">
        <f>DATE(99,12,12)</f>
        <v>36506</v>
      </c>
      <c r="G3" s="255">
        <f>DATE(99,12,14)</f>
        <v>36508</v>
      </c>
      <c r="H3" s="222">
        <f>G3-F3</f>
        <v>2</v>
      </c>
      <c r="I3" s="78">
        <f>IF(H3&lt;VLOOKUP(D3,$B$16:$E$22,4,0),5%*E3,0)</f>
        <v>0</v>
      </c>
      <c r="J3" s="363"/>
      <c r="M3" s="319"/>
      <c r="N3" s="319"/>
    </row>
    <row r="4" spans="1:14">
      <c r="A4" s="281">
        <v>2</v>
      </c>
      <c r="B4" s="25" t="s">
        <v>740</v>
      </c>
      <c r="C4" s="24">
        <v>3</v>
      </c>
      <c r="D4" s="24" t="s">
        <v>1128</v>
      </c>
      <c r="E4" s="907">
        <f t="shared" ref="E4:E12" si="0">IF(C4&lt;=VLOOKUP(LEFT(B4,3),$G$15:$I$17,3,0),C4*VLOOKUP(D4,$B$16:$E$22,3,0),C4*VLOOKUP(D4,$B$16:$E$22,3,0)*105%)</f>
        <v>45000</v>
      </c>
      <c r="F4" s="256">
        <f>DATE(99,12,1)</f>
        <v>36495</v>
      </c>
      <c r="G4" s="256">
        <f>DATE(99,12,5)</f>
        <v>36499</v>
      </c>
      <c r="H4" s="222">
        <f t="shared" ref="H4:H12" si="1">G4-F4</f>
        <v>4</v>
      </c>
      <c r="I4" s="78">
        <f t="shared" ref="I4:I12" si="2">IF(H4&lt;VLOOKUP(D4,$B$16:$E$22,4,0),5%*E4,0)</f>
        <v>0</v>
      </c>
      <c r="J4" s="363"/>
      <c r="M4" s="319"/>
      <c r="N4" s="319"/>
    </row>
    <row r="5" spans="1:14">
      <c r="A5" s="362">
        <v>3</v>
      </c>
      <c r="B5" s="25" t="s">
        <v>741</v>
      </c>
      <c r="C5" s="24">
        <v>12</v>
      </c>
      <c r="D5" s="24" t="s">
        <v>62</v>
      </c>
      <c r="E5" s="907">
        <f t="shared" si="0"/>
        <v>168000</v>
      </c>
      <c r="F5" s="256">
        <f>DATE(99,12,24)</f>
        <v>36518</v>
      </c>
      <c r="G5" s="256">
        <f>DATE(99,12,30)</f>
        <v>36524</v>
      </c>
      <c r="H5" s="222">
        <f t="shared" si="1"/>
        <v>6</v>
      </c>
      <c r="I5" s="78">
        <f t="shared" si="2"/>
        <v>0</v>
      </c>
      <c r="J5" s="363"/>
      <c r="M5" s="319"/>
      <c r="N5" s="319"/>
    </row>
    <row r="6" spans="1:14">
      <c r="A6" s="281">
        <v>4</v>
      </c>
      <c r="B6" s="25" t="s">
        <v>742</v>
      </c>
      <c r="C6" s="24">
        <v>5</v>
      </c>
      <c r="D6" s="24" t="s">
        <v>207</v>
      </c>
      <c r="E6" s="907">
        <f t="shared" si="0"/>
        <v>131250</v>
      </c>
      <c r="F6" s="256">
        <f>DATE(99,12,15)</f>
        <v>36509</v>
      </c>
      <c r="G6" s="256">
        <f>DATE(99,12,25)</f>
        <v>36519</v>
      </c>
      <c r="H6" s="222">
        <f t="shared" si="1"/>
        <v>10</v>
      </c>
      <c r="I6" s="78">
        <f t="shared" si="2"/>
        <v>0</v>
      </c>
      <c r="J6" s="363"/>
      <c r="M6" s="319"/>
      <c r="N6" s="319"/>
    </row>
    <row r="7" spans="1:14">
      <c r="A7" s="362">
        <v>5</v>
      </c>
      <c r="B7" s="25" t="s">
        <v>743</v>
      </c>
      <c r="C7" s="24">
        <v>10</v>
      </c>
      <c r="D7" s="24" t="s">
        <v>206</v>
      </c>
      <c r="E7" s="907">
        <f t="shared" si="0"/>
        <v>185000</v>
      </c>
      <c r="F7" s="256">
        <f>DATE(99,12,12)</f>
        <v>36506</v>
      </c>
      <c r="G7" s="256">
        <f>DATE(99,12,15)</f>
        <v>36509</v>
      </c>
      <c r="H7" s="222">
        <f t="shared" si="1"/>
        <v>3</v>
      </c>
      <c r="I7" s="78">
        <f t="shared" si="2"/>
        <v>9250</v>
      </c>
      <c r="J7" s="363"/>
      <c r="M7" s="319"/>
      <c r="N7" s="319"/>
    </row>
    <row r="8" spans="1:14">
      <c r="A8" s="281">
        <v>6</v>
      </c>
      <c r="B8" s="25" t="s">
        <v>744</v>
      </c>
      <c r="C8" s="24">
        <v>3</v>
      </c>
      <c r="D8" s="24" t="s">
        <v>539</v>
      </c>
      <c r="E8" s="907">
        <f t="shared" si="0"/>
        <v>150000</v>
      </c>
      <c r="F8" s="256">
        <f>DATE(99,12,3)</f>
        <v>36497</v>
      </c>
      <c r="G8" s="256">
        <f>DATE(99,12,10)</f>
        <v>36504</v>
      </c>
      <c r="H8" s="222">
        <f t="shared" si="1"/>
        <v>7</v>
      </c>
      <c r="I8" s="78">
        <f t="shared" si="2"/>
        <v>7500</v>
      </c>
      <c r="J8" s="363"/>
      <c r="M8" s="319"/>
      <c r="N8" s="319"/>
    </row>
    <row r="9" spans="1:14">
      <c r="A9" s="362">
        <v>7</v>
      </c>
      <c r="B9" s="25" t="s">
        <v>745</v>
      </c>
      <c r="C9" s="24">
        <v>4</v>
      </c>
      <c r="D9" s="24" t="s">
        <v>62</v>
      </c>
      <c r="E9" s="907">
        <f t="shared" si="0"/>
        <v>56000</v>
      </c>
      <c r="F9" s="256">
        <f>DATE(99,12,1)</f>
        <v>36495</v>
      </c>
      <c r="G9" s="256">
        <f>DATE(99,12,3)</f>
        <v>36497</v>
      </c>
      <c r="H9" s="222">
        <f t="shared" si="1"/>
        <v>2</v>
      </c>
      <c r="I9" s="78">
        <f t="shared" si="2"/>
        <v>2800</v>
      </c>
      <c r="J9" s="363"/>
      <c r="M9" s="319"/>
      <c r="N9" s="319"/>
    </row>
    <row r="10" spans="1:14">
      <c r="A10" s="281">
        <v>8</v>
      </c>
      <c r="B10" s="25" t="s">
        <v>746</v>
      </c>
      <c r="C10" s="24">
        <v>7</v>
      </c>
      <c r="D10" s="24" t="s">
        <v>207</v>
      </c>
      <c r="E10" s="907">
        <f t="shared" si="0"/>
        <v>175000</v>
      </c>
      <c r="F10" s="256">
        <f>DATE(99,12,14)</f>
        <v>36508</v>
      </c>
      <c r="G10" s="256">
        <f>DATE(99,12,20)</f>
        <v>36514</v>
      </c>
      <c r="H10" s="222">
        <f t="shared" si="1"/>
        <v>6</v>
      </c>
      <c r="I10" s="78">
        <f t="shared" si="2"/>
        <v>8750</v>
      </c>
      <c r="J10" s="363"/>
      <c r="M10" s="319"/>
      <c r="N10" s="319"/>
    </row>
    <row r="11" spans="1:14">
      <c r="A11" s="362">
        <v>9</v>
      </c>
      <c r="B11" s="25" t="s">
        <v>747</v>
      </c>
      <c r="C11" s="24">
        <v>6</v>
      </c>
      <c r="D11" s="24" t="s">
        <v>981</v>
      </c>
      <c r="E11" s="907">
        <f t="shared" si="0"/>
        <v>63000</v>
      </c>
      <c r="F11" s="256">
        <f>DATE(99,12,20)</f>
        <v>36514</v>
      </c>
      <c r="G11" s="256">
        <f>DATE(99,12,30)</f>
        <v>36524</v>
      </c>
      <c r="H11" s="222">
        <f t="shared" si="1"/>
        <v>10</v>
      </c>
      <c r="I11" s="78">
        <f t="shared" si="2"/>
        <v>0</v>
      </c>
      <c r="J11" s="363"/>
      <c r="M11" s="319"/>
      <c r="N11" s="319"/>
    </row>
    <row r="12" spans="1:14" ht="16.5" thickBot="1">
      <c r="A12" s="281">
        <v>10</v>
      </c>
      <c r="B12" s="153" t="s">
        <v>748</v>
      </c>
      <c r="C12" s="80">
        <v>10</v>
      </c>
      <c r="D12" s="80" t="s">
        <v>206</v>
      </c>
      <c r="E12" s="907">
        <f t="shared" si="0"/>
        <v>185000</v>
      </c>
      <c r="F12" s="257">
        <f>DATE(99,12,11)</f>
        <v>36505</v>
      </c>
      <c r="G12" s="257">
        <f>DATE(99,12,16)</f>
        <v>36510</v>
      </c>
      <c r="H12" s="222">
        <f t="shared" si="1"/>
        <v>5</v>
      </c>
      <c r="I12" s="78">
        <f t="shared" si="2"/>
        <v>0</v>
      </c>
      <c r="J12" s="363"/>
      <c r="M12" s="319"/>
      <c r="N12" s="319"/>
    </row>
    <row r="13" spans="1:14" ht="16.5" thickTop="1">
      <c r="A13" s="291"/>
      <c r="B13" s="258"/>
      <c r="C13" s="226"/>
      <c r="D13" s="226"/>
      <c r="E13" s="226"/>
      <c r="F13" s="296"/>
      <c r="G13" s="364"/>
      <c r="H13" s="364"/>
      <c r="I13" s="365"/>
      <c r="J13" s="366"/>
      <c r="K13" s="294"/>
      <c r="L13" s="296"/>
      <c r="M13" s="319"/>
    </row>
    <row r="14" spans="1:14" ht="16.5" thickBot="1">
      <c r="A14" s="291"/>
      <c r="B14" s="946" t="s">
        <v>1614</v>
      </c>
      <c r="C14" s="946"/>
      <c r="D14" s="946"/>
      <c r="E14" s="946"/>
      <c r="F14" s="296"/>
      <c r="G14" s="1040" t="s">
        <v>1610</v>
      </c>
      <c r="H14" s="1040"/>
      <c r="I14" s="1040"/>
      <c r="J14" s="366"/>
      <c r="K14" s="294"/>
      <c r="L14" s="296"/>
      <c r="M14" s="319"/>
    </row>
    <row r="15" spans="1:14" ht="17.25" thickTop="1" thickBot="1">
      <c r="A15" s="367"/>
      <c r="B15" s="124" t="s">
        <v>1615</v>
      </c>
      <c r="C15" s="906"/>
      <c r="D15" s="15" t="s">
        <v>687</v>
      </c>
      <c r="E15" s="16" t="s">
        <v>2039</v>
      </c>
      <c r="F15" s="368"/>
      <c r="G15" s="1038" t="s">
        <v>739</v>
      </c>
      <c r="H15" s="1039"/>
      <c r="I15" s="146">
        <v>4</v>
      </c>
      <c r="J15" s="366"/>
      <c r="K15" s="369"/>
      <c r="L15" s="368"/>
      <c r="M15" s="319"/>
    </row>
    <row r="16" spans="1:14" ht="16.5" thickTop="1">
      <c r="A16" s="291"/>
      <c r="B16" s="900" t="s">
        <v>207</v>
      </c>
      <c r="C16" s="901"/>
      <c r="D16" s="44">
        <v>25000</v>
      </c>
      <c r="E16" s="370">
        <v>7</v>
      </c>
      <c r="F16" s="296"/>
      <c r="G16" s="1038" t="s">
        <v>749</v>
      </c>
      <c r="H16" s="1039"/>
      <c r="I16" s="146">
        <v>8</v>
      </c>
      <c r="J16" s="366"/>
      <c r="K16" s="294"/>
      <c r="L16" s="296"/>
      <c r="M16" s="319"/>
    </row>
    <row r="17" spans="1:13">
      <c r="A17" s="291"/>
      <c r="B17" s="902" t="s">
        <v>206</v>
      </c>
      <c r="C17" s="903"/>
      <c r="D17" s="49">
        <v>18500</v>
      </c>
      <c r="E17" s="371">
        <v>5</v>
      </c>
      <c r="F17" s="296"/>
      <c r="G17" s="1038" t="s">
        <v>750</v>
      </c>
      <c r="H17" s="1039"/>
      <c r="I17" s="146">
        <v>12</v>
      </c>
      <c r="J17" s="366"/>
      <c r="K17" s="294"/>
      <c r="L17" s="296"/>
      <c r="M17" s="319"/>
    </row>
    <row r="18" spans="1:13">
      <c r="A18" s="291"/>
      <c r="B18" s="902" t="s">
        <v>1611</v>
      </c>
      <c r="C18" s="903"/>
      <c r="D18" s="49">
        <v>7500</v>
      </c>
      <c r="E18" s="371">
        <v>2</v>
      </c>
      <c r="F18" s="296"/>
      <c r="G18" s="364"/>
      <c r="J18" s="366"/>
      <c r="K18" s="294"/>
      <c r="L18" s="296"/>
      <c r="M18" s="319"/>
    </row>
    <row r="19" spans="1:13">
      <c r="A19" s="291"/>
      <c r="B19" s="902" t="s">
        <v>981</v>
      </c>
      <c r="C19" s="903"/>
      <c r="D19" s="49">
        <v>10500</v>
      </c>
      <c r="E19" s="371">
        <v>4</v>
      </c>
      <c r="F19" s="296"/>
      <c r="G19" s="364"/>
      <c r="H19" s="364"/>
      <c r="I19" s="365"/>
      <c r="J19" s="366"/>
      <c r="K19" s="294"/>
      <c r="L19" s="296"/>
      <c r="M19" s="319"/>
    </row>
    <row r="20" spans="1:13">
      <c r="B20" s="902" t="s">
        <v>539</v>
      </c>
      <c r="C20" s="903"/>
      <c r="D20" s="49">
        <v>50000</v>
      </c>
      <c r="E20" s="371">
        <v>8</v>
      </c>
    </row>
    <row r="21" spans="1:13">
      <c r="B21" s="902" t="s">
        <v>62</v>
      </c>
      <c r="C21" s="903"/>
      <c r="D21" s="49">
        <v>14000</v>
      </c>
      <c r="E21" s="371">
        <v>6</v>
      </c>
    </row>
    <row r="22" spans="1:13" ht="16.5" thickBot="1">
      <c r="B22" s="904" t="s">
        <v>1128</v>
      </c>
      <c r="C22" s="905"/>
      <c r="D22" s="52">
        <v>15000</v>
      </c>
      <c r="E22" s="372">
        <v>1</v>
      </c>
    </row>
    <row r="23" spans="1:13" ht="16.5" thickTop="1">
      <c r="B23" s="273"/>
      <c r="C23" s="273"/>
      <c r="D23" s="61"/>
      <c r="E23" s="275"/>
    </row>
    <row r="24" spans="1:13">
      <c r="A24" s="26" t="s">
        <v>1618</v>
      </c>
    </row>
    <row r="25" spans="1:13">
      <c r="A25" s="26" t="s">
        <v>1619</v>
      </c>
    </row>
    <row r="26" spans="1:13">
      <c r="A26" s="26" t="s">
        <v>1620</v>
      </c>
    </row>
    <row r="27" spans="1:13">
      <c r="A27" s="26" t="s">
        <v>1613</v>
      </c>
    </row>
    <row r="28" spans="1:13">
      <c r="A28" s="26" t="s">
        <v>1621</v>
      </c>
    </row>
    <row r="29" spans="1:13">
      <c r="A29" s="26" t="s">
        <v>1622</v>
      </c>
    </row>
    <row r="30" spans="1:13">
      <c r="A30" s="26" t="s">
        <v>1612</v>
      </c>
    </row>
    <row r="31" spans="1:13">
      <c r="E31" s="373"/>
    </row>
    <row r="33" spans="5:5">
      <c r="E33" s="135"/>
    </row>
  </sheetData>
  <mergeCells count="6">
    <mergeCell ref="A1:I1"/>
    <mergeCell ref="G15:H15"/>
    <mergeCell ref="G16:H16"/>
    <mergeCell ref="G17:H17"/>
    <mergeCell ref="G14:I14"/>
    <mergeCell ref="B14:E14"/>
  </mergeCells>
  <phoneticPr fontId="0" type="noConversion"/>
  <pageMargins left="0.75" right="0.75" top="1" bottom="1" header="0.5" footer="0.5"/>
  <pageSetup paperSize="9" orientation="portrait" r:id="rId1"/>
  <headerFooter alignWithMargins="0">
    <oddFooter>&amp;A</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J22"/>
  <sheetViews>
    <sheetView showGridLines="0" workbookViewId="0">
      <selection activeCell="I6" sqref="I6"/>
    </sheetView>
  </sheetViews>
  <sheetFormatPr defaultRowHeight="15.75"/>
  <cols>
    <col min="1" max="1" width="3.625" style="12" customWidth="1"/>
    <col min="2" max="2" width="16.25" style="12" customWidth="1"/>
    <col min="3" max="3" width="4.375" style="12" customWidth="1"/>
    <col min="4" max="4" width="4.75" style="12" customWidth="1"/>
    <col min="5" max="5" width="8.25" style="12" customWidth="1"/>
    <col min="6" max="6" width="4.625" style="12" customWidth="1"/>
    <col min="7" max="7" width="9" style="12" customWidth="1"/>
    <col min="8" max="8" width="9.75" style="12" customWidth="1"/>
    <col min="9" max="9" width="10.25" style="12" customWidth="1"/>
    <col min="10" max="10" width="9" style="12" customWidth="1"/>
    <col min="11" max="11" width="9.375" style="12" bestFit="1" customWidth="1"/>
    <col min="12" max="16384" width="9" style="12"/>
  </cols>
  <sheetData>
    <row r="1" spans="1:10" ht="33" thickTop="1" thickBot="1">
      <c r="A1" s="73" t="s">
        <v>842</v>
      </c>
      <c r="B1" s="74" t="s">
        <v>1637</v>
      </c>
      <c r="C1" s="74" t="s">
        <v>1627</v>
      </c>
      <c r="D1" s="74" t="s">
        <v>1635</v>
      </c>
      <c r="E1" s="75" t="s">
        <v>33</v>
      </c>
    </row>
    <row r="2" spans="1:10" ht="17.25" thickTop="1" thickBot="1">
      <c r="A2" s="17">
        <v>1</v>
      </c>
      <c r="B2" s="18" t="s">
        <v>1636</v>
      </c>
      <c r="C2" s="18">
        <v>9</v>
      </c>
      <c r="D2" s="19" t="s">
        <v>1022</v>
      </c>
      <c r="E2" s="78">
        <f>INDEX($H$11:$J$13,MATCH(VALUE(C2),$G$11:$G$13,1),MATCH(D2,$H$10:$J$10,0))</f>
        <v>100000</v>
      </c>
      <c r="G2" s="1012" t="s">
        <v>2399</v>
      </c>
      <c r="H2" s="1012"/>
      <c r="I2" s="1012"/>
    </row>
    <row r="3" spans="1:10" ht="17.25" thickTop="1" thickBot="1">
      <c r="A3" s="281">
        <v>2</v>
      </c>
      <c r="B3" s="24" t="s">
        <v>1623</v>
      </c>
      <c r="C3" s="24">
        <v>25</v>
      </c>
      <c r="D3" s="25" t="s">
        <v>1023</v>
      </c>
      <c r="E3" s="78">
        <f t="shared" ref="E3:E16" si="0">INDEX($H$11:$J$13,MATCH(VALUE(C3),$G$11:$G$13,1),MATCH(D3,$H$10:$J$10,0))</f>
        <v>150000</v>
      </c>
      <c r="G3" s="14" t="s">
        <v>1635</v>
      </c>
      <c r="H3" s="15" t="s">
        <v>1631</v>
      </c>
      <c r="I3" s="16" t="s">
        <v>33</v>
      </c>
    </row>
    <row r="4" spans="1:10" ht="16.5" thickTop="1">
      <c r="A4" s="17">
        <v>3</v>
      </c>
      <c r="B4" s="24" t="s">
        <v>1625</v>
      </c>
      <c r="C4" s="24">
        <v>24</v>
      </c>
      <c r="D4" s="25" t="s">
        <v>1024</v>
      </c>
      <c r="E4" s="78">
        <f t="shared" si="0"/>
        <v>100000</v>
      </c>
      <c r="G4" s="17" t="s">
        <v>1022</v>
      </c>
      <c r="H4" s="219">
        <f>COUNTIF($D$2:$D$16,$D$2)</f>
        <v>3</v>
      </c>
      <c r="I4" s="98">
        <f>SUMIF($D$2:$D$16,$D$2,$E$2:$E$16)</f>
        <v>700000</v>
      </c>
    </row>
    <row r="5" spans="1:10">
      <c r="A5" s="281">
        <v>4</v>
      </c>
      <c r="B5" s="24" t="s">
        <v>1630</v>
      </c>
      <c r="C5" s="24">
        <v>15</v>
      </c>
      <c r="D5" s="25" t="s">
        <v>1024</v>
      </c>
      <c r="E5" s="78">
        <f t="shared" si="0"/>
        <v>70000</v>
      </c>
      <c r="G5" s="23" t="s">
        <v>1023</v>
      </c>
      <c r="H5" s="219">
        <f>COUNTIF($D$2:$D$16,$D$3)</f>
        <v>8</v>
      </c>
      <c r="I5" s="98">
        <f>SUMIF($D$2:$D$16,$D$3,$E$2:$E$16)</f>
        <v>1200000</v>
      </c>
    </row>
    <row r="6" spans="1:10" ht="16.5" thickBot="1">
      <c r="A6" s="17">
        <v>5</v>
      </c>
      <c r="B6" s="24" t="s">
        <v>1624</v>
      </c>
      <c r="C6" s="24">
        <v>23</v>
      </c>
      <c r="D6" s="25" t="s">
        <v>1023</v>
      </c>
      <c r="E6" s="78">
        <f t="shared" si="0"/>
        <v>150000</v>
      </c>
      <c r="G6" s="79" t="s">
        <v>1024</v>
      </c>
      <c r="H6" s="219">
        <f>COUNTIF($D$2:$D$16,$D$4)</f>
        <v>4</v>
      </c>
      <c r="I6" s="98">
        <f t="shared" ref="I6" si="1">SUMIF($D$2:$D$16,$D$2,$E$2:$E$16)</f>
        <v>700000</v>
      </c>
    </row>
    <row r="7" spans="1:10" ht="16.5" thickTop="1">
      <c r="A7" s="281">
        <v>6</v>
      </c>
      <c r="B7" s="24" t="s">
        <v>1638</v>
      </c>
      <c r="C7" s="24">
        <v>26</v>
      </c>
      <c r="D7" s="25" t="s">
        <v>1022</v>
      </c>
      <c r="E7" s="78">
        <f t="shared" si="0"/>
        <v>300000</v>
      </c>
    </row>
    <row r="8" spans="1:10" ht="16.5" thickBot="1">
      <c r="A8" s="17">
        <v>7</v>
      </c>
      <c r="B8" s="24" t="s">
        <v>1639</v>
      </c>
      <c r="C8" s="24">
        <v>25</v>
      </c>
      <c r="D8" s="25" t="s">
        <v>1023</v>
      </c>
      <c r="E8" s="78">
        <f t="shared" si="0"/>
        <v>150000</v>
      </c>
      <c r="G8" s="946" t="s">
        <v>1632</v>
      </c>
      <c r="H8" s="946"/>
      <c r="I8" s="946"/>
      <c r="J8" s="946"/>
    </row>
    <row r="9" spans="1:10" ht="15" customHeight="1" thickTop="1">
      <c r="A9" s="281">
        <v>8</v>
      </c>
      <c r="B9" s="24" t="s">
        <v>1626</v>
      </c>
      <c r="C9" s="24">
        <v>24</v>
      </c>
      <c r="D9" s="25" t="s">
        <v>1024</v>
      </c>
      <c r="E9" s="78">
        <f t="shared" si="0"/>
        <v>100000</v>
      </c>
      <c r="G9" s="987" t="s">
        <v>1627</v>
      </c>
      <c r="H9" s="1006" t="s">
        <v>1635</v>
      </c>
      <c r="I9" s="1041"/>
      <c r="J9" s="1007"/>
    </row>
    <row r="10" spans="1:10" ht="15" customHeight="1" thickBot="1">
      <c r="A10" s="17">
        <v>9</v>
      </c>
      <c r="B10" s="24" t="s">
        <v>1628</v>
      </c>
      <c r="C10" s="24">
        <v>15</v>
      </c>
      <c r="D10" s="25" t="s">
        <v>1024</v>
      </c>
      <c r="E10" s="78">
        <f t="shared" si="0"/>
        <v>70000</v>
      </c>
      <c r="G10" s="988"/>
      <c r="H10" s="66" t="s">
        <v>1022</v>
      </c>
      <c r="I10" s="66" t="s">
        <v>1023</v>
      </c>
      <c r="J10" s="67" t="s">
        <v>1024</v>
      </c>
    </row>
    <row r="11" spans="1:10" ht="16.5" thickTop="1">
      <c r="A11" s="281">
        <v>10</v>
      </c>
      <c r="B11" s="24" t="s">
        <v>1640</v>
      </c>
      <c r="C11" s="24">
        <v>23</v>
      </c>
      <c r="D11" s="25" t="s">
        <v>1023</v>
      </c>
      <c r="E11" s="78">
        <f t="shared" si="0"/>
        <v>150000</v>
      </c>
      <c r="G11" s="83">
        <v>0</v>
      </c>
      <c r="H11" s="374">
        <v>100000</v>
      </c>
      <c r="I11" s="374">
        <v>80000</v>
      </c>
      <c r="J11" s="375">
        <v>50000</v>
      </c>
    </row>
    <row r="12" spans="1:10">
      <c r="A12" s="17">
        <v>11</v>
      </c>
      <c r="B12" s="24" t="s">
        <v>1633</v>
      </c>
      <c r="C12" s="24">
        <v>26</v>
      </c>
      <c r="D12" s="25" t="s">
        <v>1023</v>
      </c>
      <c r="E12" s="78">
        <f t="shared" si="0"/>
        <v>150000</v>
      </c>
      <c r="G12" s="87">
        <v>10</v>
      </c>
      <c r="H12" s="376">
        <v>200000</v>
      </c>
      <c r="I12" s="376">
        <v>100000</v>
      </c>
      <c r="J12" s="377">
        <v>70000</v>
      </c>
    </row>
    <row r="13" spans="1:10" ht="16.5" thickBot="1">
      <c r="A13" s="281">
        <v>12</v>
      </c>
      <c r="B13" s="24" t="s">
        <v>1641</v>
      </c>
      <c r="C13" s="24">
        <v>25</v>
      </c>
      <c r="D13" s="25" t="s">
        <v>1023</v>
      </c>
      <c r="E13" s="78">
        <f t="shared" si="0"/>
        <v>150000</v>
      </c>
      <c r="G13" s="89">
        <v>20</v>
      </c>
      <c r="H13" s="378">
        <v>300000</v>
      </c>
      <c r="I13" s="378">
        <v>150000</v>
      </c>
      <c r="J13" s="379">
        <v>100000</v>
      </c>
    </row>
    <row r="14" spans="1:10" ht="16.5" thickTop="1">
      <c r="A14" s="17">
        <v>13</v>
      </c>
      <c r="B14" s="24" t="s">
        <v>635</v>
      </c>
      <c r="C14" s="24">
        <v>24</v>
      </c>
      <c r="D14" s="25" t="s">
        <v>1023</v>
      </c>
      <c r="E14" s="78">
        <f t="shared" si="0"/>
        <v>150000</v>
      </c>
    </row>
    <row r="15" spans="1:10">
      <c r="A15" s="281">
        <v>14</v>
      </c>
      <c r="B15" s="24" t="s">
        <v>1634</v>
      </c>
      <c r="C15" s="24">
        <v>26</v>
      </c>
      <c r="D15" s="25" t="s">
        <v>1022</v>
      </c>
      <c r="E15" s="78">
        <f t="shared" si="0"/>
        <v>300000</v>
      </c>
    </row>
    <row r="16" spans="1:10" ht="16.5" thickBot="1">
      <c r="A16" s="17">
        <v>15</v>
      </c>
      <c r="B16" s="80" t="s">
        <v>1629</v>
      </c>
      <c r="C16" s="80">
        <v>20</v>
      </c>
      <c r="D16" s="153" t="s">
        <v>1023</v>
      </c>
      <c r="E16" s="78">
        <f t="shared" si="0"/>
        <v>150000</v>
      </c>
    </row>
    <row r="17" spans="1:5" ht="15" customHeight="1" thickTop="1">
      <c r="A17" s="291"/>
      <c r="B17" s="226"/>
      <c r="C17" s="226"/>
      <c r="D17" s="258"/>
      <c r="E17" s="296"/>
    </row>
    <row r="18" spans="1:5">
      <c r="A18" s="105" t="s">
        <v>1642</v>
      </c>
      <c r="E18" s="350"/>
    </row>
    <row r="19" spans="1:5">
      <c r="A19" s="105" t="s">
        <v>1955</v>
      </c>
      <c r="E19" s="350"/>
    </row>
    <row r="20" spans="1:5">
      <c r="A20" s="226"/>
      <c r="B20" s="380"/>
      <c r="C20" s="380"/>
      <c r="D20" s="380"/>
      <c r="E20" s="380"/>
    </row>
    <row r="21" spans="1:5">
      <c r="A21" s="226"/>
      <c r="B21" s="380"/>
      <c r="C21" s="380"/>
      <c r="D21" s="380"/>
      <c r="E21" s="380"/>
    </row>
    <row r="22" spans="1:5">
      <c r="A22" s="226"/>
      <c r="B22" s="380"/>
      <c r="C22" s="380"/>
      <c r="D22" s="380"/>
      <c r="E22" s="380"/>
    </row>
  </sheetData>
  <mergeCells count="4">
    <mergeCell ref="G8:J8"/>
    <mergeCell ref="H9:J9"/>
    <mergeCell ref="G9:G10"/>
    <mergeCell ref="G2:I2"/>
  </mergeCells>
  <phoneticPr fontId="0" type="noConversion"/>
  <pageMargins left="0.75" right="0.75" top="1" bottom="1" header="0.5" footer="0.5"/>
  <pageSetup paperSize="9" orientation="portrait" r:id="rId1"/>
  <headerFooter alignWithMargins="0">
    <oddFooter>&amp;A</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L19"/>
  <sheetViews>
    <sheetView showGridLines="0" workbookViewId="0">
      <selection activeCell="L3" sqref="L3"/>
    </sheetView>
  </sheetViews>
  <sheetFormatPr defaultRowHeight="15.75"/>
  <cols>
    <col min="1" max="1" width="3.75" style="27" customWidth="1"/>
    <col min="2" max="2" width="7.125" style="27" customWidth="1"/>
    <col min="3" max="3" width="9.625" style="27" customWidth="1"/>
    <col min="4" max="4" width="4.75" style="27" customWidth="1"/>
    <col min="5" max="9" width="5.125" style="27" customWidth="1"/>
    <col min="10" max="10" width="6.125" style="27" customWidth="1"/>
    <col min="11" max="11" width="7.75" style="27" customWidth="1"/>
    <col min="12" max="12" width="10.5" style="27" customWidth="1"/>
    <col min="13" max="16384" width="9" style="27"/>
  </cols>
  <sheetData>
    <row r="1" spans="1:12" ht="36.75" customHeight="1" thickTop="1" thickBot="1">
      <c r="A1" s="73" t="s">
        <v>1916</v>
      </c>
      <c r="B1" s="74" t="s">
        <v>2059</v>
      </c>
      <c r="C1" s="74" t="s">
        <v>1650</v>
      </c>
      <c r="D1" s="74" t="s">
        <v>661</v>
      </c>
      <c r="E1" s="74" t="s">
        <v>600</v>
      </c>
      <c r="F1" s="74" t="s">
        <v>841</v>
      </c>
      <c r="G1" s="74" t="s">
        <v>1021</v>
      </c>
      <c r="H1" s="74" t="s">
        <v>390</v>
      </c>
      <c r="I1" s="74" t="s">
        <v>398</v>
      </c>
      <c r="J1" s="74" t="s">
        <v>1649</v>
      </c>
      <c r="K1" s="74" t="s">
        <v>1647</v>
      </c>
      <c r="L1" s="75" t="s">
        <v>1648</v>
      </c>
    </row>
    <row r="2" spans="1:12" ht="17.25" thickTop="1" thickBot="1">
      <c r="A2" s="381">
        <v>1</v>
      </c>
      <c r="B2" s="382" t="s">
        <v>501</v>
      </c>
      <c r="C2" s="382" t="s">
        <v>1643</v>
      </c>
      <c r="D2" s="382" t="s">
        <v>541</v>
      </c>
      <c r="E2" s="382">
        <v>7</v>
      </c>
      <c r="F2" s="382"/>
      <c r="G2" s="382">
        <v>5</v>
      </c>
      <c r="H2" s="382">
        <v>8</v>
      </c>
      <c r="I2" s="382"/>
      <c r="J2" s="383">
        <f>IF(C2=$C$2,E2*2+G2+H2*2,IF(C2=$C$3,E2*2+F2+I2,IF(C2=$C$4,E2+G2*2+H2,E2+G2+H2*2)))</f>
        <v>35</v>
      </c>
      <c r="K2" s="383">
        <f>IF(AND(J2&gt;=18,J2&lt;=23),4,IF(J2&gt;23,5,"Failed"))</f>
        <v>5</v>
      </c>
      <c r="L2" s="384" t="str">
        <f>IF(J2=MAX($J$2:$J$7),"USA",IF(RANK(J2,$J$2:$J$7,0)=2,"France",IF(J2&lt;18,"Failed","Passed")))</f>
        <v>USA</v>
      </c>
    </row>
    <row r="3" spans="1:12" ht="17.25" thickTop="1" thickBot="1">
      <c r="A3" s="48">
        <v>2</v>
      </c>
      <c r="B3" s="30" t="s">
        <v>1655</v>
      </c>
      <c r="C3" s="30" t="s">
        <v>1653</v>
      </c>
      <c r="D3" s="30" t="s">
        <v>842</v>
      </c>
      <c r="E3" s="30">
        <v>8.5</v>
      </c>
      <c r="F3" s="30">
        <v>9</v>
      </c>
      <c r="G3" s="30"/>
      <c r="H3" s="30"/>
      <c r="I3" s="30">
        <v>7.5</v>
      </c>
      <c r="J3" s="383">
        <f t="shared" ref="J3:J7" si="0">IF(C3=$C$2,E3*2+G3+H3*2,IF(C3=$C$3,E3*2+F3+I3,IF(C3=$C$4,E3+G3*2+H3,E3+G3+H3*2)))</f>
        <v>33.5</v>
      </c>
      <c r="K3" s="383">
        <f t="shared" ref="K3:K7" si="1">IF(AND(J3&gt;=18,J3&lt;=23),4,IF(J3&gt;23,5,"Failed"))</f>
        <v>5</v>
      </c>
      <c r="L3" s="384" t="str">
        <f t="shared" ref="L3:L7" si="2">IF(J3=MAX($J$2:$J$7),"USA",IF(RANK(J3,$J$2:$J$7,0)=2,"France",IF(J3&lt;18,"Failed","Passed")))</f>
        <v>France</v>
      </c>
    </row>
    <row r="4" spans="1:12" ht="17.25" thickTop="1" thickBot="1">
      <c r="A4" s="48">
        <v>3</v>
      </c>
      <c r="B4" s="30" t="s">
        <v>1644</v>
      </c>
      <c r="C4" s="30" t="s">
        <v>1646</v>
      </c>
      <c r="D4" s="30" t="s">
        <v>542</v>
      </c>
      <c r="E4" s="30">
        <v>4</v>
      </c>
      <c r="F4" s="30"/>
      <c r="G4" s="30">
        <v>3</v>
      </c>
      <c r="H4" s="30">
        <v>6.5</v>
      </c>
      <c r="I4" s="30"/>
      <c r="J4" s="383">
        <f t="shared" si="0"/>
        <v>16.5</v>
      </c>
      <c r="K4" s="383" t="str">
        <f t="shared" si="1"/>
        <v>Failed</v>
      </c>
      <c r="L4" s="384" t="str">
        <f t="shared" si="2"/>
        <v>Failed</v>
      </c>
    </row>
    <row r="5" spans="1:12" ht="17.25" thickTop="1" thickBot="1">
      <c r="A5" s="48">
        <v>4</v>
      </c>
      <c r="B5" s="30" t="s">
        <v>1663</v>
      </c>
      <c r="C5" s="30" t="s">
        <v>1643</v>
      </c>
      <c r="D5" s="30" t="s">
        <v>541</v>
      </c>
      <c r="E5" s="30">
        <v>6</v>
      </c>
      <c r="F5" s="30"/>
      <c r="G5" s="30">
        <v>4</v>
      </c>
      <c r="H5" s="30">
        <v>3</v>
      </c>
      <c r="I5" s="30"/>
      <c r="J5" s="383">
        <f t="shared" si="0"/>
        <v>22</v>
      </c>
      <c r="K5" s="383">
        <f t="shared" si="1"/>
        <v>4</v>
      </c>
      <c r="L5" s="384" t="str">
        <f t="shared" si="2"/>
        <v>Passed</v>
      </c>
    </row>
    <row r="6" spans="1:12" ht="17.25" thickTop="1" thickBot="1">
      <c r="A6" s="48">
        <v>5</v>
      </c>
      <c r="B6" s="30" t="s">
        <v>1659</v>
      </c>
      <c r="C6" s="30" t="s">
        <v>1653</v>
      </c>
      <c r="D6" s="30" t="s">
        <v>842</v>
      </c>
      <c r="E6" s="30">
        <v>5</v>
      </c>
      <c r="F6" s="30">
        <v>6</v>
      </c>
      <c r="G6" s="30"/>
      <c r="H6" s="30"/>
      <c r="I6" s="30">
        <v>7</v>
      </c>
      <c r="J6" s="383">
        <f t="shared" si="0"/>
        <v>23</v>
      </c>
      <c r="K6" s="383">
        <f t="shared" si="1"/>
        <v>4</v>
      </c>
      <c r="L6" s="384" t="str">
        <f t="shared" si="2"/>
        <v>Passed</v>
      </c>
    </row>
    <row r="7" spans="1:12" ht="17.25" thickTop="1" thickBot="1">
      <c r="A7" s="50">
        <v>6</v>
      </c>
      <c r="B7" s="51" t="s">
        <v>1660</v>
      </c>
      <c r="C7" s="51" t="s">
        <v>1645</v>
      </c>
      <c r="D7" s="51" t="s">
        <v>543</v>
      </c>
      <c r="E7" s="51">
        <v>3</v>
      </c>
      <c r="F7" s="51"/>
      <c r="G7" s="51">
        <v>8</v>
      </c>
      <c r="H7" s="51">
        <v>9</v>
      </c>
      <c r="I7" s="51"/>
      <c r="J7" s="383">
        <f t="shared" si="0"/>
        <v>29</v>
      </c>
      <c r="K7" s="383">
        <f t="shared" si="1"/>
        <v>5</v>
      </c>
      <c r="L7" s="384" t="str">
        <f t="shared" si="2"/>
        <v>Passed</v>
      </c>
    </row>
    <row r="8" spans="1:12" ht="16.5" thickTop="1"/>
    <row r="9" spans="1:12">
      <c r="A9" s="33" t="s">
        <v>1664</v>
      </c>
      <c r="B9" s="277"/>
      <c r="D9" s="33"/>
      <c r="E9" s="33"/>
    </row>
    <row r="10" spans="1:12">
      <c r="B10" s="33" t="s">
        <v>1661</v>
      </c>
      <c r="D10" s="33" t="s">
        <v>1656</v>
      </c>
    </row>
    <row r="11" spans="1:12">
      <c r="B11" s="33" t="s">
        <v>1654</v>
      </c>
      <c r="D11" s="33" t="s">
        <v>1662</v>
      </c>
    </row>
    <row r="12" spans="1:12">
      <c r="B12" s="33" t="s">
        <v>1651</v>
      </c>
      <c r="D12" s="33" t="s">
        <v>1657</v>
      </c>
    </row>
    <row r="13" spans="1:12">
      <c r="B13" s="33" t="s">
        <v>1652</v>
      </c>
      <c r="D13" s="33" t="s">
        <v>1658</v>
      </c>
    </row>
    <row r="14" spans="1:12">
      <c r="A14" s="33" t="s">
        <v>1683</v>
      </c>
    </row>
    <row r="15" spans="1:12">
      <c r="A15" s="33" t="s">
        <v>1684</v>
      </c>
    </row>
    <row r="16" spans="1:12">
      <c r="A16" s="33" t="s">
        <v>1685</v>
      </c>
    </row>
    <row r="17" spans="1:1">
      <c r="A17" s="33" t="s">
        <v>1686</v>
      </c>
    </row>
    <row r="18" spans="1:1">
      <c r="A18" s="33" t="s">
        <v>1687</v>
      </c>
    </row>
    <row r="19" spans="1:1">
      <c r="A19" s="33" t="s">
        <v>1688</v>
      </c>
    </row>
  </sheetData>
  <phoneticPr fontId="0" type="noConversion"/>
  <pageMargins left="0.75" right="0.75" top="1" bottom="1" header="0.5" footer="0.5"/>
  <pageSetup paperSize="9" orientation="portrait" r:id="rId1"/>
  <headerFooter alignWithMargins="0">
    <oddFooter>&amp;A</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3"/>
  <sheetViews>
    <sheetView showGridLines="0" topLeftCell="A22" workbookViewId="0">
      <selection activeCell="E29" sqref="E29"/>
    </sheetView>
  </sheetViews>
  <sheetFormatPr defaultRowHeight="15"/>
  <cols>
    <col min="1" max="1" width="3.75" style="385" customWidth="1"/>
    <col min="2" max="2" width="12.25" style="385" customWidth="1"/>
    <col min="3" max="3" width="7.125" style="385" customWidth="1"/>
    <col min="4" max="4" width="5.75" style="385" customWidth="1"/>
    <col min="5" max="5" width="4.625" style="409" customWidth="1"/>
    <col min="6" max="6" width="11.25" style="385" customWidth="1"/>
    <col min="7" max="7" width="5.5" style="385" customWidth="1"/>
    <col min="8" max="8" width="6.125" style="409" customWidth="1"/>
    <col min="9" max="9" width="4.5" style="385" customWidth="1"/>
    <col min="10" max="10" width="5.625" style="385" customWidth="1"/>
    <col min="11" max="11" width="6.625" style="385" customWidth="1"/>
    <col min="12" max="12" width="10.75" style="385" customWidth="1"/>
    <col min="13" max="13" width="9.875" style="385" bestFit="1" customWidth="1"/>
    <col min="14" max="16384" width="9" style="385"/>
  </cols>
  <sheetData>
    <row r="1" spans="1:14" ht="24" customHeight="1" thickBot="1">
      <c r="A1" s="926" t="s">
        <v>1739</v>
      </c>
      <c r="B1" s="926"/>
      <c r="C1" s="926"/>
      <c r="D1" s="926"/>
      <c r="E1" s="926"/>
      <c r="F1" s="926"/>
      <c r="G1" s="926"/>
      <c r="H1" s="926"/>
      <c r="I1" s="926"/>
      <c r="J1" s="926"/>
      <c r="K1" s="926"/>
      <c r="L1" s="926"/>
    </row>
    <row r="2" spans="1:14" ht="33" thickTop="1" thickBot="1">
      <c r="A2" s="386" t="s">
        <v>842</v>
      </c>
      <c r="B2" s="387" t="s">
        <v>2049</v>
      </c>
      <c r="C2" s="387" t="s">
        <v>2059</v>
      </c>
      <c r="D2" s="387" t="s">
        <v>1700</v>
      </c>
      <c r="E2" s="387" t="s">
        <v>496</v>
      </c>
      <c r="F2" s="387" t="s">
        <v>751</v>
      </c>
      <c r="G2" s="387" t="s">
        <v>600</v>
      </c>
      <c r="H2" s="387" t="s">
        <v>1691</v>
      </c>
      <c r="I2" s="387" t="s">
        <v>497</v>
      </c>
      <c r="J2" s="387" t="s">
        <v>393</v>
      </c>
      <c r="K2" s="387" t="s">
        <v>2143</v>
      </c>
      <c r="L2" s="388" t="s">
        <v>1648</v>
      </c>
    </row>
    <row r="3" spans="1:14" ht="16.5" thickTop="1">
      <c r="A3" s="17">
        <v>1</v>
      </c>
      <c r="B3" s="18" t="s">
        <v>1738</v>
      </c>
      <c r="C3" s="18" t="s">
        <v>1718</v>
      </c>
      <c r="D3" s="19" t="s">
        <v>544</v>
      </c>
      <c r="E3" s="18" t="s">
        <v>94</v>
      </c>
      <c r="F3" s="255">
        <v>29194</v>
      </c>
      <c r="G3" s="389">
        <v>6</v>
      </c>
      <c r="H3" s="390">
        <v>8</v>
      </c>
      <c r="I3" s="390">
        <v>8.5</v>
      </c>
      <c r="J3" s="163">
        <f>AVERAGE(G3:I3)</f>
        <v>7.5</v>
      </c>
      <c r="K3" s="77" t="str">
        <f>IF(J3&lt;5,"Kem",IF(J3&lt;7,"TB",IF(J3&lt;=8,"Kha","Gioi")))</f>
        <v>Kha</v>
      </c>
      <c r="L3" s="227" t="str">
        <f>IF(RANK(J3,$J$3:$J$22,0)&lt;=3,"USA","VN")</f>
        <v>VN</v>
      </c>
      <c r="M3" s="391"/>
      <c r="N3" s="391"/>
    </row>
    <row r="4" spans="1:14" ht="15.75">
      <c r="A4" s="281">
        <v>2</v>
      </c>
      <c r="B4" s="24" t="s">
        <v>1692</v>
      </c>
      <c r="C4" s="24" t="s">
        <v>1714</v>
      </c>
      <c r="D4" s="25" t="s">
        <v>545</v>
      </c>
      <c r="E4" s="24" t="s">
        <v>1137</v>
      </c>
      <c r="F4" s="256">
        <v>28945</v>
      </c>
      <c r="G4" s="392">
        <v>8</v>
      </c>
      <c r="H4" s="393">
        <v>4</v>
      </c>
      <c r="I4" s="393">
        <v>3</v>
      </c>
      <c r="J4" s="163">
        <f t="shared" ref="J4:J22" si="0">AVERAGE(G4:I4)</f>
        <v>5</v>
      </c>
      <c r="K4" s="77" t="str">
        <f t="shared" ref="K4:K22" si="1">IF(J4&lt;5,"Kem",IF(J4&lt;7,"TB",IF(J4&lt;=8,"Kha","Gioi")))</f>
        <v>TB</v>
      </c>
      <c r="L4" s="227" t="str">
        <f t="shared" ref="L4:L22" si="2">IF(RANK(J4,$J$3:$J$22,0)&lt;=3,"USA","VN")</f>
        <v>VN</v>
      </c>
      <c r="M4" s="391"/>
      <c r="N4" s="391"/>
    </row>
    <row r="5" spans="1:14" ht="15.75">
      <c r="A5" s="17">
        <v>3</v>
      </c>
      <c r="B5" s="24" t="s">
        <v>1693</v>
      </c>
      <c r="C5" s="24" t="s">
        <v>1719</v>
      </c>
      <c r="D5" s="25" t="s">
        <v>546</v>
      </c>
      <c r="E5" s="24" t="s">
        <v>1137</v>
      </c>
      <c r="F5" s="256">
        <v>29399</v>
      </c>
      <c r="G5" s="392">
        <v>5</v>
      </c>
      <c r="H5" s="393">
        <v>8.5</v>
      </c>
      <c r="I5" s="393">
        <v>7</v>
      </c>
      <c r="J5" s="163">
        <f t="shared" si="0"/>
        <v>6.833333333333333</v>
      </c>
      <c r="K5" s="77" t="str">
        <f t="shared" si="1"/>
        <v>TB</v>
      </c>
      <c r="L5" s="227" t="str">
        <f t="shared" si="2"/>
        <v>VN</v>
      </c>
      <c r="M5" s="391"/>
      <c r="N5" s="391"/>
    </row>
    <row r="6" spans="1:14" ht="15.75">
      <c r="A6" s="281">
        <v>4</v>
      </c>
      <c r="B6" s="24" t="s">
        <v>2041</v>
      </c>
      <c r="C6" s="24" t="s">
        <v>516</v>
      </c>
      <c r="D6" s="25" t="s">
        <v>547</v>
      </c>
      <c r="E6" s="24" t="s">
        <v>94</v>
      </c>
      <c r="F6" s="256">
        <v>29127</v>
      </c>
      <c r="G6" s="392">
        <v>4</v>
      </c>
      <c r="H6" s="393">
        <v>8.5</v>
      </c>
      <c r="I6" s="393">
        <v>8.3000000000000007</v>
      </c>
      <c r="J6" s="163">
        <f t="shared" si="0"/>
        <v>6.9333333333333336</v>
      </c>
      <c r="K6" s="77" t="str">
        <f t="shared" si="1"/>
        <v>TB</v>
      </c>
      <c r="L6" s="227" t="str">
        <f t="shared" si="2"/>
        <v>VN</v>
      </c>
      <c r="M6" s="391"/>
    </row>
    <row r="7" spans="1:14" ht="15.75">
      <c r="A7" s="17">
        <v>5</v>
      </c>
      <c r="B7" s="24" t="s">
        <v>1689</v>
      </c>
      <c r="C7" s="24" t="s">
        <v>187</v>
      </c>
      <c r="D7" s="25" t="s">
        <v>548</v>
      </c>
      <c r="E7" s="24" t="s">
        <v>1137</v>
      </c>
      <c r="F7" s="256">
        <v>29962</v>
      </c>
      <c r="G7" s="392">
        <v>7</v>
      </c>
      <c r="H7" s="393">
        <v>6</v>
      </c>
      <c r="I7" s="393">
        <v>7</v>
      </c>
      <c r="J7" s="163">
        <f t="shared" si="0"/>
        <v>6.666666666666667</v>
      </c>
      <c r="K7" s="77" t="str">
        <f t="shared" si="1"/>
        <v>TB</v>
      </c>
      <c r="L7" s="227" t="str">
        <f t="shared" si="2"/>
        <v>VN</v>
      </c>
      <c r="M7" s="391"/>
    </row>
    <row r="8" spans="1:14" ht="15.75">
      <c r="A8" s="281">
        <v>6</v>
      </c>
      <c r="B8" s="24" t="s">
        <v>1720</v>
      </c>
      <c r="C8" s="24" t="s">
        <v>1721</v>
      </c>
      <c r="D8" s="25" t="s">
        <v>549</v>
      </c>
      <c r="E8" s="24" t="s">
        <v>94</v>
      </c>
      <c r="F8" s="256">
        <v>28938</v>
      </c>
      <c r="G8" s="392">
        <v>9</v>
      </c>
      <c r="H8" s="393">
        <v>9</v>
      </c>
      <c r="I8" s="393">
        <v>6.5</v>
      </c>
      <c r="J8" s="163">
        <f t="shared" si="0"/>
        <v>8.1666666666666661</v>
      </c>
      <c r="K8" s="77" t="str">
        <f t="shared" si="1"/>
        <v>Gioi</v>
      </c>
      <c r="L8" s="227" t="str">
        <f t="shared" si="2"/>
        <v>VN</v>
      </c>
      <c r="M8" s="391"/>
    </row>
    <row r="9" spans="1:14" ht="15.75">
      <c r="A9" s="17">
        <v>7</v>
      </c>
      <c r="B9" s="24" t="s">
        <v>1705</v>
      </c>
      <c r="C9" s="24" t="s">
        <v>2330</v>
      </c>
      <c r="D9" s="25" t="s">
        <v>550</v>
      </c>
      <c r="E9" s="24" t="s">
        <v>94</v>
      </c>
      <c r="F9" s="256">
        <v>29038</v>
      </c>
      <c r="G9" s="392">
        <v>4</v>
      </c>
      <c r="H9" s="393">
        <v>8</v>
      </c>
      <c r="I9" s="393">
        <v>9.1999999999999993</v>
      </c>
      <c r="J9" s="163">
        <f t="shared" si="0"/>
        <v>7.0666666666666664</v>
      </c>
      <c r="K9" s="77" t="str">
        <f t="shared" si="1"/>
        <v>Kha</v>
      </c>
      <c r="L9" s="227" t="str">
        <f t="shared" si="2"/>
        <v>VN</v>
      </c>
      <c r="M9" s="391"/>
    </row>
    <row r="10" spans="1:14" ht="15.75">
      <c r="A10" s="281">
        <v>8</v>
      </c>
      <c r="B10" s="24" t="s">
        <v>1711</v>
      </c>
      <c r="C10" s="24" t="s">
        <v>1704</v>
      </c>
      <c r="D10" s="25" t="s">
        <v>551</v>
      </c>
      <c r="E10" s="24" t="s">
        <v>1137</v>
      </c>
      <c r="F10" s="256">
        <v>29138</v>
      </c>
      <c r="G10" s="392">
        <v>2</v>
      </c>
      <c r="H10" s="393">
        <v>5</v>
      </c>
      <c r="I10" s="393">
        <v>7</v>
      </c>
      <c r="J10" s="163">
        <f t="shared" si="0"/>
        <v>4.666666666666667</v>
      </c>
      <c r="K10" s="77" t="str">
        <f t="shared" si="1"/>
        <v>Kem</v>
      </c>
      <c r="L10" s="227" t="str">
        <f t="shared" si="2"/>
        <v>VN</v>
      </c>
      <c r="M10" s="391"/>
    </row>
    <row r="11" spans="1:14" ht="15.75">
      <c r="A11" s="17">
        <v>9</v>
      </c>
      <c r="B11" s="24" t="s">
        <v>1707</v>
      </c>
      <c r="C11" s="24" t="s">
        <v>1698</v>
      </c>
      <c r="D11" s="25" t="s">
        <v>552</v>
      </c>
      <c r="E11" s="24" t="s">
        <v>94</v>
      </c>
      <c r="F11" s="256">
        <v>29383</v>
      </c>
      <c r="G11" s="392">
        <v>10</v>
      </c>
      <c r="H11" s="393">
        <v>8.5</v>
      </c>
      <c r="I11" s="393">
        <v>6</v>
      </c>
      <c r="J11" s="163">
        <f t="shared" si="0"/>
        <v>8.1666666666666661</v>
      </c>
      <c r="K11" s="77" t="str">
        <f t="shared" si="1"/>
        <v>Gioi</v>
      </c>
      <c r="L11" s="227" t="str">
        <f t="shared" si="2"/>
        <v>VN</v>
      </c>
      <c r="M11" s="391"/>
    </row>
    <row r="12" spans="1:14" ht="15.75">
      <c r="A12" s="281">
        <v>10</v>
      </c>
      <c r="B12" s="24" t="s">
        <v>1701</v>
      </c>
      <c r="C12" s="24" t="s">
        <v>1659</v>
      </c>
      <c r="D12" s="25" t="s">
        <v>548</v>
      </c>
      <c r="E12" s="24" t="s">
        <v>1137</v>
      </c>
      <c r="F12" s="256">
        <v>28362</v>
      </c>
      <c r="G12" s="392">
        <v>7.5</v>
      </c>
      <c r="H12" s="393">
        <v>5</v>
      </c>
      <c r="I12" s="393">
        <v>4</v>
      </c>
      <c r="J12" s="163">
        <f t="shared" si="0"/>
        <v>5.5</v>
      </c>
      <c r="K12" s="77" t="str">
        <f t="shared" si="1"/>
        <v>TB</v>
      </c>
      <c r="L12" s="227" t="str">
        <f t="shared" si="2"/>
        <v>VN</v>
      </c>
      <c r="M12" s="391"/>
    </row>
    <row r="13" spans="1:14" ht="15.75">
      <c r="A13" s="17">
        <v>11</v>
      </c>
      <c r="B13" s="24" t="s">
        <v>1694</v>
      </c>
      <c r="C13" s="24" t="s">
        <v>1722</v>
      </c>
      <c r="D13" s="25" t="s">
        <v>554</v>
      </c>
      <c r="E13" s="24" t="s">
        <v>1137</v>
      </c>
      <c r="F13" s="256">
        <v>28896</v>
      </c>
      <c r="G13" s="392">
        <v>8</v>
      </c>
      <c r="H13" s="393">
        <v>9.4</v>
      </c>
      <c r="I13" s="393">
        <v>9.8000000000000007</v>
      </c>
      <c r="J13" s="163">
        <f t="shared" si="0"/>
        <v>9.0666666666666664</v>
      </c>
      <c r="K13" s="77" t="str">
        <f t="shared" si="1"/>
        <v>Gioi</v>
      </c>
      <c r="L13" s="227" t="str">
        <f t="shared" si="2"/>
        <v>USA</v>
      </c>
      <c r="M13" s="391"/>
    </row>
    <row r="14" spans="1:14" ht="15.75">
      <c r="A14" s="281">
        <v>12</v>
      </c>
      <c r="B14" s="24" t="s">
        <v>1712</v>
      </c>
      <c r="C14" s="24" t="s">
        <v>1925</v>
      </c>
      <c r="D14" s="25" t="s">
        <v>552</v>
      </c>
      <c r="E14" s="24" t="s">
        <v>94</v>
      </c>
      <c r="F14" s="256">
        <v>28554</v>
      </c>
      <c r="G14" s="392">
        <v>6.5</v>
      </c>
      <c r="H14" s="393">
        <v>6</v>
      </c>
      <c r="I14" s="393">
        <v>6.7</v>
      </c>
      <c r="J14" s="163">
        <f t="shared" si="0"/>
        <v>6.3999999999999995</v>
      </c>
      <c r="K14" s="77" t="str">
        <f t="shared" si="1"/>
        <v>TB</v>
      </c>
      <c r="L14" s="227" t="str">
        <f t="shared" si="2"/>
        <v>VN</v>
      </c>
      <c r="M14" s="391"/>
    </row>
    <row r="15" spans="1:14" ht="15.75">
      <c r="A15" s="17">
        <v>13</v>
      </c>
      <c r="B15" s="24" t="s">
        <v>1695</v>
      </c>
      <c r="C15" s="24" t="s">
        <v>1655</v>
      </c>
      <c r="D15" s="25" t="s">
        <v>545</v>
      </c>
      <c r="E15" s="24" t="s">
        <v>94</v>
      </c>
      <c r="F15" s="256">
        <v>29233</v>
      </c>
      <c r="G15" s="392">
        <v>4.5</v>
      </c>
      <c r="H15" s="393">
        <v>8.5</v>
      </c>
      <c r="I15" s="393">
        <v>7</v>
      </c>
      <c r="J15" s="163">
        <f t="shared" si="0"/>
        <v>6.666666666666667</v>
      </c>
      <c r="K15" s="77" t="str">
        <f t="shared" si="1"/>
        <v>TB</v>
      </c>
      <c r="L15" s="227" t="str">
        <f t="shared" si="2"/>
        <v>VN</v>
      </c>
      <c r="M15" s="391"/>
    </row>
    <row r="16" spans="1:14" ht="15.75">
      <c r="A16" s="281">
        <v>14</v>
      </c>
      <c r="B16" s="24" t="s">
        <v>1723</v>
      </c>
      <c r="C16" s="24" t="s">
        <v>613</v>
      </c>
      <c r="D16" s="25" t="s">
        <v>552</v>
      </c>
      <c r="E16" s="24" t="s">
        <v>1137</v>
      </c>
      <c r="F16" s="256">
        <v>29671</v>
      </c>
      <c r="G16" s="392">
        <v>3.5</v>
      </c>
      <c r="H16" s="393">
        <v>8.5</v>
      </c>
      <c r="I16" s="393">
        <v>10</v>
      </c>
      <c r="J16" s="163">
        <f t="shared" si="0"/>
        <v>7.333333333333333</v>
      </c>
      <c r="K16" s="77" t="str">
        <f t="shared" si="1"/>
        <v>Kha</v>
      </c>
      <c r="L16" s="227" t="str">
        <f t="shared" si="2"/>
        <v>VN</v>
      </c>
      <c r="M16" s="391"/>
    </row>
    <row r="17" spans="1:13" ht="15.75">
      <c r="A17" s="17">
        <v>15</v>
      </c>
      <c r="B17" s="24" t="s">
        <v>1740</v>
      </c>
      <c r="C17" s="24" t="s">
        <v>2054</v>
      </c>
      <c r="D17" s="25" t="s">
        <v>549</v>
      </c>
      <c r="E17" s="24" t="s">
        <v>94</v>
      </c>
      <c r="F17" s="256">
        <v>29045</v>
      </c>
      <c r="G17" s="392">
        <v>4</v>
      </c>
      <c r="H17" s="393">
        <v>5</v>
      </c>
      <c r="I17" s="393">
        <v>3</v>
      </c>
      <c r="J17" s="163">
        <f t="shared" si="0"/>
        <v>4</v>
      </c>
      <c r="K17" s="77" t="str">
        <f t="shared" si="1"/>
        <v>Kem</v>
      </c>
      <c r="L17" s="227" t="str">
        <f t="shared" si="2"/>
        <v>VN</v>
      </c>
      <c r="M17" s="391"/>
    </row>
    <row r="18" spans="1:13" ht="15.75">
      <c r="A18" s="281">
        <v>16</v>
      </c>
      <c r="B18" s="24" t="s">
        <v>1690</v>
      </c>
      <c r="C18" s="24" t="s">
        <v>1699</v>
      </c>
      <c r="D18" s="25" t="s">
        <v>555</v>
      </c>
      <c r="E18" s="24" t="s">
        <v>94</v>
      </c>
      <c r="F18" s="256">
        <v>28783</v>
      </c>
      <c r="G18" s="392">
        <v>6</v>
      </c>
      <c r="H18" s="393">
        <v>6</v>
      </c>
      <c r="I18" s="393">
        <v>6.5</v>
      </c>
      <c r="J18" s="163">
        <f t="shared" si="0"/>
        <v>6.166666666666667</v>
      </c>
      <c r="K18" s="77" t="str">
        <f t="shared" si="1"/>
        <v>TB</v>
      </c>
      <c r="L18" s="227" t="str">
        <f t="shared" si="2"/>
        <v>VN</v>
      </c>
      <c r="M18" s="391"/>
    </row>
    <row r="19" spans="1:13" ht="15.75">
      <c r="A19" s="17">
        <v>17</v>
      </c>
      <c r="B19" s="24" t="s">
        <v>1706</v>
      </c>
      <c r="C19" s="24" t="s">
        <v>1724</v>
      </c>
      <c r="D19" s="25" t="s">
        <v>549</v>
      </c>
      <c r="E19" s="24" t="s">
        <v>94</v>
      </c>
      <c r="F19" s="256">
        <v>28705</v>
      </c>
      <c r="G19" s="392">
        <v>8.5</v>
      </c>
      <c r="H19" s="393">
        <v>8</v>
      </c>
      <c r="I19" s="393">
        <v>9.1999999999999993</v>
      </c>
      <c r="J19" s="163">
        <f t="shared" si="0"/>
        <v>8.5666666666666664</v>
      </c>
      <c r="K19" s="77" t="str">
        <f t="shared" si="1"/>
        <v>Gioi</v>
      </c>
      <c r="L19" s="227" t="str">
        <f t="shared" si="2"/>
        <v>USA</v>
      </c>
      <c r="M19" s="391"/>
    </row>
    <row r="20" spans="1:13" ht="15.75">
      <c r="A20" s="281">
        <v>18</v>
      </c>
      <c r="B20" s="24" t="s">
        <v>1696</v>
      </c>
      <c r="C20" s="24" t="s">
        <v>1715</v>
      </c>
      <c r="D20" s="25" t="s">
        <v>555</v>
      </c>
      <c r="E20" s="24" t="s">
        <v>1137</v>
      </c>
      <c r="F20" s="256">
        <v>29660</v>
      </c>
      <c r="G20" s="392">
        <v>9</v>
      </c>
      <c r="H20" s="393">
        <v>6</v>
      </c>
      <c r="I20" s="393">
        <v>7</v>
      </c>
      <c r="J20" s="163">
        <f t="shared" si="0"/>
        <v>7.333333333333333</v>
      </c>
      <c r="K20" s="77" t="str">
        <f t="shared" si="1"/>
        <v>Kha</v>
      </c>
      <c r="L20" s="227" t="str">
        <f t="shared" si="2"/>
        <v>VN</v>
      </c>
      <c r="M20" s="391"/>
    </row>
    <row r="21" spans="1:13" ht="15.75">
      <c r="A21" s="17">
        <v>19</v>
      </c>
      <c r="B21" s="24" t="s">
        <v>1697</v>
      </c>
      <c r="C21" s="24" t="s">
        <v>1983</v>
      </c>
      <c r="D21" s="25" t="s">
        <v>554</v>
      </c>
      <c r="E21" s="24" t="s">
        <v>94</v>
      </c>
      <c r="F21" s="256">
        <v>28606</v>
      </c>
      <c r="G21" s="392">
        <v>9.5</v>
      </c>
      <c r="H21" s="393">
        <v>8.5</v>
      </c>
      <c r="I21" s="393">
        <v>7.2</v>
      </c>
      <c r="J21" s="163">
        <f t="shared" si="0"/>
        <v>8.4</v>
      </c>
      <c r="K21" s="77" t="str">
        <f t="shared" si="1"/>
        <v>Gioi</v>
      </c>
      <c r="L21" s="227" t="str">
        <f t="shared" si="2"/>
        <v>USA</v>
      </c>
      <c r="M21" s="391"/>
    </row>
    <row r="22" spans="1:13" ht="16.5" thickBot="1">
      <c r="A22" s="281">
        <v>20</v>
      </c>
      <c r="B22" s="80" t="s">
        <v>1713</v>
      </c>
      <c r="C22" s="80" t="s">
        <v>556</v>
      </c>
      <c r="D22" s="153" t="s">
        <v>557</v>
      </c>
      <c r="E22" s="80" t="s">
        <v>1137</v>
      </c>
      <c r="F22" s="257">
        <v>29391</v>
      </c>
      <c r="G22" s="394">
        <v>8.5</v>
      </c>
      <c r="H22" s="395">
        <v>8</v>
      </c>
      <c r="I22" s="395">
        <v>7.3</v>
      </c>
      <c r="J22" s="163">
        <f t="shared" si="0"/>
        <v>7.9333333333333336</v>
      </c>
      <c r="K22" s="77" t="str">
        <f t="shared" si="1"/>
        <v>Kha</v>
      </c>
      <c r="L22" s="227" t="str">
        <f t="shared" si="2"/>
        <v>VN</v>
      </c>
      <c r="M22" s="391"/>
    </row>
    <row r="23" spans="1:13" ht="15.75" thickTop="1">
      <c r="A23" s="396"/>
      <c r="B23" s="346"/>
      <c r="C23" s="346"/>
      <c r="D23" s="346"/>
      <c r="E23" s="346"/>
      <c r="F23" s="397"/>
      <c r="G23" s="398"/>
      <c r="H23" s="399"/>
      <c r="I23" s="398"/>
      <c r="J23" s="400"/>
      <c r="K23" s="401"/>
      <c r="L23" s="401"/>
      <c r="M23" s="402"/>
    </row>
    <row r="24" spans="1:13" ht="28.5">
      <c r="A24" s="396"/>
      <c r="B24" s="403" t="s">
        <v>393</v>
      </c>
      <c r="C24" s="403" t="s">
        <v>496</v>
      </c>
      <c r="D24" s="404" t="s">
        <v>1648</v>
      </c>
      <c r="E24" s="403" t="s">
        <v>496</v>
      </c>
      <c r="F24" s="405"/>
      <c r="G24" s="403" t="s">
        <v>600</v>
      </c>
      <c r="H24" s="404" t="s">
        <v>1691</v>
      </c>
      <c r="I24" s="403" t="s">
        <v>497</v>
      </c>
      <c r="K24" s="403" t="s">
        <v>496</v>
      </c>
      <c r="L24" s="403" t="s">
        <v>2143</v>
      </c>
      <c r="M24" s="402"/>
    </row>
    <row r="25" spans="1:13">
      <c r="B25" s="406" t="s">
        <v>444</v>
      </c>
      <c r="C25" s="406" t="s">
        <v>94</v>
      </c>
      <c r="D25" s="406" t="s">
        <v>2487</v>
      </c>
      <c r="E25" s="406" t="s">
        <v>1137</v>
      </c>
      <c r="F25" s="407"/>
      <c r="G25" s="406" t="s">
        <v>722</v>
      </c>
      <c r="H25" s="406" t="s">
        <v>722</v>
      </c>
      <c r="I25" s="406" t="s">
        <v>722</v>
      </c>
      <c r="K25" s="406" t="s">
        <v>94</v>
      </c>
      <c r="L25" s="408" t="s">
        <v>2485</v>
      </c>
    </row>
    <row r="26" spans="1:13">
      <c r="E26" s="407"/>
      <c r="F26" s="407"/>
      <c r="K26" s="406" t="s">
        <v>94</v>
      </c>
      <c r="L26" s="408" t="s">
        <v>2486</v>
      </c>
    </row>
    <row r="27" spans="1:13">
      <c r="E27" s="407"/>
      <c r="F27" s="407"/>
      <c r="K27" s="407"/>
      <c r="L27" s="346"/>
    </row>
    <row r="28" spans="1:13" ht="16.5" thickBot="1">
      <c r="A28" s="962" t="s">
        <v>2399</v>
      </c>
      <c r="B28" s="962"/>
      <c r="C28" s="962"/>
      <c r="D28" s="962"/>
      <c r="E28" s="962"/>
      <c r="F28" s="962"/>
      <c r="G28" s="962"/>
      <c r="H28" s="962"/>
      <c r="I28" s="962"/>
      <c r="J28" s="962"/>
      <c r="K28" s="962"/>
      <c r="L28" s="962"/>
    </row>
    <row r="29" spans="1:13" ht="16.5" thickTop="1">
      <c r="A29" s="1045" t="s">
        <v>1725</v>
      </c>
      <c r="B29" s="1046"/>
      <c r="C29" s="1046"/>
      <c r="D29" s="1047"/>
      <c r="E29" s="410">
        <f>COUNTA(B3:B22)</f>
        <v>20</v>
      </c>
      <c r="F29" s="226"/>
      <c r="G29" s="1045" t="s">
        <v>1726</v>
      </c>
      <c r="H29" s="1046"/>
      <c r="I29" s="1046"/>
      <c r="J29" s="1046"/>
      <c r="K29" s="1047"/>
      <c r="L29" s="410">
        <f>COUNTIF($K$3:$K$22,"Kha")+COUNTIF($K$3:$K$22,"Gioi")</f>
        <v>10</v>
      </c>
    </row>
    <row r="30" spans="1:13" ht="15.75">
      <c r="A30" s="1042" t="s">
        <v>1727</v>
      </c>
      <c r="B30" s="1043"/>
      <c r="C30" s="1043"/>
      <c r="D30" s="1044"/>
      <c r="E30" s="234">
        <f>COUNTIF($E$3:$E$22,"Nam")</f>
        <v>9</v>
      </c>
      <c r="F30" s="226"/>
      <c r="G30" s="1042" t="s">
        <v>1728</v>
      </c>
      <c r="H30" s="1043"/>
      <c r="I30" s="1043"/>
      <c r="J30" s="1043"/>
      <c r="K30" s="1044"/>
      <c r="L30" s="234">
        <f>COUNTIFS($E$3:$E$22,$E$3,$K$3:$K$22,"Kha")+COUNTIFS($E$3:$E$22,$E$3,$K$3:$K$22,"Gioi")</f>
        <v>6</v>
      </c>
    </row>
    <row r="31" spans="1:13" ht="15.75">
      <c r="A31" s="1042" t="s">
        <v>1733</v>
      </c>
      <c r="B31" s="1043"/>
      <c r="C31" s="1043"/>
      <c r="D31" s="1044"/>
      <c r="E31" s="234">
        <f>COUNTIF($J$3:$J$22,"&lt;5")</f>
        <v>2</v>
      </c>
      <c r="F31" s="226"/>
      <c r="G31" s="1042" t="s">
        <v>1729</v>
      </c>
      <c r="H31" s="1043"/>
      <c r="I31" s="1043"/>
      <c r="J31" s="1043"/>
      <c r="K31" s="1044"/>
      <c r="L31" s="411">
        <f>AVERAGEIF($E$3:$E$22,$E$4,$J$3:$J$22)</f>
        <v>6.7037037037037051</v>
      </c>
    </row>
    <row r="32" spans="1:13" ht="15.75">
      <c r="A32" s="1042" t="s">
        <v>1734</v>
      </c>
      <c r="B32" s="1043"/>
      <c r="C32" s="1043"/>
      <c r="D32" s="1044"/>
      <c r="E32" s="234">
        <f>COUNTIFS($E$3:$E$22,$E$3,$J$3:$J$22,"&lt;5")</f>
        <v>1</v>
      </c>
      <c r="F32" s="226"/>
      <c r="G32" s="1042" t="s">
        <v>1735</v>
      </c>
      <c r="H32" s="1043"/>
      <c r="I32" s="1043"/>
      <c r="J32" s="1043"/>
      <c r="K32" s="1044"/>
      <c r="L32" s="234">
        <f>COUNTIFS($G$3:$G$22,"&gt;=8",$H$3:$H$22,"&gt;=8",$I$3:$I$22,"&gt;=8")</f>
        <v>2</v>
      </c>
    </row>
    <row r="33" spans="1:13" ht="15.75">
      <c r="A33" s="1042" t="s">
        <v>1730</v>
      </c>
      <c r="B33" s="1043"/>
      <c r="C33" s="1043"/>
      <c r="D33" s="1044"/>
      <c r="E33" s="234">
        <f>COUNTIF($K$3:$K$22,"Kem")</f>
        <v>2</v>
      </c>
      <c r="F33" s="226"/>
      <c r="G33" s="1042" t="s">
        <v>1702</v>
      </c>
      <c r="H33" s="1043"/>
      <c r="I33" s="1043"/>
      <c r="J33" s="1043"/>
      <c r="K33" s="1044"/>
      <c r="L33" s="234">
        <f>COUNTIFS($E$3:$E$22,"Nam",$L$3:$L$22,"USA")</f>
        <v>1</v>
      </c>
    </row>
    <row r="34" spans="1:13" ht="16.5" thickBot="1">
      <c r="A34" s="1048" t="s">
        <v>1731</v>
      </c>
      <c r="B34" s="1049"/>
      <c r="C34" s="1049"/>
      <c r="D34" s="1050"/>
      <c r="E34" s="236">
        <f>COUNTIFS($E$3:$E$22,$E$3,$K$3:$K$22,"Kem")</f>
        <v>1</v>
      </c>
      <c r="F34" s="226"/>
      <c r="G34" s="1048" t="s">
        <v>1703</v>
      </c>
      <c r="H34" s="1049"/>
      <c r="I34" s="1049"/>
      <c r="J34" s="1049"/>
      <c r="K34" s="1050"/>
      <c r="L34" s="236">
        <f>COUNTIF($L$3:$L$22,"USA")-L33</f>
        <v>2</v>
      </c>
    </row>
    <row r="35" spans="1:13" ht="16.5" thickTop="1">
      <c r="B35" s="12"/>
      <c r="C35" s="12"/>
      <c r="D35" s="12"/>
      <c r="E35" s="319"/>
      <c r="F35" s="12"/>
      <c r="G35" s="12"/>
      <c r="H35" s="104"/>
      <c r="I35" s="12"/>
      <c r="J35" s="12"/>
      <c r="K35" s="12"/>
      <c r="L35" s="12"/>
      <c r="M35" s="12"/>
    </row>
    <row r="36" spans="1:13" ht="15.75">
      <c r="A36" s="348" t="s">
        <v>1708</v>
      </c>
      <c r="F36" s="12"/>
      <c r="G36" s="12"/>
      <c r="H36" s="104"/>
      <c r="I36" s="12"/>
      <c r="J36" s="12"/>
      <c r="K36" s="12"/>
      <c r="L36" s="12"/>
      <c r="M36" s="12"/>
    </row>
    <row r="37" spans="1:13">
      <c r="B37" s="348" t="s">
        <v>1717</v>
      </c>
    </row>
    <row r="38" spans="1:13">
      <c r="B38" s="348" t="s">
        <v>1709</v>
      </c>
    </row>
    <row r="39" spans="1:13">
      <c r="B39" s="348" t="s">
        <v>1716</v>
      </c>
    </row>
    <row r="40" spans="1:13">
      <c r="B40" s="348" t="s">
        <v>1732</v>
      </c>
    </row>
    <row r="41" spans="1:13">
      <c r="A41" s="348" t="s">
        <v>1710</v>
      </c>
    </row>
    <row r="42" spans="1:13">
      <c r="B42" s="348" t="s">
        <v>1736</v>
      </c>
    </row>
    <row r="43" spans="1:13">
      <c r="A43" s="348" t="s">
        <v>1737</v>
      </c>
    </row>
  </sheetData>
  <mergeCells count="14">
    <mergeCell ref="A33:D33"/>
    <mergeCell ref="A1:L1"/>
    <mergeCell ref="A28:L28"/>
    <mergeCell ref="A29:D29"/>
    <mergeCell ref="A34:D34"/>
    <mergeCell ref="G29:K29"/>
    <mergeCell ref="G30:K30"/>
    <mergeCell ref="G31:K31"/>
    <mergeCell ref="G32:K32"/>
    <mergeCell ref="G34:K34"/>
    <mergeCell ref="G33:K33"/>
    <mergeCell ref="A30:D30"/>
    <mergeCell ref="A31:D31"/>
    <mergeCell ref="A32:D32"/>
  </mergeCells>
  <phoneticPr fontId="0" type="noConversion"/>
  <pageMargins left="0.75" right="0.75" top="1" bottom="1" header="0.5" footer="0.5"/>
  <pageSetup paperSize="9" orientation="portrait" r:id="rId1"/>
  <headerFooter alignWithMargins="0">
    <oddFooter>&amp;A</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H29"/>
  <sheetViews>
    <sheetView showGridLines="0" workbookViewId="0">
      <selection activeCell="H11" sqref="H11"/>
    </sheetView>
  </sheetViews>
  <sheetFormatPr defaultColWidth="7.75" defaultRowHeight="15.75"/>
  <cols>
    <col min="1" max="1" width="4.125" style="12" customWidth="1"/>
    <col min="2" max="2" width="10.625" style="12" customWidth="1"/>
    <col min="3" max="3" width="8.75" style="12" customWidth="1"/>
    <col min="4" max="4" width="10.875" style="12" customWidth="1"/>
    <col min="5" max="5" width="10.75" style="12" customWidth="1"/>
    <col min="6" max="6" width="11.75" style="12" customWidth="1"/>
    <col min="7" max="8" width="9.625" style="12" customWidth="1"/>
    <col min="9" max="9" width="10.875" style="12" customWidth="1"/>
    <col min="10" max="16384" width="7.75" style="12"/>
  </cols>
  <sheetData>
    <row r="1" spans="1:8" ht="24" customHeight="1" thickBot="1">
      <c r="A1" s="927" t="s">
        <v>1742</v>
      </c>
      <c r="B1" s="927"/>
      <c r="C1" s="927"/>
      <c r="D1" s="927"/>
      <c r="E1" s="927"/>
      <c r="F1" s="927"/>
      <c r="G1" s="927"/>
      <c r="H1" s="927"/>
    </row>
    <row r="2" spans="1:8" ht="17.25" thickTop="1" thickBot="1">
      <c r="A2" s="412" t="s">
        <v>1017</v>
      </c>
      <c r="B2" s="413" t="s">
        <v>1750</v>
      </c>
      <c r="C2" s="414" t="s">
        <v>2059</v>
      </c>
      <c r="D2" s="414" t="s">
        <v>1751</v>
      </c>
      <c r="E2" s="414" t="s">
        <v>1745</v>
      </c>
      <c r="F2" s="414" t="s">
        <v>688</v>
      </c>
      <c r="G2" s="413" t="s">
        <v>1743</v>
      </c>
      <c r="H2" s="415" t="s">
        <v>666</v>
      </c>
    </row>
    <row r="3" spans="1:8" ht="16.5" thickTop="1">
      <c r="A3" s="416">
        <v>1</v>
      </c>
      <c r="B3" s="417">
        <v>36435</v>
      </c>
      <c r="C3" s="418" t="s">
        <v>619</v>
      </c>
      <c r="D3" s="418" t="s">
        <v>422</v>
      </c>
      <c r="E3" s="419" t="s">
        <v>1753</v>
      </c>
      <c r="F3" s="420">
        <v>2455</v>
      </c>
      <c r="G3" s="421">
        <f>IF(D3=$D$3,11%*F3,IF(D3=$D$4,8.2%*F3,IF(D3=$D$5,14%*F3,5%*F3)))</f>
        <v>270.05</v>
      </c>
      <c r="H3" s="912">
        <f>IF(G3&lt;200,5%*G3,IF(G3&lt;=500,10%*G3,IF(G3&lt;=1000,15%*G3,20%*G3)))</f>
        <v>27.005000000000003</v>
      </c>
    </row>
    <row r="4" spans="1:8">
      <c r="A4" s="422">
        <v>2</v>
      </c>
      <c r="B4" s="423">
        <v>36442</v>
      </c>
      <c r="C4" s="424" t="s">
        <v>1644</v>
      </c>
      <c r="D4" s="424" t="s">
        <v>2406</v>
      </c>
      <c r="E4" s="425" t="s">
        <v>569</v>
      </c>
      <c r="F4" s="426">
        <v>3214</v>
      </c>
      <c r="G4" s="421">
        <f t="shared" ref="G4:G17" si="0">IF(D4=$D$3,11%*F4,IF(D4=$D$4,8.2%*F4,IF(D4=$D$5,14%*F4,5%*F4)))</f>
        <v>263.54799999999994</v>
      </c>
      <c r="H4" s="912">
        <f t="shared" ref="H4:H17" si="1">IF(G4&lt;200,5%*G4,IF(G4&lt;=500,10%*G4,IF(G4&lt;=1000,15%*G4,20%*G4)))</f>
        <v>26.354799999999997</v>
      </c>
    </row>
    <row r="5" spans="1:8">
      <c r="A5" s="422">
        <v>3</v>
      </c>
      <c r="B5" s="423">
        <v>36449</v>
      </c>
      <c r="C5" s="424" t="s">
        <v>2329</v>
      </c>
      <c r="D5" s="424" t="s">
        <v>1956</v>
      </c>
      <c r="E5" s="425" t="s">
        <v>569</v>
      </c>
      <c r="F5" s="426">
        <v>2132</v>
      </c>
      <c r="G5" s="421">
        <f t="shared" si="0"/>
        <v>298.48</v>
      </c>
      <c r="H5" s="912">
        <f t="shared" si="1"/>
        <v>29.848000000000003</v>
      </c>
    </row>
    <row r="6" spans="1:8">
      <c r="A6" s="422">
        <v>4</v>
      </c>
      <c r="B6" s="423">
        <v>36455</v>
      </c>
      <c r="C6" s="424" t="s">
        <v>1644</v>
      </c>
      <c r="D6" s="424" t="s">
        <v>1956</v>
      </c>
      <c r="E6" s="425" t="s">
        <v>569</v>
      </c>
      <c r="F6" s="426">
        <v>3673</v>
      </c>
      <c r="G6" s="421">
        <f t="shared" si="0"/>
        <v>514.22</v>
      </c>
      <c r="H6" s="912">
        <f t="shared" si="1"/>
        <v>77.132999999999996</v>
      </c>
    </row>
    <row r="7" spans="1:8">
      <c r="A7" s="422">
        <v>5</v>
      </c>
      <c r="B7" s="423">
        <v>36467</v>
      </c>
      <c r="C7" s="424" t="s">
        <v>2329</v>
      </c>
      <c r="D7" s="424" t="s">
        <v>2404</v>
      </c>
      <c r="E7" s="425" t="s">
        <v>1753</v>
      </c>
      <c r="F7" s="426">
        <v>4356</v>
      </c>
      <c r="G7" s="421">
        <f t="shared" si="0"/>
        <v>217.8</v>
      </c>
      <c r="H7" s="912">
        <f t="shared" si="1"/>
        <v>21.78</v>
      </c>
    </row>
    <row r="8" spans="1:8">
      <c r="A8" s="422">
        <v>6</v>
      </c>
      <c r="B8" s="423">
        <v>36476</v>
      </c>
      <c r="C8" s="424" t="s">
        <v>619</v>
      </c>
      <c r="D8" s="424" t="s">
        <v>422</v>
      </c>
      <c r="E8" s="425" t="s">
        <v>569</v>
      </c>
      <c r="F8" s="426">
        <v>3293</v>
      </c>
      <c r="G8" s="421">
        <f t="shared" si="0"/>
        <v>362.23</v>
      </c>
      <c r="H8" s="912">
        <f t="shared" si="1"/>
        <v>36.223000000000006</v>
      </c>
    </row>
    <row r="9" spans="1:8">
      <c r="A9" s="422">
        <v>7</v>
      </c>
      <c r="B9" s="423">
        <v>36479</v>
      </c>
      <c r="C9" s="424" t="s">
        <v>2329</v>
      </c>
      <c r="D9" s="424" t="s">
        <v>1956</v>
      </c>
      <c r="E9" s="425" t="s">
        <v>569</v>
      </c>
      <c r="F9" s="426">
        <v>7431</v>
      </c>
      <c r="G9" s="421">
        <f t="shared" si="0"/>
        <v>1040.3400000000001</v>
      </c>
      <c r="H9" s="912">
        <f t="shared" si="1"/>
        <v>208.06800000000004</v>
      </c>
    </row>
    <row r="10" spans="1:8">
      <c r="A10" s="422">
        <v>8</v>
      </c>
      <c r="B10" s="423">
        <v>36481</v>
      </c>
      <c r="C10" s="424" t="s">
        <v>1644</v>
      </c>
      <c r="D10" s="424" t="s">
        <v>2404</v>
      </c>
      <c r="E10" s="425" t="s">
        <v>1753</v>
      </c>
      <c r="F10" s="426">
        <v>886</v>
      </c>
      <c r="G10" s="421">
        <f t="shared" si="0"/>
        <v>44.300000000000004</v>
      </c>
      <c r="H10" s="912">
        <f t="shared" si="1"/>
        <v>2.2150000000000003</v>
      </c>
    </row>
    <row r="11" spans="1:8">
      <c r="A11" s="422">
        <v>9</v>
      </c>
      <c r="B11" s="423">
        <v>36487</v>
      </c>
      <c r="C11" s="424" t="s">
        <v>2329</v>
      </c>
      <c r="D11" s="424" t="s">
        <v>2406</v>
      </c>
      <c r="E11" s="425" t="s">
        <v>569</v>
      </c>
      <c r="F11" s="426">
        <v>2365</v>
      </c>
      <c r="G11" s="421">
        <f t="shared" si="0"/>
        <v>193.92999999999998</v>
      </c>
      <c r="H11" s="912">
        <f t="shared" si="1"/>
        <v>9.6965000000000003</v>
      </c>
    </row>
    <row r="12" spans="1:8">
      <c r="A12" s="422">
        <v>10</v>
      </c>
      <c r="B12" s="423">
        <v>36498</v>
      </c>
      <c r="C12" s="424" t="s">
        <v>619</v>
      </c>
      <c r="D12" s="424" t="s">
        <v>422</v>
      </c>
      <c r="E12" s="425" t="s">
        <v>1753</v>
      </c>
      <c r="F12" s="426">
        <v>7481</v>
      </c>
      <c r="G12" s="421">
        <f t="shared" si="0"/>
        <v>822.91</v>
      </c>
      <c r="H12" s="912">
        <f t="shared" si="1"/>
        <v>123.4365</v>
      </c>
    </row>
    <row r="13" spans="1:8">
      <c r="A13" s="422">
        <v>11</v>
      </c>
      <c r="B13" s="423">
        <v>36500</v>
      </c>
      <c r="C13" s="424" t="s">
        <v>619</v>
      </c>
      <c r="D13" s="424" t="s">
        <v>2406</v>
      </c>
      <c r="E13" s="425" t="s">
        <v>1753</v>
      </c>
      <c r="F13" s="426">
        <v>2196</v>
      </c>
      <c r="G13" s="421">
        <f t="shared" si="0"/>
        <v>180.07199999999997</v>
      </c>
      <c r="H13" s="912">
        <f t="shared" si="1"/>
        <v>9.0035999999999987</v>
      </c>
    </row>
    <row r="14" spans="1:8">
      <c r="A14" s="422">
        <v>12</v>
      </c>
      <c r="B14" s="423">
        <v>36455</v>
      </c>
      <c r="C14" s="424" t="s">
        <v>2329</v>
      </c>
      <c r="D14" s="424" t="s">
        <v>2404</v>
      </c>
      <c r="E14" s="425" t="s">
        <v>569</v>
      </c>
      <c r="F14" s="426">
        <v>2356</v>
      </c>
      <c r="G14" s="421">
        <f t="shared" si="0"/>
        <v>117.80000000000001</v>
      </c>
      <c r="H14" s="912">
        <f t="shared" si="1"/>
        <v>5.8900000000000006</v>
      </c>
    </row>
    <row r="15" spans="1:8">
      <c r="A15" s="422">
        <v>13</v>
      </c>
      <c r="B15" s="423">
        <v>36506</v>
      </c>
      <c r="C15" s="424" t="s">
        <v>1644</v>
      </c>
      <c r="D15" s="424" t="s">
        <v>2404</v>
      </c>
      <c r="E15" s="425" t="s">
        <v>1753</v>
      </c>
      <c r="F15" s="426">
        <v>2167</v>
      </c>
      <c r="G15" s="421">
        <f t="shared" si="0"/>
        <v>108.35000000000001</v>
      </c>
      <c r="H15" s="912">
        <f t="shared" si="1"/>
        <v>5.4175000000000004</v>
      </c>
    </row>
    <row r="16" spans="1:8">
      <c r="A16" s="422">
        <v>14</v>
      </c>
      <c r="B16" s="423">
        <v>36150</v>
      </c>
      <c r="C16" s="424" t="s">
        <v>1644</v>
      </c>
      <c r="D16" s="424" t="s">
        <v>1956</v>
      </c>
      <c r="E16" s="425" t="s">
        <v>1753</v>
      </c>
      <c r="F16" s="426">
        <v>3245</v>
      </c>
      <c r="G16" s="421">
        <f t="shared" si="0"/>
        <v>454.30000000000007</v>
      </c>
      <c r="H16" s="912">
        <f t="shared" si="1"/>
        <v>45.430000000000007</v>
      </c>
    </row>
    <row r="17" spans="1:8" ht="16.5" thickBot="1">
      <c r="A17" s="427">
        <v>15</v>
      </c>
      <c r="B17" s="428">
        <v>36155</v>
      </c>
      <c r="C17" s="429" t="s">
        <v>2329</v>
      </c>
      <c r="D17" s="429" t="s">
        <v>2404</v>
      </c>
      <c r="E17" s="430" t="s">
        <v>1753</v>
      </c>
      <c r="F17" s="431">
        <v>1286</v>
      </c>
      <c r="G17" s="421">
        <f t="shared" si="0"/>
        <v>64.3</v>
      </c>
      <c r="H17" s="912">
        <f t="shared" si="1"/>
        <v>3.2149999999999999</v>
      </c>
    </row>
    <row r="18" spans="1:8" ht="16.5" thickTop="1"/>
    <row r="19" spans="1:8">
      <c r="A19" s="432" t="s">
        <v>1752</v>
      </c>
      <c r="C19" s="432"/>
      <c r="D19" s="433"/>
      <c r="E19" s="433"/>
      <c r="F19" s="433"/>
    </row>
    <row r="20" spans="1:8">
      <c r="B20" s="434" t="s">
        <v>1754</v>
      </c>
      <c r="D20" s="435"/>
      <c r="E20" s="435"/>
      <c r="F20" s="433"/>
    </row>
    <row r="21" spans="1:8">
      <c r="B21" s="434" t="s">
        <v>1749</v>
      </c>
      <c r="D21" s="435"/>
      <c r="E21" s="435"/>
      <c r="F21" s="433"/>
    </row>
    <row r="22" spans="1:8">
      <c r="B22" s="434" t="s">
        <v>1741</v>
      </c>
      <c r="D22" s="435"/>
      <c r="E22" s="435"/>
      <c r="F22" s="433"/>
    </row>
    <row r="23" spans="1:8">
      <c r="B23" s="434" t="s">
        <v>1744</v>
      </c>
      <c r="D23" s="435"/>
      <c r="E23" s="435"/>
      <c r="F23" s="433"/>
    </row>
    <row r="24" spans="1:8">
      <c r="A24" s="432" t="s">
        <v>1756</v>
      </c>
      <c r="C24" s="432"/>
      <c r="D24" s="433"/>
      <c r="E24" s="433"/>
      <c r="F24" s="433"/>
    </row>
    <row r="25" spans="1:8">
      <c r="B25" s="432" t="s">
        <v>1746</v>
      </c>
      <c r="D25" s="436"/>
      <c r="E25" s="433"/>
      <c r="F25" s="433"/>
    </row>
    <row r="26" spans="1:8">
      <c r="B26" s="432" t="s">
        <v>1747</v>
      </c>
      <c r="D26" s="433"/>
      <c r="E26" s="433"/>
      <c r="F26" s="433"/>
    </row>
    <row r="27" spans="1:8">
      <c r="B27" s="432" t="s">
        <v>1748</v>
      </c>
      <c r="D27" s="433"/>
      <c r="E27" s="433"/>
      <c r="F27" s="433"/>
    </row>
    <row r="28" spans="1:8">
      <c r="B28" s="432" t="s">
        <v>1755</v>
      </c>
      <c r="D28" s="433"/>
      <c r="E28" s="433"/>
      <c r="F28" s="433"/>
    </row>
    <row r="29" spans="1:8">
      <c r="A29" s="26" t="s">
        <v>1847</v>
      </c>
    </row>
  </sheetData>
  <mergeCells count="1">
    <mergeCell ref="A1:H1"/>
  </mergeCells>
  <phoneticPr fontId="0" type="noConversion"/>
  <pageMargins left="0.75" right="0.75" top="1" bottom="1" header="0.5" footer="0.5"/>
  <pageSetup paperSize="9" orientation="portrait" r:id="rId1"/>
  <headerFooter alignWithMargins="0">
    <oddFooter>&amp;A</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K35"/>
  <sheetViews>
    <sheetView showGridLines="0" topLeftCell="A13" workbookViewId="0">
      <selection activeCell="C24" sqref="C24"/>
    </sheetView>
  </sheetViews>
  <sheetFormatPr defaultRowHeight="15.75"/>
  <cols>
    <col min="1" max="1" width="4.5" style="12" customWidth="1"/>
    <col min="2" max="2" width="9.5" style="12" customWidth="1"/>
    <col min="3" max="3" width="14.75" style="12" customWidth="1"/>
    <col min="4" max="4" width="10.875" style="12" customWidth="1"/>
    <col min="5" max="5" width="9" style="12" customWidth="1"/>
    <col min="6" max="6" width="7.5" style="12" customWidth="1"/>
    <col min="7" max="7" width="9" style="12" customWidth="1"/>
    <col min="8" max="8" width="10.375" style="12" customWidth="1"/>
    <col min="9" max="16384" width="9" style="12"/>
  </cols>
  <sheetData>
    <row r="1" spans="1:11" ht="24" customHeight="1" thickBot="1">
      <c r="A1" s="927" t="s">
        <v>1857</v>
      </c>
      <c r="B1" s="927"/>
      <c r="C1" s="927"/>
      <c r="D1" s="927"/>
      <c r="E1" s="927"/>
      <c r="F1" s="927"/>
      <c r="G1" s="927"/>
      <c r="H1" s="927"/>
    </row>
    <row r="2" spans="1:11" ht="17.25" thickTop="1" thickBot="1">
      <c r="A2" s="237" t="s">
        <v>1017</v>
      </c>
      <c r="B2" s="238" t="s">
        <v>1856</v>
      </c>
      <c r="C2" s="238" t="s">
        <v>150</v>
      </c>
      <c r="D2" s="238" t="s">
        <v>152</v>
      </c>
      <c r="E2" s="238" t="s">
        <v>238</v>
      </c>
      <c r="F2" s="238" t="s">
        <v>1849</v>
      </c>
      <c r="G2" s="238" t="s">
        <v>687</v>
      </c>
      <c r="H2" s="239" t="s">
        <v>151</v>
      </c>
    </row>
    <row r="3" spans="1:11" ht="16.5" thickTop="1">
      <c r="A3" s="17">
        <v>1</v>
      </c>
      <c r="B3" s="18" t="s">
        <v>727</v>
      </c>
      <c r="C3" s="77" t="str">
        <f>VLOOKUP(LEFT(B3,1)&amp;RIGHT(B3,2),$B$16:$E$20,2,0)</f>
        <v>Đĩa mềm 1.2Mb</v>
      </c>
      <c r="D3" s="255">
        <v>36136</v>
      </c>
      <c r="E3" s="77" t="str">
        <f>VLOOKUP(LEFT(B3,1)&amp;RIGHT(B3,2),$B$16:$E$20,3,0)</f>
        <v xml:space="preserve">Thùng </v>
      </c>
      <c r="F3" s="19">
        <v>5</v>
      </c>
      <c r="G3" s="219">
        <f>VLOOKUP(LEFT(B3,1)&amp;RIGHT(B3,2),$B$16:$E$20,4,0)</f>
        <v>120</v>
      </c>
      <c r="H3" s="78">
        <f>F3*G3</f>
        <v>600</v>
      </c>
    </row>
    <row r="4" spans="1:11">
      <c r="A4" s="23">
        <v>2</v>
      </c>
      <c r="B4" s="24" t="s">
        <v>728</v>
      </c>
      <c r="C4" s="77" t="str">
        <f t="shared" ref="C4:C12" si="0">VLOOKUP(LEFT(B4,1)&amp;RIGHT(B4,2),$B$16:$E$20,2,0)</f>
        <v>Đĩa cứng 3.2Mb</v>
      </c>
      <c r="D4" s="256">
        <v>36141</v>
      </c>
      <c r="E4" s="77" t="str">
        <f t="shared" ref="E4:E12" si="1">VLOOKUP(LEFT(B4,1)&amp;RIGHT(B4,2),$B$16:$E$20,3,0)</f>
        <v>Cái</v>
      </c>
      <c r="F4" s="25">
        <v>2</v>
      </c>
      <c r="G4" s="219">
        <f t="shared" ref="G4:G12" si="2">VLOOKUP(LEFT(B4,1)&amp;RIGHT(B4,2),$B$16:$E$20,4,0)</f>
        <v>120</v>
      </c>
      <c r="H4" s="78">
        <f t="shared" ref="H4:H12" si="3">F4*G4</f>
        <v>240</v>
      </c>
    </row>
    <row r="5" spans="1:11">
      <c r="A5" s="23">
        <v>3</v>
      </c>
      <c r="B5" s="24" t="s">
        <v>729</v>
      </c>
      <c r="C5" s="77" t="str">
        <f t="shared" si="0"/>
        <v>Đĩa CD 740Mb</v>
      </c>
      <c r="D5" s="256">
        <v>36137</v>
      </c>
      <c r="E5" s="77" t="str">
        <f t="shared" si="1"/>
        <v xml:space="preserve">Thùng </v>
      </c>
      <c r="F5" s="25">
        <v>12</v>
      </c>
      <c r="G5" s="219">
        <f t="shared" si="2"/>
        <v>200</v>
      </c>
      <c r="H5" s="78">
        <f t="shared" si="3"/>
        <v>2400</v>
      </c>
    </row>
    <row r="6" spans="1:11">
      <c r="A6" s="23">
        <v>4</v>
      </c>
      <c r="B6" s="24" t="s">
        <v>730</v>
      </c>
      <c r="C6" s="77" t="str">
        <f t="shared" si="0"/>
        <v>Đĩa mềm 1.4Mb</v>
      </c>
      <c r="D6" s="256">
        <v>36138</v>
      </c>
      <c r="E6" s="77" t="str">
        <f t="shared" si="1"/>
        <v xml:space="preserve">Thùng </v>
      </c>
      <c r="F6" s="25">
        <v>7</v>
      </c>
      <c r="G6" s="219">
        <f t="shared" si="2"/>
        <v>140</v>
      </c>
      <c r="H6" s="78">
        <f t="shared" si="3"/>
        <v>980</v>
      </c>
    </row>
    <row r="7" spans="1:11">
      <c r="A7" s="23">
        <v>5</v>
      </c>
      <c r="B7" s="24" t="s">
        <v>728</v>
      </c>
      <c r="C7" s="77" t="str">
        <f t="shared" si="0"/>
        <v>Đĩa cứng 3.2Mb</v>
      </c>
      <c r="D7" s="256">
        <v>36140</v>
      </c>
      <c r="E7" s="77" t="str">
        <f t="shared" si="1"/>
        <v>Cái</v>
      </c>
      <c r="F7" s="25">
        <v>3</v>
      </c>
      <c r="G7" s="219">
        <f t="shared" si="2"/>
        <v>120</v>
      </c>
      <c r="H7" s="78">
        <f t="shared" si="3"/>
        <v>360</v>
      </c>
    </row>
    <row r="8" spans="1:11">
      <c r="A8" s="23">
        <v>6</v>
      </c>
      <c r="B8" s="24" t="s">
        <v>729</v>
      </c>
      <c r="C8" s="77" t="str">
        <f t="shared" si="0"/>
        <v>Đĩa CD 740Mb</v>
      </c>
      <c r="D8" s="256">
        <v>36136</v>
      </c>
      <c r="E8" s="77" t="str">
        <f t="shared" si="1"/>
        <v xml:space="preserve">Thùng </v>
      </c>
      <c r="F8" s="25">
        <v>5</v>
      </c>
      <c r="G8" s="219">
        <f t="shared" si="2"/>
        <v>200</v>
      </c>
      <c r="H8" s="78">
        <f t="shared" si="3"/>
        <v>1000</v>
      </c>
    </row>
    <row r="9" spans="1:11">
      <c r="A9" s="23">
        <v>7</v>
      </c>
      <c r="B9" s="24" t="s">
        <v>727</v>
      </c>
      <c r="C9" s="77" t="str">
        <f t="shared" si="0"/>
        <v>Đĩa mềm 1.2Mb</v>
      </c>
      <c r="D9" s="256">
        <v>36139</v>
      </c>
      <c r="E9" s="77" t="str">
        <f t="shared" si="1"/>
        <v xml:space="preserve">Thùng </v>
      </c>
      <c r="F9" s="25">
        <v>6</v>
      </c>
      <c r="G9" s="219">
        <f t="shared" si="2"/>
        <v>120</v>
      </c>
      <c r="H9" s="78">
        <f t="shared" si="3"/>
        <v>720</v>
      </c>
    </row>
    <row r="10" spans="1:11">
      <c r="A10" s="23">
        <v>8</v>
      </c>
      <c r="B10" s="24" t="s">
        <v>729</v>
      </c>
      <c r="C10" s="77" t="str">
        <f t="shared" si="0"/>
        <v>Đĩa CD 740Mb</v>
      </c>
      <c r="D10" s="256">
        <v>36143</v>
      </c>
      <c r="E10" s="77" t="str">
        <f t="shared" si="1"/>
        <v xml:space="preserve">Thùng </v>
      </c>
      <c r="F10" s="25">
        <v>4</v>
      </c>
      <c r="G10" s="219">
        <f t="shared" si="2"/>
        <v>200</v>
      </c>
      <c r="H10" s="78">
        <f t="shared" si="3"/>
        <v>800</v>
      </c>
    </row>
    <row r="11" spans="1:11">
      <c r="A11" s="23">
        <v>9</v>
      </c>
      <c r="B11" s="24" t="s">
        <v>730</v>
      </c>
      <c r="C11" s="77" t="str">
        <f t="shared" si="0"/>
        <v>Đĩa mềm 1.4Mb</v>
      </c>
      <c r="D11" s="256">
        <v>36142</v>
      </c>
      <c r="E11" s="77" t="str">
        <f t="shared" si="1"/>
        <v xml:space="preserve">Thùng </v>
      </c>
      <c r="F11" s="25">
        <v>10</v>
      </c>
      <c r="G11" s="219">
        <f t="shared" si="2"/>
        <v>140</v>
      </c>
      <c r="H11" s="78">
        <f t="shared" si="3"/>
        <v>1400</v>
      </c>
    </row>
    <row r="12" spans="1:11" ht="16.5" thickBot="1">
      <c r="A12" s="99">
        <v>10</v>
      </c>
      <c r="B12" s="101" t="s">
        <v>727</v>
      </c>
      <c r="C12" s="77" t="str">
        <f t="shared" si="0"/>
        <v>Đĩa mềm 1.2Mb</v>
      </c>
      <c r="D12" s="355">
        <v>36143</v>
      </c>
      <c r="E12" s="77" t="str">
        <f t="shared" si="1"/>
        <v xml:space="preserve">Thùng </v>
      </c>
      <c r="F12" s="100">
        <v>20</v>
      </c>
      <c r="G12" s="219">
        <f t="shared" si="2"/>
        <v>120</v>
      </c>
      <c r="H12" s="78">
        <f t="shared" si="3"/>
        <v>2400</v>
      </c>
    </row>
    <row r="13" spans="1:11" ht="26.25" customHeight="1" thickTop="1" thickBot="1">
      <c r="A13" s="1054" t="s">
        <v>254</v>
      </c>
      <c r="B13" s="1055"/>
      <c r="C13" s="1055"/>
      <c r="D13" s="1055"/>
      <c r="E13" s="1055"/>
      <c r="F13" s="1055"/>
      <c r="G13" s="1055"/>
      <c r="H13" s="159">
        <f>SUM(H3:H12)</f>
        <v>10900</v>
      </c>
    </row>
    <row r="14" spans="1:11" ht="16.5" thickTop="1">
      <c r="A14" s="258"/>
      <c r="B14" s="258"/>
      <c r="C14" s="258"/>
      <c r="D14" s="258"/>
      <c r="E14" s="258"/>
      <c r="F14" s="258"/>
      <c r="G14" s="258"/>
      <c r="H14" s="368"/>
    </row>
    <row r="15" spans="1:11" ht="16.5" thickBot="1">
      <c r="B15" s="1056" t="s">
        <v>1848</v>
      </c>
      <c r="C15" s="1056"/>
      <c r="D15" s="1056"/>
      <c r="E15" s="1056"/>
    </row>
    <row r="16" spans="1:11" ht="17.25" thickTop="1" thickBot="1">
      <c r="B16" s="237" t="s">
        <v>661</v>
      </c>
      <c r="C16" s="238" t="s">
        <v>1861</v>
      </c>
      <c r="D16" s="238" t="s">
        <v>238</v>
      </c>
      <c r="E16" s="239" t="s">
        <v>687</v>
      </c>
      <c r="I16" s="913" t="s">
        <v>150</v>
      </c>
      <c r="J16" s="913" t="s">
        <v>150</v>
      </c>
      <c r="K16" s="913" t="s">
        <v>150</v>
      </c>
    </row>
    <row r="17" spans="1:11" ht="16.5" thickTop="1">
      <c r="B17" s="437" t="s">
        <v>731</v>
      </c>
      <c r="C17" s="285" t="s">
        <v>1850</v>
      </c>
      <c r="D17" s="285" t="s">
        <v>1862</v>
      </c>
      <c r="E17" s="249">
        <v>140</v>
      </c>
      <c r="I17" s="24" t="str">
        <f>LEFT(C3,7)</f>
        <v>Đĩa mềm</v>
      </c>
      <c r="J17" s="24" t="str">
        <f>LEFT(C4,8)</f>
        <v>Đĩa cứng</v>
      </c>
      <c r="K17" s="24" t="str">
        <f>LEFT(C5,6)</f>
        <v>Đĩa CD</v>
      </c>
    </row>
    <row r="18" spans="1:11">
      <c r="B18" s="438" t="s">
        <v>732</v>
      </c>
      <c r="C18" s="287" t="s">
        <v>1851</v>
      </c>
      <c r="D18" s="287" t="s">
        <v>1862</v>
      </c>
      <c r="E18" s="250">
        <v>120</v>
      </c>
    </row>
    <row r="19" spans="1:11">
      <c r="B19" s="438" t="s">
        <v>733</v>
      </c>
      <c r="C19" s="287" t="s">
        <v>1852</v>
      </c>
      <c r="D19" s="287" t="s">
        <v>1862</v>
      </c>
      <c r="E19" s="250">
        <v>200</v>
      </c>
    </row>
    <row r="20" spans="1:11" ht="16.5" thickBot="1">
      <c r="B20" s="439" t="s">
        <v>734</v>
      </c>
      <c r="C20" s="289" t="s">
        <v>1853</v>
      </c>
      <c r="D20" s="289" t="s">
        <v>1858</v>
      </c>
      <c r="E20" s="251">
        <v>120</v>
      </c>
    </row>
    <row r="21" spans="1:11" ht="17.25" thickTop="1" thickBot="1">
      <c r="B21" s="258"/>
      <c r="C21" s="258"/>
      <c r="D21" s="258"/>
      <c r="E21" s="258"/>
    </row>
    <row r="22" spans="1:11" ht="16.5" thickTop="1">
      <c r="B22" s="1051" t="s">
        <v>1859</v>
      </c>
      <c r="C22" s="1052"/>
      <c r="D22" s="1053"/>
    </row>
    <row r="23" spans="1:11" ht="16.5" thickBot="1">
      <c r="B23" s="441" t="s">
        <v>1854</v>
      </c>
      <c r="C23" s="442" t="s">
        <v>1910</v>
      </c>
      <c r="D23" s="443" t="s">
        <v>1855</v>
      </c>
      <c r="F23" s="444" t="s">
        <v>1856</v>
      </c>
      <c r="G23" s="444" t="s">
        <v>1856</v>
      </c>
      <c r="H23" s="444" t="s">
        <v>1856</v>
      </c>
    </row>
    <row r="24" spans="1:11" ht="17.25" thickTop="1" thickBot="1">
      <c r="B24" s="445">
        <f>DSUM($A$2:$H$12,$H$2,$I$16:$I$17)</f>
        <v>6100</v>
      </c>
      <c r="C24" s="446">
        <f>DSUM($A$2:$H$12,$H$2,$J$16:$J$17)</f>
        <v>600</v>
      </c>
      <c r="D24" s="447">
        <f>DSUM($A$2:$H$12,$H$2,$K$16:$K$17)</f>
        <v>4200</v>
      </c>
      <c r="F24" s="448" t="s">
        <v>730</v>
      </c>
      <c r="G24" s="354" t="s">
        <v>728</v>
      </c>
      <c r="H24" s="354" t="s">
        <v>729</v>
      </c>
    </row>
    <row r="25" spans="1:11" ht="16.5" thickTop="1">
      <c r="B25" s="12" t="s">
        <v>1863</v>
      </c>
      <c r="F25" s="448" t="s">
        <v>727</v>
      </c>
    </row>
    <row r="26" spans="1:11" ht="16.5" thickBot="1"/>
    <row r="27" spans="1:11" ht="16.5" thickTop="1">
      <c r="B27" s="1051" t="s">
        <v>1859</v>
      </c>
      <c r="C27" s="1052"/>
      <c r="D27" s="1053"/>
    </row>
    <row r="28" spans="1:11" ht="16.5" thickBot="1">
      <c r="B28" s="441" t="s">
        <v>1854</v>
      </c>
      <c r="C28" s="442" t="s">
        <v>1910</v>
      </c>
      <c r="D28" s="443" t="s">
        <v>1855</v>
      </c>
    </row>
    <row r="29" spans="1:11" ht="17.25" thickTop="1" thickBot="1">
      <c r="B29" s="445">
        <f>SUMIF(B3:B12,"SD1M4",H3:H12)+SUMIF(B3:B12,"SD1M2",H3:H12)</f>
        <v>6100</v>
      </c>
      <c r="C29" s="446">
        <f>SUMIF(B3:B12,"HDM64",H3:H12)</f>
        <v>600</v>
      </c>
      <c r="D29" s="447">
        <f>SUMIF(B3:B12,"CDM74",H3:H12)</f>
        <v>4200</v>
      </c>
    </row>
    <row r="30" spans="1:11" ht="16.5" thickTop="1">
      <c r="B30" s="12" t="s">
        <v>1864</v>
      </c>
    </row>
    <row r="32" spans="1:11">
      <c r="A32" s="26" t="s">
        <v>1865</v>
      </c>
    </row>
    <row r="33" spans="1:1">
      <c r="A33" s="26" t="s">
        <v>1860</v>
      </c>
    </row>
    <row r="34" spans="1:1">
      <c r="A34" s="26" t="s">
        <v>1866</v>
      </c>
    </row>
    <row r="35" spans="1:1">
      <c r="A35" s="26" t="s">
        <v>1867</v>
      </c>
    </row>
  </sheetData>
  <mergeCells count="5">
    <mergeCell ref="B22:D22"/>
    <mergeCell ref="B27:D27"/>
    <mergeCell ref="A1:H1"/>
    <mergeCell ref="A13:G13"/>
    <mergeCell ref="B15:E15"/>
  </mergeCells>
  <phoneticPr fontId="0" type="noConversion"/>
  <pageMargins left="0.75" right="0.75" top="1" bottom="1" header="0.5" footer="0.5"/>
  <pageSetup orientation="portrait" horizontalDpi="1200" r:id="rId1"/>
  <headerFooter alignWithMargins="0">
    <oddFooter>&amp;A</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G30"/>
  <sheetViews>
    <sheetView showGridLines="0" workbookViewId="0">
      <selection activeCell="H18" sqref="H18"/>
    </sheetView>
  </sheetViews>
  <sheetFormatPr defaultRowHeight="15.75"/>
  <cols>
    <col min="1" max="1" width="9" style="12" customWidth="1"/>
    <col min="2" max="2" width="10.75" style="12" customWidth="1"/>
    <col min="3" max="3" width="15.625" style="12" bestFit="1" customWidth="1"/>
    <col min="4" max="4" width="7.25" style="12" customWidth="1"/>
    <col min="5" max="5" width="10.875" style="12" customWidth="1"/>
    <col min="6" max="6" width="8.5" style="12" customWidth="1"/>
    <col min="7" max="7" width="15.75" style="12" bestFit="1" customWidth="1"/>
    <col min="8" max="8" width="8.875" style="12" customWidth="1"/>
    <col min="9" max="16384" width="9" style="12"/>
  </cols>
  <sheetData>
    <row r="1" spans="1:7">
      <c r="A1" s="449" t="s">
        <v>1881</v>
      </c>
    </row>
    <row r="2" spans="1:7" ht="24" customHeight="1">
      <c r="A2" s="927" t="s">
        <v>1877</v>
      </c>
      <c r="B2" s="927"/>
      <c r="C2" s="927"/>
      <c r="D2" s="927"/>
      <c r="E2" s="927"/>
      <c r="F2" s="927"/>
      <c r="G2" s="927"/>
    </row>
    <row r="3" spans="1:7" ht="16.5" thickBot="1">
      <c r="A3" s="1057" t="s">
        <v>1878</v>
      </c>
      <c r="B3" s="1057"/>
      <c r="C3" s="1057"/>
      <c r="D3" s="1057"/>
      <c r="E3" s="1057"/>
      <c r="F3" s="1057"/>
      <c r="G3" s="1057"/>
    </row>
    <row r="4" spans="1:7" ht="33" thickTop="1" thickBot="1">
      <c r="A4" s="73" t="s">
        <v>1017</v>
      </c>
      <c r="B4" s="74" t="s">
        <v>1879</v>
      </c>
      <c r="C4" s="74" t="s">
        <v>1861</v>
      </c>
      <c r="D4" s="74" t="s">
        <v>1883</v>
      </c>
      <c r="E4" s="74" t="s">
        <v>681</v>
      </c>
      <c r="F4" s="74" t="s">
        <v>687</v>
      </c>
      <c r="G4" s="75" t="s">
        <v>151</v>
      </c>
    </row>
    <row r="5" spans="1:7" ht="16.5" thickTop="1">
      <c r="A5" s="17">
        <v>1</v>
      </c>
      <c r="B5" s="19" t="s">
        <v>1129</v>
      </c>
      <c r="C5" s="77" t="str">
        <f>VLOOKUP(LEFT(B5,1),$A$13:$C$16,2,0)&amp;VLOOKUP(RIGHT(B5,2),$E$13:$F$15,2,0)</f>
        <v>Gạch men Loại 1</v>
      </c>
      <c r="D5" s="77" t="str">
        <f>VLOOKUP(LEFT(B5,1),$A$13:$C$16,3,0)</f>
        <v>Viên</v>
      </c>
      <c r="E5" s="450">
        <v>1000</v>
      </c>
      <c r="F5" s="451">
        <f>INDEX($B$20:$C$22,MATCH(LEFT(B5,1),$A$20:$A$22,0),MATCH(RIGHT(B5,2),$B$19:$C$19,0))</f>
        <v>15000</v>
      </c>
      <c r="G5" s="452">
        <f>F5*E5</f>
        <v>15000000</v>
      </c>
    </row>
    <row r="6" spans="1:7">
      <c r="A6" s="23">
        <v>2</v>
      </c>
      <c r="B6" s="25" t="s">
        <v>1132</v>
      </c>
      <c r="C6" s="77" t="str">
        <f t="shared" ref="C6:C9" si="0">VLOOKUP(LEFT(B6,1),$A$13:$C$16,2,0)&amp;VLOOKUP(RIGHT(B6,2),$E$13:$F$15,2,0)</f>
        <v>Tôn Loại 1</v>
      </c>
      <c r="D6" s="77" t="str">
        <f t="shared" ref="D6:D9" si="1">VLOOKUP(LEFT(B6,1),$A$13:$C$16,3,0)</f>
        <v>Tấm</v>
      </c>
      <c r="E6" s="453">
        <v>80</v>
      </c>
      <c r="F6" s="451">
        <f t="shared" ref="F6:F9" si="2">INDEX($B$20:$C$22,MATCH(LEFT(B6,1),$A$20:$A$22,0),MATCH(RIGHT(B6,2),$B$19:$C$19,0))</f>
        <v>80000</v>
      </c>
      <c r="G6" s="452">
        <f t="shared" ref="G6:G9" si="3">F6*E6</f>
        <v>6400000</v>
      </c>
    </row>
    <row r="7" spans="1:7">
      <c r="A7" s="23">
        <v>3</v>
      </c>
      <c r="B7" s="25" t="s">
        <v>1130</v>
      </c>
      <c r="C7" s="77" t="str">
        <f t="shared" si="0"/>
        <v>Gạch men Loại 2</v>
      </c>
      <c r="D7" s="77" t="str">
        <f t="shared" si="1"/>
        <v>Viên</v>
      </c>
      <c r="E7" s="453">
        <v>1200</v>
      </c>
      <c r="F7" s="451">
        <f t="shared" si="2"/>
        <v>13000</v>
      </c>
      <c r="G7" s="452">
        <f t="shared" si="3"/>
        <v>15600000</v>
      </c>
    </row>
    <row r="8" spans="1:7">
      <c r="A8" s="23">
        <v>4</v>
      </c>
      <c r="B8" s="25" t="s">
        <v>1134</v>
      </c>
      <c r="C8" s="77" t="str">
        <f t="shared" si="0"/>
        <v>Xi măng Loại 1</v>
      </c>
      <c r="D8" s="77" t="str">
        <f t="shared" si="1"/>
        <v>Bao</v>
      </c>
      <c r="E8" s="453">
        <v>20</v>
      </c>
      <c r="F8" s="451">
        <f t="shared" si="2"/>
        <v>85000</v>
      </c>
      <c r="G8" s="452">
        <f t="shared" si="3"/>
        <v>1700000</v>
      </c>
    </row>
    <row r="9" spans="1:7" ht="16.5" thickBot="1">
      <c r="A9" s="79">
        <v>5</v>
      </c>
      <c r="B9" s="153" t="s">
        <v>1135</v>
      </c>
      <c r="C9" s="77" t="str">
        <f t="shared" si="0"/>
        <v>Xi măng Loại 2</v>
      </c>
      <c r="D9" s="77" t="str">
        <f t="shared" si="1"/>
        <v>Bao</v>
      </c>
      <c r="E9" s="454">
        <v>80</v>
      </c>
      <c r="F9" s="451">
        <f t="shared" si="2"/>
        <v>75000</v>
      </c>
      <c r="G9" s="452">
        <f t="shared" si="3"/>
        <v>6000000</v>
      </c>
    </row>
    <row r="10" spans="1:7" ht="16.5" thickTop="1">
      <c r="F10" s="451"/>
      <c r="G10" s="455"/>
    </row>
    <row r="12" spans="1:7" ht="16.5" thickBot="1">
      <c r="A12" s="1012" t="s">
        <v>1872</v>
      </c>
      <c r="B12" s="1012"/>
      <c r="C12" s="1012"/>
      <c r="E12" s="1012" t="s">
        <v>1873</v>
      </c>
      <c r="F12" s="1012"/>
    </row>
    <row r="13" spans="1:7" ht="33" thickTop="1" thickBot="1">
      <c r="A13" s="73" t="s">
        <v>1874</v>
      </c>
      <c r="B13" s="74" t="s">
        <v>1868</v>
      </c>
      <c r="C13" s="75" t="s">
        <v>1883</v>
      </c>
      <c r="E13" s="73" t="s">
        <v>1875</v>
      </c>
      <c r="F13" s="75" t="s">
        <v>1876</v>
      </c>
    </row>
    <row r="14" spans="1:7" ht="16.5" thickTop="1">
      <c r="A14" s="17" t="s">
        <v>1022</v>
      </c>
      <c r="B14" s="18" t="s">
        <v>1869</v>
      </c>
      <c r="C14" s="84" t="s">
        <v>246</v>
      </c>
      <c r="E14" s="456" t="s">
        <v>735</v>
      </c>
      <c r="F14" s="914" t="s">
        <v>2488</v>
      </c>
    </row>
    <row r="15" spans="1:7" ht="16.5" thickBot="1">
      <c r="A15" s="23" t="s">
        <v>1023</v>
      </c>
      <c r="B15" s="24" t="s">
        <v>247</v>
      </c>
      <c r="C15" s="88" t="s">
        <v>234</v>
      </c>
      <c r="E15" s="457" t="s">
        <v>736</v>
      </c>
      <c r="F15" s="915" t="s">
        <v>2489</v>
      </c>
    </row>
    <row r="16" spans="1:7" ht="17.25" thickTop="1" thickBot="1">
      <c r="A16" s="79" t="s">
        <v>1024</v>
      </c>
      <c r="B16" s="80" t="s">
        <v>232</v>
      </c>
      <c r="C16" s="90" t="s">
        <v>1014</v>
      </c>
    </row>
    <row r="17" spans="1:6" ht="16.5" thickTop="1">
      <c r="A17" s="226"/>
      <c r="B17" s="226"/>
      <c r="C17" s="226"/>
    </row>
    <row r="18" spans="1:6" ht="16.5" thickBot="1">
      <c r="A18" s="1012" t="s">
        <v>2135</v>
      </c>
      <c r="B18" s="1012"/>
      <c r="C18" s="1012"/>
    </row>
    <row r="19" spans="1:6" ht="33" thickTop="1" thickBot="1">
      <c r="A19" s="73" t="s">
        <v>1874</v>
      </c>
      <c r="B19" s="916" t="s">
        <v>735</v>
      </c>
      <c r="C19" s="917" t="s">
        <v>736</v>
      </c>
      <c r="E19" s="353" t="s">
        <v>1879</v>
      </c>
      <c r="F19" s="458"/>
    </row>
    <row r="20" spans="1:6" ht="16.5" thickTop="1">
      <c r="A20" s="17" t="s">
        <v>1022</v>
      </c>
      <c r="B20" s="154">
        <v>15000</v>
      </c>
      <c r="C20" s="459">
        <v>13000</v>
      </c>
      <c r="E20" s="354" t="s">
        <v>1129</v>
      </c>
      <c r="F20" s="226"/>
    </row>
    <row r="21" spans="1:6">
      <c r="A21" s="23" t="s">
        <v>1023</v>
      </c>
      <c r="B21" s="146">
        <v>80000</v>
      </c>
      <c r="C21" s="460">
        <v>70000</v>
      </c>
      <c r="E21" s="354" t="s">
        <v>1132</v>
      </c>
      <c r="F21" s="226"/>
    </row>
    <row r="22" spans="1:6" ht="16.5" thickBot="1">
      <c r="A22" s="79" t="s">
        <v>1024</v>
      </c>
      <c r="B22" s="351">
        <v>85000</v>
      </c>
      <c r="C22" s="233">
        <v>75000</v>
      </c>
      <c r="E22" s="354" t="s">
        <v>1134</v>
      </c>
      <c r="F22" s="226"/>
    </row>
    <row r="23" spans="1:6" ht="16.5" thickTop="1">
      <c r="A23" s="226"/>
      <c r="B23" s="226"/>
      <c r="C23" s="226"/>
      <c r="E23" s="226"/>
      <c r="F23" s="226"/>
    </row>
    <row r="24" spans="1:6">
      <c r="A24" s="324" t="s">
        <v>1884</v>
      </c>
      <c r="B24" s="324"/>
      <c r="C24" s="226"/>
      <c r="E24" s="226"/>
      <c r="F24" s="226"/>
    </row>
    <row r="25" spans="1:6">
      <c r="A25" s="324" t="s">
        <v>1885</v>
      </c>
      <c r="B25" s="324"/>
      <c r="C25" s="226"/>
      <c r="E25" s="226"/>
      <c r="F25" s="226"/>
    </row>
    <row r="26" spans="1:6">
      <c r="A26" s="324" t="s">
        <v>1886</v>
      </c>
      <c r="B26" s="324"/>
      <c r="C26" s="226"/>
      <c r="E26" s="226"/>
      <c r="F26" s="226"/>
    </row>
    <row r="27" spans="1:6">
      <c r="A27" s="324" t="s">
        <v>1887</v>
      </c>
      <c r="B27" s="324"/>
      <c r="C27" s="226"/>
      <c r="E27" s="226"/>
      <c r="F27" s="226"/>
    </row>
    <row r="28" spans="1:6">
      <c r="A28" s="324"/>
      <c r="B28" s="324" t="s">
        <v>1880</v>
      </c>
      <c r="C28" s="226"/>
      <c r="E28" s="226"/>
      <c r="F28" s="226"/>
    </row>
    <row r="29" spans="1:6">
      <c r="A29" s="324"/>
      <c r="B29" s="324" t="s">
        <v>1882</v>
      </c>
      <c r="C29" s="226"/>
      <c r="E29" s="226"/>
      <c r="F29" s="226"/>
    </row>
    <row r="30" spans="1:6">
      <c r="A30" s="324" t="s">
        <v>1888</v>
      </c>
      <c r="B30" s="324"/>
      <c r="C30" s="226"/>
      <c r="E30" s="226"/>
      <c r="F30" s="226"/>
    </row>
  </sheetData>
  <mergeCells count="5">
    <mergeCell ref="A18:C18"/>
    <mergeCell ref="A2:G2"/>
    <mergeCell ref="A3:G3"/>
    <mergeCell ref="A12:C12"/>
    <mergeCell ref="E12:F12"/>
  </mergeCells>
  <phoneticPr fontId="0" type="noConversion"/>
  <pageMargins left="0.75" right="0.75" top="1" bottom="1" header="0.5" footer="0.5"/>
  <pageSetup orientation="portrait" horizontalDpi="1200" r:id="rId1"/>
  <headerFooter alignWithMargins="0">
    <oddFooter>&amp;A</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H33"/>
  <sheetViews>
    <sheetView showGridLines="0" topLeftCell="A4" workbookViewId="0">
      <selection activeCell="D22" sqref="D22"/>
    </sheetView>
  </sheetViews>
  <sheetFormatPr defaultRowHeight="15.75"/>
  <cols>
    <col min="1" max="1" width="7.125" style="12" customWidth="1"/>
    <col min="2" max="2" width="11.875" style="12" customWidth="1"/>
    <col min="3" max="3" width="12.625" style="104" bestFit="1" customWidth="1"/>
    <col min="4" max="4" width="12.625" style="12" bestFit="1" customWidth="1"/>
    <col min="5" max="5" width="12.5" style="12" bestFit="1" customWidth="1"/>
    <col min="6" max="6" width="8.375" style="12" customWidth="1"/>
    <col min="7" max="7" width="10.125" style="12" bestFit="1" customWidth="1"/>
    <col min="8" max="8" width="12.625" style="12" bestFit="1" customWidth="1"/>
    <col min="9" max="9" width="8.875" style="12" customWidth="1"/>
    <col min="10" max="16384" width="9" style="12"/>
  </cols>
  <sheetData>
    <row r="1" spans="1:8" ht="24" customHeight="1" thickBot="1">
      <c r="A1" s="926" t="s">
        <v>1512</v>
      </c>
      <c r="B1" s="926"/>
      <c r="C1" s="926"/>
      <c r="D1" s="926"/>
      <c r="E1" s="926"/>
      <c r="F1" s="926"/>
      <c r="G1" s="926"/>
      <c r="H1" s="926"/>
    </row>
    <row r="2" spans="1:8" ht="33" thickTop="1" thickBot="1">
      <c r="A2" s="386" t="s">
        <v>1950</v>
      </c>
      <c r="B2" s="238" t="s">
        <v>152</v>
      </c>
      <c r="C2" s="238" t="s">
        <v>661</v>
      </c>
      <c r="D2" s="238" t="s">
        <v>2059</v>
      </c>
      <c r="E2" s="238" t="s">
        <v>385</v>
      </c>
      <c r="F2" s="238" t="s">
        <v>681</v>
      </c>
      <c r="G2" s="238" t="s">
        <v>687</v>
      </c>
      <c r="H2" s="239" t="s">
        <v>151</v>
      </c>
    </row>
    <row r="3" spans="1:8" ht="16.5" thickTop="1">
      <c r="A3" s="17" t="s">
        <v>752</v>
      </c>
      <c r="B3" s="255">
        <v>36069</v>
      </c>
      <c r="C3" s="285" t="s">
        <v>753</v>
      </c>
      <c r="D3" s="77" t="str">
        <f>IF(LEFT(C3,1)="T","TEA","COFFEE")</f>
        <v>TEA</v>
      </c>
      <c r="E3" s="77" t="str">
        <f>HLOOKUP(RIGHT(C3,2),$C$13:$E$14,2,0)</f>
        <v>Trung bình</v>
      </c>
      <c r="F3" s="18">
        <v>100</v>
      </c>
      <c r="G3" s="461">
        <f>IF(A3=$A$3,HLOOKUP(E3,$C$14:$E$16,IF(D3=$D$3,2,3),0),HLOOKUP(E3,$C$14:$E$16,IF(D3=$D$3,2,3),0)-HLOOKUP(E3,$C$14:$E$16,IF(D3=$D$3,2,3),0)*15%)</f>
        <v>20000</v>
      </c>
      <c r="H3" s="462">
        <f>IF(B3=$B$4,(F3*G3)-(F3*G3)*5%,F3*G3)</f>
        <v>2000000</v>
      </c>
    </row>
    <row r="4" spans="1:8">
      <c r="A4" s="23" t="s">
        <v>754</v>
      </c>
      <c r="B4" s="256">
        <v>36083</v>
      </c>
      <c r="C4" s="287" t="s">
        <v>755</v>
      </c>
      <c r="D4" s="77" t="str">
        <f t="shared" ref="D4:D9" si="0">IF(LEFT(C4,1)="T","TEA","COFFEE")</f>
        <v>COFFEE</v>
      </c>
      <c r="E4" s="77" t="str">
        <f t="shared" ref="E4:E9" si="1">HLOOKUP(RIGHT(C4,2),$C$13:$E$14,2,0)</f>
        <v>Thượng hạng</v>
      </c>
      <c r="F4" s="24">
        <v>50</v>
      </c>
      <c r="G4" s="461">
        <f t="shared" ref="G4:G9" si="2">IF(A4=$A$3,HLOOKUP(E4,$C$14:$E$16,IF(D4=$D$3,2,3),0),HLOOKUP(E4,$C$14:$E$16,IF(D4=$D$3,2,3),0)-HLOOKUP(E4,$C$14:$E$16,IF(D4=$D$3,2,3),0)*15%)</f>
        <v>102000</v>
      </c>
      <c r="H4" s="462">
        <f t="shared" ref="H4:H9" si="3">IF(B4=$B$4,(F4*G4)-(F4*G4)*5%,F4*G4)</f>
        <v>4845000</v>
      </c>
    </row>
    <row r="5" spans="1:8">
      <c r="A5" s="23" t="s">
        <v>752</v>
      </c>
      <c r="B5" s="256">
        <v>36101</v>
      </c>
      <c r="C5" s="287" t="s">
        <v>756</v>
      </c>
      <c r="D5" s="77" t="str">
        <f t="shared" si="0"/>
        <v>TEA</v>
      </c>
      <c r="E5" s="77" t="str">
        <f t="shared" si="1"/>
        <v>Đặc biệt</v>
      </c>
      <c r="F5" s="24">
        <v>20</v>
      </c>
      <c r="G5" s="461">
        <f t="shared" si="2"/>
        <v>60000</v>
      </c>
      <c r="H5" s="462">
        <f t="shared" si="3"/>
        <v>1200000</v>
      </c>
    </row>
    <row r="6" spans="1:8">
      <c r="A6" s="23" t="s">
        <v>752</v>
      </c>
      <c r="B6" s="256">
        <v>36083</v>
      </c>
      <c r="C6" s="287" t="s">
        <v>757</v>
      </c>
      <c r="D6" s="77" t="str">
        <f t="shared" si="0"/>
        <v>TEA</v>
      </c>
      <c r="E6" s="77" t="str">
        <f t="shared" si="1"/>
        <v>Thượng hạng</v>
      </c>
      <c r="F6" s="24">
        <v>50</v>
      </c>
      <c r="G6" s="461">
        <f t="shared" si="2"/>
        <v>80000</v>
      </c>
      <c r="H6" s="462">
        <f t="shared" si="3"/>
        <v>3800000</v>
      </c>
    </row>
    <row r="7" spans="1:8">
      <c r="A7" s="23" t="s">
        <v>752</v>
      </c>
      <c r="B7" s="256">
        <v>36098</v>
      </c>
      <c r="C7" s="287" t="s">
        <v>758</v>
      </c>
      <c r="D7" s="77" t="str">
        <f t="shared" si="0"/>
        <v>COFFEE</v>
      </c>
      <c r="E7" s="77" t="str">
        <f t="shared" si="1"/>
        <v>Đặc biệt</v>
      </c>
      <c r="F7" s="24">
        <v>100</v>
      </c>
      <c r="G7" s="461">
        <f t="shared" si="2"/>
        <v>100000</v>
      </c>
      <c r="H7" s="462">
        <f t="shared" si="3"/>
        <v>10000000</v>
      </c>
    </row>
    <row r="8" spans="1:8">
      <c r="A8" s="23" t="s">
        <v>754</v>
      </c>
      <c r="B8" s="256">
        <v>36104</v>
      </c>
      <c r="C8" s="287" t="s">
        <v>759</v>
      </c>
      <c r="D8" s="77" t="str">
        <f t="shared" si="0"/>
        <v>COFFEE</v>
      </c>
      <c r="E8" s="77" t="str">
        <f t="shared" si="1"/>
        <v>Trung bình</v>
      </c>
      <c r="F8" s="24">
        <v>500</v>
      </c>
      <c r="G8" s="461">
        <f t="shared" si="2"/>
        <v>34000</v>
      </c>
      <c r="H8" s="462">
        <f t="shared" si="3"/>
        <v>17000000</v>
      </c>
    </row>
    <row r="9" spans="1:8" ht="16.5" thickBot="1">
      <c r="A9" s="79" t="s">
        <v>752</v>
      </c>
      <c r="B9" s="257">
        <v>36110</v>
      </c>
      <c r="C9" s="289" t="s">
        <v>755</v>
      </c>
      <c r="D9" s="77" t="str">
        <f t="shared" si="0"/>
        <v>COFFEE</v>
      </c>
      <c r="E9" s="77" t="str">
        <f t="shared" si="1"/>
        <v>Thượng hạng</v>
      </c>
      <c r="F9" s="80">
        <v>30</v>
      </c>
      <c r="G9" s="461">
        <f t="shared" si="2"/>
        <v>120000</v>
      </c>
      <c r="H9" s="462">
        <f t="shared" si="3"/>
        <v>3600000</v>
      </c>
    </row>
    <row r="10" spans="1:8" ht="16.5" thickTop="1">
      <c r="H10" s="463"/>
    </row>
    <row r="11" spans="1:8" ht="16.5" thickBot="1">
      <c r="B11" s="946" t="s">
        <v>1513</v>
      </c>
      <c r="C11" s="946"/>
      <c r="D11" s="946"/>
      <c r="E11" s="946"/>
    </row>
    <row r="12" spans="1:8" ht="16.5" thickTop="1">
      <c r="B12" s="940" t="s">
        <v>1518</v>
      </c>
      <c r="C12" s="942"/>
      <c r="D12" s="942"/>
      <c r="E12" s="943"/>
    </row>
    <row r="13" spans="1:8" ht="16.5" thickBot="1">
      <c r="B13" s="38" t="s">
        <v>1514</v>
      </c>
      <c r="C13" s="66" t="s">
        <v>760</v>
      </c>
      <c r="D13" s="66" t="s">
        <v>761</v>
      </c>
      <c r="E13" s="67" t="s">
        <v>500</v>
      </c>
    </row>
    <row r="14" spans="1:8" ht="16.5" thickTop="1">
      <c r="B14" s="83" t="s">
        <v>1751</v>
      </c>
      <c r="C14" s="19" t="s">
        <v>1515</v>
      </c>
      <c r="D14" s="18" t="s">
        <v>1516</v>
      </c>
      <c r="E14" s="84" t="s">
        <v>111</v>
      </c>
    </row>
    <row r="15" spans="1:8">
      <c r="B15" s="87" t="s">
        <v>762</v>
      </c>
      <c r="C15" s="464">
        <v>80000</v>
      </c>
      <c r="D15" s="464">
        <v>60000</v>
      </c>
      <c r="E15" s="465">
        <v>20000</v>
      </c>
    </row>
    <row r="16" spans="1:8" ht="16.5" thickBot="1">
      <c r="B16" s="89" t="s">
        <v>763</v>
      </c>
      <c r="C16" s="466">
        <v>120000</v>
      </c>
      <c r="D16" s="466">
        <v>100000</v>
      </c>
      <c r="E16" s="467">
        <v>40000</v>
      </c>
    </row>
    <row r="17" spans="1:8" ht="16.5" thickTop="1"/>
    <row r="18" spans="1:8" ht="16.5" thickBot="1">
      <c r="B18" s="946" t="s">
        <v>1520</v>
      </c>
      <c r="C18" s="946"/>
      <c r="D18" s="946"/>
    </row>
    <row r="19" spans="1:8" ht="16.5" thickTop="1">
      <c r="B19" s="940" t="s">
        <v>663</v>
      </c>
      <c r="C19" s="942" t="s">
        <v>1517</v>
      </c>
      <c r="D19" s="943"/>
      <c r="E19" s="444" t="s">
        <v>1950</v>
      </c>
      <c r="F19" s="444" t="s">
        <v>2059</v>
      </c>
      <c r="G19" s="444" t="s">
        <v>1950</v>
      </c>
      <c r="H19" s="444" t="s">
        <v>2059</v>
      </c>
    </row>
    <row r="20" spans="1:8" ht="16.5" thickBot="1">
      <c r="B20" s="941"/>
      <c r="C20" s="442" t="s">
        <v>1510</v>
      </c>
      <c r="D20" s="443" t="s">
        <v>1511</v>
      </c>
      <c r="E20" s="354" t="s">
        <v>752</v>
      </c>
      <c r="F20" s="354" t="s">
        <v>762</v>
      </c>
      <c r="G20" s="354" t="s">
        <v>752</v>
      </c>
      <c r="H20" s="354" t="s">
        <v>763</v>
      </c>
    </row>
    <row r="21" spans="1:8" ht="16.5" thickTop="1">
      <c r="B21" s="83" t="s">
        <v>762</v>
      </c>
      <c r="C21" s="461">
        <f>SUMIFS($H$3:$H$9,$D$3:$D$9,$B$21,$A$3:$A$9,$A$3)</f>
        <v>7000000</v>
      </c>
      <c r="D21" s="462">
        <f>SUMIFS($H$3:$H$9,$D$3:$D$9,B21,$A$3:$A$9,$A$4)</f>
        <v>0</v>
      </c>
      <c r="E21" s="444" t="s">
        <v>1950</v>
      </c>
      <c r="F21" s="444" t="s">
        <v>2059</v>
      </c>
      <c r="G21" s="444" t="s">
        <v>1950</v>
      </c>
      <c r="H21" s="444" t="s">
        <v>2059</v>
      </c>
    </row>
    <row r="22" spans="1:8" ht="16.5" thickBot="1">
      <c r="B22" s="89" t="s">
        <v>763</v>
      </c>
      <c r="C22" s="461">
        <f>SUMIFS($H$3:$H$9,$D$3:$D$9,$B$22,$A$3:$A$9,$A$3)</f>
        <v>13600000</v>
      </c>
      <c r="D22" s="462">
        <f>SUMIFS($H$3:$H$9,$D$3:$D$9,B22,$A$3:$A$9,$A$4)</f>
        <v>21845000</v>
      </c>
      <c r="E22" s="354" t="s">
        <v>754</v>
      </c>
      <c r="F22" s="354" t="s">
        <v>762</v>
      </c>
      <c r="G22" s="354" t="s">
        <v>754</v>
      </c>
      <c r="H22" s="354" t="s">
        <v>763</v>
      </c>
    </row>
    <row r="23" spans="1:8" ht="16.5" thickTop="1">
      <c r="D23" s="463"/>
    </row>
    <row r="24" spans="1:8">
      <c r="A24" s="26" t="s">
        <v>1522</v>
      </c>
      <c r="B24" s="26"/>
    </row>
    <row r="25" spans="1:8">
      <c r="A25" s="26"/>
      <c r="B25" s="26" t="s">
        <v>764</v>
      </c>
    </row>
    <row r="26" spans="1:8">
      <c r="A26" s="26"/>
      <c r="B26" s="26" t="s">
        <v>765</v>
      </c>
    </row>
    <row r="27" spans="1:8">
      <c r="A27" s="26" t="s">
        <v>1523</v>
      </c>
      <c r="B27" s="26"/>
    </row>
    <row r="28" spans="1:8">
      <c r="A28" s="26" t="s">
        <v>1525</v>
      </c>
      <c r="B28" s="26"/>
    </row>
    <row r="29" spans="1:8">
      <c r="A29" s="26"/>
      <c r="B29" s="26" t="s">
        <v>1524</v>
      </c>
    </row>
    <row r="30" spans="1:8">
      <c r="A30" s="26" t="s">
        <v>1887</v>
      </c>
      <c r="B30" s="26"/>
    </row>
    <row r="31" spans="1:8">
      <c r="A31" s="26"/>
      <c r="B31" s="26" t="s">
        <v>1880</v>
      </c>
    </row>
    <row r="32" spans="1:8">
      <c r="A32" s="26"/>
      <c r="B32" s="26" t="s">
        <v>1519</v>
      </c>
    </row>
    <row r="33" spans="1:2">
      <c r="A33" s="26" t="s">
        <v>1521</v>
      </c>
      <c r="B33" s="26"/>
    </row>
  </sheetData>
  <mergeCells count="6">
    <mergeCell ref="B19:B20"/>
    <mergeCell ref="C19:D19"/>
    <mergeCell ref="A1:H1"/>
    <mergeCell ref="B11:E11"/>
    <mergeCell ref="B12:E12"/>
    <mergeCell ref="B18:D18"/>
  </mergeCells>
  <phoneticPr fontId="0" type="noConversion"/>
  <pageMargins left="0.46" right="0.56999999999999995" top="1" bottom="1" header="0.5" footer="0.5"/>
  <pageSetup orientation="portrait" horizontalDpi="1200" r:id="rId1"/>
  <headerFooter alignWithMargins="0">
    <oddFooter>&amp;A</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Q27"/>
  <sheetViews>
    <sheetView showGridLines="0" topLeftCell="A10" workbookViewId="0">
      <selection activeCell="J6" sqref="J6"/>
    </sheetView>
  </sheetViews>
  <sheetFormatPr defaultRowHeight="15.75"/>
  <cols>
    <col min="1" max="1" width="4.25" style="104" customWidth="1"/>
    <col min="2" max="2" width="10.25" style="12" customWidth="1"/>
    <col min="3" max="3" width="13.875" style="12" customWidth="1"/>
    <col min="4" max="4" width="8.25" style="12" bestFit="1" customWidth="1"/>
    <col min="5" max="5" width="6.75" style="12" customWidth="1"/>
    <col min="6" max="6" width="5.5" style="12" customWidth="1"/>
    <col min="7" max="7" width="9.5" style="12" bestFit="1" customWidth="1"/>
    <col min="8" max="8" width="8.375" style="12" customWidth="1"/>
    <col min="9" max="9" width="7.375" style="12" customWidth="1"/>
    <col min="10" max="10" width="12.25" style="12" bestFit="1" customWidth="1"/>
    <col min="11" max="16384" width="9" style="12"/>
  </cols>
  <sheetData>
    <row r="1" spans="1:11" ht="24" customHeight="1" thickBot="1">
      <c r="A1" s="931" t="s">
        <v>1540</v>
      </c>
      <c r="B1" s="931"/>
      <c r="C1" s="931"/>
      <c r="D1" s="931"/>
      <c r="E1" s="931"/>
      <c r="F1" s="931"/>
      <c r="G1" s="931"/>
      <c r="H1" s="931"/>
      <c r="I1" s="931"/>
      <c r="J1" s="931"/>
    </row>
    <row r="2" spans="1:11" s="104" customFormat="1" ht="47.25" customHeight="1" thickTop="1" thickBot="1">
      <c r="A2" s="386" t="s">
        <v>842</v>
      </c>
      <c r="B2" s="387" t="s">
        <v>1541</v>
      </c>
      <c r="C2" s="387" t="s">
        <v>589</v>
      </c>
      <c r="D2" s="387" t="s">
        <v>2439</v>
      </c>
      <c r="E2" s="387" t="s">
        <v>1529</v>
      </c>
      <c r="F2" s="387" t="s">
        <v>266</v>
      </c>
      <c r="G2" s="387" t="s">
        <v>1538</v>
      </c>
      <c r="H2" s="387" t="s">
        <v>1542</v>
      </c>
      <c r="I2" s="387" t="s">
        <v>1530</v>
      </c>
      <c r="J2" s="388" t="s">
        <v>579</v>
      </c>
    </row>
    <row r="3" spans="1:11" ht="17.25" thickTop="1" thickBot="1">
      <c r="A3" s="168">
        <v>1</v>
      </c>
      <c r="B3" s="95" t="s">
        <v>1531</v>
      </c>
      <c r="C3" s="95" t="s">
        <v>2423</v>
      </c>
      <c r="D3" s="468" t="str">
        <f>HLOOKUP(RIGHT(B3,2),$B$11:$E$12,2,0)</f>
        <v>Đào tạo</v>
      </c>
      <c r="E3" s="171">
        <v>310</v>
      </c>
      <c r="F3" s="171">
        <v>26</v>
      </c>
      <c r="G3" s="469" t="str">
        <f>VLOOKUP(LEFT(B3,1),$B$17:$B$20,1,0)</f>
        <v>A</v>
      </c>
      <c r="H3" s="470" t="str">
        <f>MID(B3,2,2)</f>
        <v>18</v>
      </c>
      <c r="I3" s="469">
        <f>INDEX($C$17:$F$20,MATCH(LEFT(B3,1),$B$17:$B$20,0),MATCH(VALUE(MID(B3,2,2)),$C$16:$F$16,1))</f>
        <v>20</v>
      </c>
      <c r="J3" s="471">
        <f>E3*F3*I3</f>
        <v>161200</v>
      </c>
    </row>
    <row r="4" spans="1:11" ht="17.25" thickTop="1" thickBot="1">
      <c r="A4" s="23">
        <v>2</v>
      </c>
      <c r="B4" s="287" t="s">
        <v>766</v>
      </c>
      <c r="C4" s="24" t="s">
        <v>1526</v>
      </c>
      <c r="D4" s="468" t="str">
        <f t="shared" ref="D4:D8" si="0">HLOOKUP(RIGHT(B4,2),$B$11:$E$12,2,0)</f>
        <v>Tài vụ</v>
      </c>
      <c r="E4" s="25">
        <v>290</v>
      </c>
      <c r="F4" s="25">
        <v>24</v>
      </c>
      <c r="G4" s="469" t="str">
        <f t="shared" ref="G4:G8" si="1">VLOOKUP(LEFT(B4,1),$B$17:$B$20,1,0)</f>
        <v>B</v>
      </c>
      <c r="H4" s="470" t="str">
        <f t="shared" ref="H4:H8" si="2">MID(B4,2,2)</f>
        <v>15</v>
      </c>
      <c r="I4" s="469">
        <f t="shared" ref="I4:I8" si="3">INDEX($C$17:$F$20,MATCH(LEFT(B4,1),$B$17:$B$20,0),MATCH(VALUE(MID(B4,2,2)),$C$16:$F$16,1))</f>
        <v>13</v>
      </c>
      <c r="J4" s="471">
        <f t="shared" ref="J4:J8" si="4">E4*F4*I4</f>
        <v>90480</v>
      </c>
    </row>
    <row r="5" spans="1:11" ht="17.25" thickTop="1" thickBot="1">
      <c r="A5" s="23">
        <v>3</v>
      </c>
      <c r="B5" s="287" t="s">
        <v>767</v>
      </c>
      <c r="C5" s="24" t="s">
        <v>2421</v>
      </c>
      <c r="D5" s="468" t="str">
        <f t="shared" si="0"/>
        <v>H chính</v>
      </c>
      <c r="E5" s="25">
        <v>290</v>
      </c>
      <c r="F5" s="25">
        <v>25</v>
      </c>
      <c r="G5" s="469" t="str">
        <f t="shared" si="1"/>
        <v>C</v>
      </c>
      <c r="H5" s="470" t="str">
        <f t="shared" si="2"/>
        <v>06</v>
      </c>
      <c r="I5" s="469">
        <f t="shared" si="3"/>
        <v>10</v>
      </c>
      <c r="J5" s="471">
        <f t="shared" si="4"/>
        <v>72500</v>
      </c>
    </row>
    <row r="6" spans="1:11" ht="17.25" thickTop="1" thickBot="1">
      <c r="A6" s="23">
        <v>4</v>
      </c>
      <c r="B6" s="287" t="s">
        <v>768</v>
      </c>
      <c r="C6" s="24" t="s">
        <v>1535</v>
      </c>
      <c r="D6" s="468" t="str">
        <f t="shared" si="0"/>
        <v>Vật tư</v>
      </c>
      <c r="E6" s="25">
        <v>310</v>
      </c>
      <c r="F6" s="25">
        <v>24</v>
      </c>
      <c r="G6" s="469" t="str">
        <f t="shared" si="1"/>
        <v>D</v>
      </c>
      <c r="H6" s="470" t="str">
        <f t="shared" si="2"/>
        <v>03</v>
      </c>
      <c r="I6" s="469">
        <f t="shared" si="3"/>
        <v>8</v>
      </c>
      <c r="J6" s="471">
        <f t="shared" si="4"/>
        <v>59520</v>
      </c>
    </row>
    <row r="7" spans="1:11" ht="17.25" thickTop="1" thickBot="1">
      <c r="A7" s="23">
        <v>5</v>
      </c>
      <c r="B7" s="287" t="s">
        <v>1532</v>
      </c>
      <c r="C7" s="24" t="s">
        <v>1546</v>
      </c>
      <c r="D7" s="468" t="str">
        <f t="shared" si="0"/>
        <v>Đào tạo</v>
      </c>
      <c r="E7" s="25">
        <v>290</v>
      </c>
      <c r="F7" s="25">
        <v>23</v>
      </c>
      <c r="G7" s="469" t="str">
        <f t="shared" si="1"/>
        <v>C</v>
      </c>
      <c r="H7" s="470" t="str">
        <f t="shared" si="2"/>
        <v>18</v>
      </c>
      <c r="I7" s="469">
        <f t="shared" si="3"/>
        <v>14</v>
      </c>
      <c r="J7" s="471">
        <f t="shared" si="4"/>
        <v>93380</v>
      </c>
    </row>
    <row r="8" spans="1:11" ht="17.25" thickTop="1" thickBot="1">
      <c r="A8" s="79">
        <v>6</v>
      </c>
      <c r="B8" s="289" t="s">
        <v>1533</v>
      </c>
      <c r="C8" s="80" t="s">
        <v>1527</v>
      </c>
      <c r="D8" s="468" t="str">
        <f t="shared" si="0"/>
        <v>Đào tạo</v>
      </c>
      <c r="E8" s="153">
        <v>290</v>
      </c>
      <c r="F8" s="153">
        <v>26</v>
      </c>
      <c r="G8" s="469" t="str">
        <f t="shared" si="1"/>
        <v>B</v>
      </c>
      <c r="H8" s="470" t="str">
        <f t="shared" si="2"/>
        <v>10</v>
      </c>
      <c r="I8" s="469">
        <f t="shared" si="3"/>
        <v>13</v>
      </c>
      <c r="J8" s="471">
        <f t="shared" si="4"/>
        <v>98020</v>
      </c>
    </row>
    <row r="9" spans="1:11" ht="16.5" thickTop="1"/>
    <row r="10" spans="1:11">
      <c r="B10" s="946" t="s">
        <v>1539</v>
      </c>
      <c r="C10" s="946"/>
      <c r="D10" s="946"/>
      <c r="E10" s="946"/>
      <c r="H10" s="472" t="s">
        <v>1538</v>
      </c>
      <c r="I10" s="472" t="s">
        <v>2439</v>
      </c>
    </row>
    <row r="11" spans="1:11">
      <c r="B11" s="25" t="s">
        <v>1534</v>
      </c>
      <c r="C11" s="25" t="s">
        <v>769</v>
      </c>
      <c r="D11" s="25" t="s">
        <v>1044</v>
      </c>
      <c r="E11" s="25" t="s">
        <v>1013</v>
      </c>
      <c r="H11" s="354" t="s">
        <v>1022</v>
      </c>
      <c r="I11" s="354" t="s">
        <v>1536</v>
      </c>
    </row>
    <row r="12" spans="1:11">
      <c r="B12" s="25" t="s">
        <v>1536</v>
      </c>
      <c r="C12" s="25" t="s">
        <v>1547</v>
      </c>
      <c r="D12" s="25" t="s">
        <v>1537</v>
      </c>
      <c r="E12" s="25" t="s">
        <v>237</v>
      </c>
      <c r="H12" s="354" t="s">
        <v>1023</v>
      </c>
      <c r="I12" s="354" t="s">
        <v>1536</v>
      </c>
    </row>
    <row r="14" spans="1:11" ht="16.5" thickBot="1">
      <c r="B14" s="1012" t="s">
        <v>1528</v>
      </c>
      <c r="C14" s="1012"/>
      <c r="D14" s="1012"/>
      <c r="E14" s="1012"/>
      <c r="F14" s="473"/>
    </row>
    <row r="15" spans="1:11" ht="16.5" thickTop="1">
      <c r="B15" s="940" t="s">
        <v>1538</v>
      </c>
      <c r="C15" s="942" t="s">
        <v>1542</v>
      </c>
      <c r="D15" s="942"/>
      <c r="E15" s="942"/>
      <c r="F15" s="943"/>
    </row>
    <row r="16" spans="1:11" ht="16.5" thickBot="1">
      <c r="B16" s="941"/>
      <c r="C16" s="918">
        <v>1</v>
      </c>
      <c r="D16" s="918">
        <v>4</v>
      </c>
      <c r="E16" s="918">
        <v>9</v>
      </c>
      <c r="F16" s="919">
        <v>16</v>
      </c>
      <c r="H16" s="910" t="s">
        <v>770</v>
      </c>
      <c r="I16" s="910" t="s">
        <v>771</v>
      </c>
      <c r="J16" s="910" t="s">
        <v>772</v>
      </c>
      <c r="K16" s="251" t="s">
        <v>773</v>
      </c>
    </row>
    <row r="17" spans="1:17" ht="17.25" thickTop="1" thickBot="1">
      <c r="B17" s="168" t="s">
        <v>1022</v>
      </c>
      <c r="C17" s="171">
        <v>10</v>
      </c>
      <c r="D17" s="171">
        <v>12</v>
      </c>
      <c r="E17" s="171">
        <v>14</v>
      </c>
      <c r="F17" s="440">
        <v>20</v>
      </c>
    </row>
    <row r="18" spans="1:17" ht="48.75" thickTop="1" thickBot="1">
      <c r="B18" s="23" t="s">
        <v>1023</v>
      </c>
      <c r="C18" s="25">
        <v>10</v>
      </c>
      <c r="D18" s="25">
        <v>11</v>
      </c>
      <c r="E18" s="25">
        <v>13</v>
      </c>
      <c r="F18" s="250">
        <v>16</v>
      </c>
      <c r="H18" s="386" t="s">
        <v>842</v>
      </c>
      <c r="I18" s="387" t="s">
        <v>1541</v>
      </c>
      <c r="J18" s="387" t="s">
        <v>589</v>
      </c>
      <c r="K18" s="387" t="s">
        <v>2439</v>
      </c>
      <c r="L18" s="387" t="s">
        <v>1529</v>
      </c>
      <c r="M18" s="387" t="s">
        <v>266</v>
      </c>
      <c r="N18" s="387" t="s">
        <v>1538</v>
      </c>
      <c r="O18" s="387" t="s">
        <v>1542</v>
      </c>
      <c r="P18" s="387" t="s">
        <v>1530</v>
      </c>
      <c r="Q18" s="388" t="s">
        <v>579</v>
      </c>
    </row>
    <row r="19" spans="1:17" ht="17.25" thickTop="1" thickBot="1">
      <c r="B19" s="23" t="s">
        <v>1024</v>
      </c>
      <c r="C19" s="25">
        <v>9</v>
      </c>
      <c r="D19" s="25">
        <v>10</v>
      </c>
      <c r="E19" s="25">
        <v>12</v>
      </c>
      <c r="F19" s="250">
        <v>14</v>
      </c>
      <c r="H19" s="908">
        <v>1</v>
      </c>
      <c r="I19" s="95" t="s">
        <v>1531</v>
      </c>
      <c r="J19" s="95" t="s">
        <v>2423</v>
      </c>
      <c r="K19" s="468" t="s">
        <v>1536</v>
      </c>
      <c r="L19" s="909">
        <v>310</v>
      </c>
      <c r="M19" s="909">
        <v>26</v>
      </c>
      <c r="N19" s="469" t="s">
        <v>1022</v>
      </c>
      <c r="O19" s="470" t="s">
        <v>2490</v>
      </c>
      <c r="P19" s="469">
        <v>20</v>
      </c>
      <c r="Q19" s="471">
        <v>161200</v>
      </c>
    </row>
    <row r="20" spans="1:17" ht="17.25" thickTop="1" thickBot="1">
      <c r="B20" s="79" t="s">
        <v>1025</v>
      </c>
      <c r="C20" s="153">
        <v>8</v>
      </c>
      <c r="D20" s="153">
        <v>9</v>
      </c>
      <c r="E20" s="153">
        <v>11</v>
      </c>
      <c r="F20" s="251">
        <v>13</v>
      </c>
      <c r="H20" s="79">
        <v>6</v>
      </c>
      <c r="I20" s="911" t="s">
        <v>1533</v>
      </c>
      <c r="J20" s="80" t="s">
        <v>1527</v>
      </c>
      <c r="K20" s="468" t="s">
        <v>1536</v>
      </c>
      <c r="L20" s="910">
        <v>290</v>
      </c>
      <c r="M20" s="910">
        <v>26</v>
      </c>
      <c r="N20" s="469" t="s">
        <v>1023</v>
      </c>
      <c r="O20" s="470" t="s">
        <v>2491</v>
      </c>
      <c r="P20" s="469">
        <v>13</v>
      </c>
      <c r="Q20" s="471">
        <v>98020</v>
      </c>
    </row>
    <row r="21" spans="1:17" ht="16.5" thickTop="1"/>
    <row r="22" spans="1:17">
      <c r="A22" s="105" t="s">
        <v>1543</v>
      </c>
    </row>
    <row r="23" spans="1:17">
      <c r="A23" s="105" t="s">
        <v>1544</v>
      </c>
    </row>
    <row r="24" spans="1:17">
      <c r="A24" s="105" t="s">
        <v>1545</v>
      </c>
    </row>
    <row r="25" spans="1:17">
      <c r="A25" s="105" t="s">
        <v>1548</v>
      </c>
    </row>
    <row r="26" spans="1:17">
      <c r="A26" s="105" t="s">
        <v>1549</v>
      </c>
    </row>
    <row r="27" spans="1:17">
      <c r="A27" s="105" t="s">
        <v>1550</v>
      </c>
    </row>
  </sheetData>
  <mergeCells count="5">
    <mergeCell ref="A1:J1"/>
    <mergeCell ref="B10:E10"/>
    <mergeCell ref="B14:E14"/>
    <mergeCell ref="B15:B16"/>
    <mergeCell ref="C15:F15"/>
  </mergeCells>
  <phoneticPr fontId="0" type="noConversion"/>
  <pageMargins left="0.75" right="0.75" top="1" bottom="1" header="0.5" footer="0.5"/>
  <pageSetup paperSize="9" orientation="portrait" r:id="rId1"/>
  <headerFooter alignWithMargins="0">
    <oddFooter>&amp;A</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G33"/>
  <sheetViews>
    <sheetView showGridLines="0" workbookViewId="0">
      <selection activeCell="G23" sqref="G23"/>
    </sheetView>
  </sheetViews>
  <sheetFormatPr defaultRowHeight="15.75"/>
  <cols>
    <col min="1" max="1" width="10.375" style="12" customWidth="1"/>
    <col min="2" max="3" width="10.625" style="12" customWidth="1"/>
    <col min="4" max="4" width="11.625" style="12" bestFit="1" customWidth="1"/>
    <col min="5" max="5" width="13.625" style="12" customWidth="1"/>
    <col min="6" max="7" width="12.375" style="12" customWidth="1"/>
    <col min="8" max="16384" width="9" style="12"/>
  </cols>
  <sheetData>
    <row r="1" spans="1:7" ht="24" customHeight="1" thickBot="1">
      <c r="A1" s="931" t="s">
        <v>1561</v>
      </c>
      <c r="B1" s="931"/>
      <c r="C1" s="931"/>
      <c r="D1" s="931"/>
      <c r="E1" s="931"/>
      <c r="F1" s="931"/>
      <c r="G1" s="931"/>
    </row>
    <row r="2" spans="1:7" ht="17.25" thickTop="1" thickBot="1">
      <c r="A2" s="237" t="s">
        <v>1556</v>
      </c>
      <c r="B2" s="238" t="s">
        <v>1557</v>
      </c>
      <c r="C2" s="238" t="s">
        <v>634</v>
      </c>
      <c r="D2" s="238" t="s">
        <v>1551</v>
      </c>
      <c r="E2" s="238" t="s">
        <v>1562</v>
      </c>
      <c r="F2" s="238" t="s">
        <v>1552</v>
      </c>
      <c r="G2" s="239" t="s">
        <v>254</v>
      </c>
    </row>
    <row r="3" spans="1:7" ht="17.25" thickTop="1" thickBot="1">
      <c r="A3" s="474" t="s">
        <v>205</v>
      </c>
      <c r="B3" s="475">
        <v>36162</v>
      </c>
      <c r="C3" s="475">
        <v>36164</v>
      </c>
      <c r="D3" s="476">
        <f>(C3-B3)*VLOOKUP(A3,$A$14:$D$18,3,0)</f>
        <v>30000</v>
      </c>
      <c r="E3" s="476">
        <f>(C3-B3)*VLOOKUP(A3,$A$14:$D$18,4,0)</f>
        <v>160000</v>
      </c>
      <c r="F3" s="476">
        <f>(C3-B3)*VLOOKUP(A3,$A$14:$D$18,2,0)</f>
        <v>80000</v>
      </c>
      <c r="G3" s="477">
        <f>SUM(D3:F3)</f>
        <v>270000</v>
      </c>
    </row>
    <row r="4" spans="1:7" ht="17.25" thickTop="1" thickBot="1">
      <c r="A4" s="87" t="s">
        <v>1128</v>
      </c>
      <c r="B4" s="256">
        <v>36164</v>
      </c>
      <c r="C4" s="256">
        <v>36166</v>
      </c>
      <c r="D4" s="476">
        <f t="shared" ref="D4:D11" si="0">(C4-B4)*VLOOKUP(A4,$A$14:$D$18,3,0)</f>
        <v>30000</v>
      </c>
      <c r="E4" s="476">
        <f t="shared" ref="E4:E11" si="1">(C4-B4)*VLOOKUP(A4,$A$14:$D$18,4,0)</f>
        <v>120000</v>
      </c>
      <c r="F4" s="476">
        <f t="shared" ref="F4:F11" si="2">(C4-B4)*VLOOKUP(A4,$A$14:$D$18,2,0)</f>
        <v>100000</v>
      </c>
      <c r="G4" s="477">
        <f t="shared" ref="G4:G11" si="3">SUM(D4:F4)</f>
        <v>250000</v>
      </c>
    </row>
    <row r="5" spans="1:7" ht="17.25" thickTop="1" thickBot="1">
      <c r="A5" s="87" t="s">
        <v>208</v>
      </c>
      <c r="B5" s="256">
        <v>36164</v>
      </c>
      <c r="C5" s="256">
        <v>36165</v>
      </c>
      <c r="D5" s="476">
        <f t="shared" si="0"/>
        <v>12000</v>
      </c>
      <c r="E5" s="476">
        <f t="shared" si="1"/>
        <v>100000</v>
      </c>
      <c r="F5" s="476">
        <f t="shared" si="2"/>
        <v>20000</v>
      </c>
      <c r="G5" s="477">
        <f t="shared" si="3"/>
        <v>132000</v>
      </c>
    </row>
    <row r="6" spans="1:7" ht="17.25" thickTop="1" thickBot="1">
      <c r="A6" s="87" t="s">
        <v>203</v>
      </c>
      <c r="B6" s="256">
        <v>36168</v>
      </c>
      <c r="C6" s="256">
        <v>36180</v>
      </c>
      <c r="D6" s="476">
        <f t="shared" si="0"/>
        <v>300000</v>
      </c>
      <c r="E6" s="476">
        <f t="shared" si="1"/>
        <v>1080000</v>
      </c>
      <c r="F6" s="476">
        <f t="shared" si="2"/>
        <v>720000</v>
      </c>
      <c r="G6" s="477">
        <f t="shared" si="3"/>
        <v>2100000</v>
      </c>
    </row>
    <row r="7" spans="1:7" ht="17.25" thickTop="1" thickBot="1">
      <c r="A7" s="87" t="s">
        <v>205</v>
      </c>
      <c r="B7" s="256">
        <v>36169</v>
      </c>
      <c r="C7" s="256">
        <v>36175</v>
      </c>
      <c r="D7" s="476">
        <f t="shared" si="0"/>
        <v>90000</v>
      </c>
      <c r="E7" s="476">
        <f t="shared" si="1"/>
        <v>480000</v>
      </c>
      <c r="F7" s="476">
        <f t="shared" si="2"/>
        <v>240000</v>
      </c>
      <c r="G7" s="477">
        <f t="shared" si="3"/>
        <v>810000</v>
      </c>
    </row>
    <row r="8" spans="1:7" ht="17.25" thickTop="1" thickBot="1">
      <c r="A8" s="87" t="s">
        <v>203</v>
      </c>
      <c r="B8" s="256">
        <v>36172</v>
      </c>
      <c r="C8" s="256">
        <v>36186</v>
      </c>
      <c r="D8" s="476">
        <f t="shared" si="0"/>
        <v>350000</v>
      </c>
      <c r="E8" s="476">
        <f t="shared" si="1"/>
        <v>1260000</v>
      </c>
      <c r="F8" s="476">
        <f t="shared" si="2"/>
        <v>840000</v>
      </c>
      <c r="G8" s="477">
        <f t="shared" si="3"/>
        <v>2450000</v>
      </c>
    </row>
    <row r="9" spans="1:7" ht="17.25" thickTop="1" thickBot="1">
      <c r="A9" s="87" t="s">
        <v>1128</v>
      </c>
      <c r="B9" s="256">
        <v>36167</v>
      </c>
      <c r="C9" s="256">
        <v>36172</v>
      </c>
      <c r="D9" s="476">
        <f t="shared" si="0"/>
        <v>75000</v>
      </c>
      <c r="E9" s="476">
        <f t="shared" si="1"/>
        <v>300000</v>
      </c>
      <c r="F9" s="476">
        <f t="shared" si="2"/>
        <v>250000</v>
      </c>
      <c r="G9" s="477">
        <f t="shared" si="3"/>
        <v>625000</v>
      </c>
    </row>
    <row r="10" spans="1:7" ht="17.25" thickTop="1" thickBot="1">
      <c r="A10" s="87" t="s">
        <v>205</v>
      </c>
      <c r="B10" s="256">
        <v>36170</v>
      </c>
      <c r="C10" s="256">
        <v>36177</v>
      </c>
      <c r="D10" s="476">
        <f t="shared" si="0"/>
        <v>105000</v>
      </c>
      <c r="E10" s="476">
        <f t="shared" si="1"/>
        <v>560000</v>
      </c>
      <c r="F10" s="476">
        <f t="shared" si="2"/>
        <v>280000</v>
      </c>
      <c r="G10" s="477">
        <f t="shared" si="3"/>
        <v>945000</v>
      </c>
    </row>
    <row r="11" spans="1:7" ht="17.25" thickTop="1" thickBot="1">
      <c r="A11" s="89" t="s">
        <v>208</v>
      </c>
      <c r="B11" s="257">
        <v>36178</v>
      </c>
      <c r="C11" s="257">
        <v>36184</v>
      </c>
      <c r="D11" s="476">
        <f t="shared" si="0"/>
        <v>72000</v>
      </c>
      <c r="E11" s="476">
        <f t="shared" si="1"/>
        <v>600000</v>
      </c>
      <c r="F11" s="476">
        <f t="shared" si="2"/>
        <v>120000</v>
      </c>
      <c r="G11" s="477">
        <f t="shared" si="3"/>
        <v>792000</v>
      </c>
    </row>
    <row r="12" spans="1:7" ht="16.5" thickTop="1">
      <c r="D12" s="478"/>
      <c r="E12" s="478"/>
      <c r="F12" s="478"/>
      <c r="G12" s="478"/>
    </row>
    <row r="13" spans="1:7" ht="16.5" thickBot="1">
      <c r="A13" s="1012" t="s">
        <v>1563</v>
      </c>
      <c r="B13" s="1012"/>
      <c r="C13" s="1012"/>
      <c r="D13" s="1012"/>
    </row>
    <row r="14" spans="1:7" ht="17.25" thickTop="1" thickBot="1">
      <c r="A14" s="237" t="s">
        <v>1556</v>
      </c>
      <c r="B14" s="238" t="s">
        <v>1552</v>
      </c>
      <c r="C14" s="238" t="s">
        <v>1551</v>
      </c>
      <c r="D14" s="239" t="s">
        <v>1553</v>
      </c>
    </row>
    <row r="15" spans="1:7" ht="16.5" thickTop="1">
      <c r="A15" s="474" t="s">
        <v>205</v>
      </c>
      <c r="B15" s="479">
        <v>40000</v>
      </c>
      <c r="C15" s="479">
        <v>15000</v>
      </c>
      <c r="D15" s="480">
        <v>80000</v>
      </c>
    </row>
    <row r="16" spans="1:7">
      <c r="A16" s="87" t="s">
        <v>1128</v>
      </c>
      <c r="B16" s="481">
        <v>50000</v>
      </c>
      <c r="C16" s="481">
        <v>15000</v>
      </c>
      <c r="D16" s="482">
        <v>60000</v>
      </c>
    </row>
    <row r="17" spans="1:7">
      <c r="A17" s="87" t="s">
        <v>1558</v>
      </c>
      <c r="B17" s="481">
        <v>20000</v>
      </c>
      <c r="C17" s="481">
        <v>12000</v>
      </c>
      <c r="D17" s="482">
        <v>100000</v>
      </c>
    </row>
    <row r="18" spans="1:7" ht="16.5" thickBot="1">
      <c r="A18" s="89" t="s">
        <v>203</v>
      </c>
      <c r="B18" s="483">
        <v>60000</v>
      </c>
      <c r="C18" s="483">
        <v>25000</v>
      </c>
      <c r="D18" s="484">
        <v>90000</v>
      </c>
    </row>
    <row r="19" spans="1:7" ht="16.5" thickTop="1"/>
    <row r="20" spans="1:7" ht="16.5" thickBot="1">
      <c r="B20" s="1012" t="s">
        <v>1554</v>
      </c>
      <c r="C20" s="1012"/>
      <c r="D20" s="1012"/>
      <c r="E20" s="1012"/>
      <c r="F20" s="1012"/>
      <c r="G20" s="1012"/>
    </row>
    <row r="21" spans="1:7" ht="17.25" thickTop="1" thickBot="1">
      <c r="B21" s="237" t="s">
        <v>1556</v>
      </c>
      <c r="C21" s="238" t="s">
        <v>1555</v>
      </c>
      <c r="D21" s="238" t="s">
        <v>1551</v>
      </c>
      <c r="E21" s="238" t="s">
        <v>1553</v>
      </c>
      <c r="F21" s="238" t="s">
        <v>1552</v>
      </c>
      <c r="G21" s="239" t="s">
        <v>254</v>
      </c>
    </row>
    <row r="22" spans="1:7" ht="17.25" thickTop="1" thickBot="1">
      <c r="B22" s="474" t="s">
        <v>205</v>
      </c>
      <c r="C22" s="469">
        <f>COUNTIF(A3:A11,"Đà Lạt")</f>
        <v>3</v>
      </c>
      <c r="D22" s="476">
        <f>SUMIF(A3:A11,"Đà Lạt",D3:D11)</f>
        <v>225000</v>
      </c>
      <c r="E22" s="476">
        <f>SUMIF(A3:A11,"Đà Lạt",E3:E11)</f>
        <v>1200000</v>
      </c>
      <c r="F22" s="476">
        <f>SUMIF(A3:A11,"Đà Lạt",F3:F11)</f>
        <v>600000</v>
      </c>
      <c r="G22" s="477">
        <f>SUM(C22:F22)</f>
        <v>2025003</v>
      </c>
    </row>
    <row r="23" spans="1:7" ht="17.25" thickTop="1" thickBot="1">
      <c r="B23" s="87" t="s">
        <v>1128</v>
      </c>
      <c r="C23" s="469">
        <f>COUNTIF(A4:A12,"Đà Lạt")</f>
        <v>2</v>
      </c>
      <c r="D23" s="476">
        <f>SUMIF(A4:A12,"Đà Lạt",E4:E12)</f>
        <v>1040000</v>
      </c>
      <c r="E23" s="476">
        <f>SUMIF(A4:A12,"Đà Lạt",E4:E12)</f>
        <v>1040000</v>
      </c>
      <c r="F23" s="476">
        <f>SUMIF(A4:A12,"Đà Lạt",F4:F12)</f>
        <v>520000</v>
      </c>
      <c r="G23" s="477">
        <f>SUM(C23:F23)</f>
        <v>2600002</v>
      </c>
    </row>
    <row r="24" spans="1:7" ht="17.25" thickTop="1" thickBot="1">
      <c r="B24" s="87" t="s">
        <v>208</v>
      </c>
      <c r="C24" s="469">
        <f>COUNTIF(A5:A13,"Đà Lạt")</f>
        <v>2</v>
      </c>
      <c r="D24" s="476">
        <f>SUMIF(A5:A13,"Đà Lạt",E5:E13)</f>
        <v>1040000</v>
      </c>
      <c r="E24" s="476">
        <f>SUMIF(A5:A13,"Đà Lạt",E5:E13)</f>
        <v>1040000</v>
      </c>
      <c r="F24" s="476">
        <f>SUMIF(A5:A13,"Đà Lạt",F5:F13)</f>
        <v>520000</v>
      </c>
      <c r="G24" s="477">
        <f>SUM(C24:F24)</f>
        <v>2600002</v>
      </c>
    </row>
    <row r="25" spans="1:7" ht="17.25" thickTop="1" thickBot="1">
      <c r="B25" s="89" t="s">
        <v>203</v>
      </c>
      <c r="C25" s="469">
        <f>COUNTIF(A6:A14,"Đà Lạt")</f>
        <v>2</v>
      </c>
      <c r="D25" s="476">
        <f>SUMIF(A6:A14,"Đà Lạt",E6:E14)</f>
        <v>1040000</v>
      </c>
      <c r="E25" s="476">
        <f>SUMIF(A6:A14,"Đà Lạt",E6:E14)</f>
        <v>1040000</v>
      </c>
      <c r="F25" s="476">
        <f>SUMIF(A6:A14,"Đà Lạt",F6:F14)</f>
        <v>520000</v>
      </c>
      <c r="G25" s="477">
        <f>SUM(C25:F25)</f>
        <v>2600002</v>
      </c>
    </row>
    <row r="26" spans="1:7" ht="16.5" thickTop="1"/>
    <row r="28" spans="1:7">
      <c r="A28" s="26" t="s">
        <v>1565</v>
      </c>
      <c r="B28" s="26"/>
    </row>
    <row r="29" spans="1:7">
      <c r="A29" s="26"/>
      <c r="B29" s="26" t="s">
        <v>1559</v>
      </c>
    </row>
    <row r="30" spans="1:7">
      <c r="A30" s="26"/>
      <c r="B30" s="26" t="s">
        <v>1564</v>
      </c>
    </row>
    <row r="31" spans="1:7">
      <c r="A31" s="26"/>
      <c r="B31" s="26" t="s">
        <v>1560</v>
      </c>
    </row>
    <row r="32" spans="1:7">
      <c r="A32" s="26" t="s">
        <v>1566</v>
      </c>
      <c r="B32" s="26"/>
    </row>
    <row r="33" spans="1:2">
      <c r="A33" s="26" t="s">
        <v>1567</v>
      </c>
      <c r="B33" s="26"/>
    </row>
  </sheetData>
  <mergeCells count="3">
    <mergeCell ref="A1:G1"/>
    <mergeCell ref="A13:D13"/>
    <mergeCell ref="B20:G20"/>
  </mergeCells>
  <phoneticPr fontId="0" type="noConversion"/>
  <pageMargins left="0.75" right="0.75" top="1" bottom="1" header="0.5" footer="0.5"/>
  <pageSetup paperSize="9" orientation="portrait" r:id="rId1"/>
  <headerFooter alignWithMargins="0">
    <oddFooter>&amp;A</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32"/>
  <sheetViews>
    <sheetView showGridLines="0" workbookViewId="0">
      <selection activeCell="F3" sqref="F3"/>
    </sheetView>
  </sheetViews>
  <sheetFormatPr defaultRowHeight="15.75"/>
  <cols>
    <col min="1" max="1" width="9" style="12" customWidth="1"/>
    <col min="2" max="2" width="10.75" style="12" customWidth="1"/>
    <col min="3" max="3" width="11.25" style="12" customWidth="1"/>
    <col min="4" max="4" width="6.75" style="12" customWidth="1"/>
    <col min="5" max="5" width="6.125" style="12" bestFit="1" customWidth="1"/>
    <col min="6" max="9" width="6.75" style="12" customWidth="1"/>
    <col min="10" max="10" width="8.5" style="12" customWidth="1"/>
    <col min="11" max="16384" width="9" style="12"/>
  </cols>
  <sheetData>
    <row r="1" spans="1:10" ht="24" customHeight="1" thickBot="1">
      <c r="A1" s="926" t="s">
        <v>1578</v>
      </c>
      <c r="B1" s="926"/>
      <c r="C1" s="926"/>
      <c r="D1" s="926"/>
      <c r="E1" s="926"/>
      <c r="F1" s="926"/>
      <c r="G1" s="926"/>
      <c r="H1" s="926"/>
      <c r="I1" s="926"/>
      <c r="J1" s="926"/>
    </row>
    <row r="2" spans="1:10" ht="17.25" thickTop="1" thickBot="1">
      <c r="A2" s="237" t="s">
        <v>1579</v>
      </c>
      <c r="B2" s="238" t="s">
        <v>1574</v>
      </c>
      <c r="C2" s="238" t="s">
        <v>1575</v>
      </c>
      <c r="D2" s="238" t="s">
        <v>1576</v>
      </c>
      <c r="E2" s="238" t="s">
        <v>1572</v>
      </c>
      <c r="F2" s="238" t="s">
        <v>1569</v>
      </c>
      <c r="G2" s="238" t="s">
        <v>413</v>
      </c>
      <c r="H2" s="238" t="s">
        <v>152</v>
      </c>
      <c r="I2" s="238" t="s">
        <v>413</v>
      </c>
      <c r="J2" s="239" t="s">
        <v>2043</v>
      </c>
    </row>
    <row r="3" spans="1:10" ht="16.5" thickTop="1">
      <c r="A3" s="83" t="s">
        <v>1573</v>
      </c>
      <c r="B3" s="255">
        <v>36225</v>
      </c>
      <c r="C3" s="255">
        <v>36323</v>
      </c>
      <c r="D3" s="19" t="s">
        <v>808</v>
      </c>
      <c r="E3" s="20">
        <f>(C3-B3+1)*HLOOKUP(RIGHT(D3,2),$E$15:$J$16,2,0)</f>
        <v>990</v>
      </c>
      <c r="F3" s="222">
        <f>INT((C3-B3)/7)</f>
        <v>14</v>
      </c>
      <c r="G3" s="222">
        <f>VLOOKUP(LEFT(D3,3),$A$16:$C$24,2,0)</f>
        <v>45</v>
      </c>
      <c r="H3" s="222">
        <f>MOD(C3-B3+1,7)</f>
        <v>1</v>
      </c>
      <c r="I3" s="222">
        <f>VLOOKUP(LEFT(D3,3),$A$16:$C$24,3,0)</f>
        <v>8</v>
      </c>
      <c r="J3" s="78">
        <f>E3+F3*G3+H3*I3</f>
        <v>1628</v>
      </c>
    </row>
    <row r="4" spans="1:10">
      <c r="A4" s="87" t="s">
        <v>1571</v>
      </c>
      <c r="B4" s="256">
        <v>36244</v>
      </c>
      <c r="C4" s="256">
        <v>36298</v>
      </c>
      <c r="D4" s="485" t="s">
        <v>809</v>
      </c>
      <c r="E4" s="20">
        <f t="shared" ref="E4:E12" si="0">(C4-B4+1)*HLOOKUP(RIGHT(D4,2),$E$15:$J$16,2,0)</f>
        <v>825</v>
      </c>
      <c r="F4" s="222">
        <f t="shared" ref="F4:F12" si="1">INT((C4-B4)/7)</f>
        <v>7</v>
      </c>
      <c r="G4" s="222">
        <f t="shared" ref="G4:G12" si="2">VLOOKUP(LEFT(D4,3),$A$16:$C$24,2,0)</f>
        <v>40</v>
      </c>
      <c r="H4" s="222">
        <f t="shared" ref="H4:H12" si="3">MOD(C4-B4+1,7)</f>
        <v>6</v>
      </c>
      <c r="I4" s="222">
        <f t="shared" ref="I4:I12" si="4">VLOOKUP(LEFT(D4,3),$A$16:$C$24,3,0)</f>
        <v>7</v>
      </c>
      <c r="J4" s="78">
        <f t="shared" ref="J4:J12" si="5">E4+F4*G4+H4*I4</f>
        <v>1147</v>
      </c>
    </row>
    <row r="5" spans="1:10">
      <c r="A5" s="87" t="s">
        <v>2058</v>
      </c>
      <c r="B5" s="256">
        <v>36239</v>
      </c>
      <c r="C5" s="256">
        <v>36295</v>
      </c>
      <c r="D5" s="25" t="s">
        <v>810</v>
      </c>
      <c r="E5" s="20">
        <f t="shared" si="0"/>
        <v>285</v>
      </c>
      <c r="F5" s="222">
        <f t="shared" si="1"/>
        <v>8</v>
      </c>
      <c r="G5" s="222">
        <f t="shared" si="2"/>
        <v>45</v>
      </c>
      <c r="H5" s="222">
        <f t="shared" si="3"/>
        <v>1</v>
      </c>
      <c r="I5" s="222">
        <f t="shared" si="4"/>
        <v>8</v>
      </c>
      <c r="J5" s="78">
        <f t="shared" si="5"/>
        <v>653</v>
      </c>
    </row>
    <row r="6" spans="1:10">
      <c r="A6" s="87" t="s">
        <v>236</v>
      </c>
      <c r="B6" s="256">
        <v>36244</v>
      </c>
      <c r="C6" s="256">
        <v>36262</v>
      </c>
      <c r="D6" s="25" t="s">
        <v>811</v>
      </c>
      <c r="E6" s="20">
        <f t="shared" si="0"/>
        <v>152</v>
      </c>
      <c r="F6" s="222">
        <f t="shared" si="1"/>
        <v>2</v>
      </c>
      <c r="G6" s="222">
        <f t="shared" si="2"/>
        <v>50</v>
      </c>
      <c r="H6" s="222">
        <f t="shared" si="3"/>
        <v>5</v>
      </c>
      <c r="I6" s="222">
        <f t="shared" si="4"/>
        <v>9</v>
      </c>
      <c r="J6" s="78">
        <f t="shared" si="5"/>
        <v>297</v>
      </c>
    </row>
    <row r="7" spans="1:10">
      <c r="A7" s="87" t="s">
        <v>1568</v>
      </c>
      <c r="B7" s="256">
        <v>36246</v>
      </c>
      <c r="C7" s="256">
        <v>36290</v>
      </c>
      <c r="D7" s="25" t="s">
        <v>812</v>
      </c>
      <c r="E7" s="20">
        <f t="shared" si="0"/>
        <v>810</v>
      </c>
      <c r="F7" s="222">
        <f t="shared" si="1"/>
        <v>6</v>
      </c>
      <c r="G7" s="222">
        <f t="shared" si="2"/>
        <v>28</v>
      </c>
      <c r="H7" s="222">
        <f t="shared" si="3"/>
        <v>3</v>
      </c>
      <c r="I7" s="222">
        <f t="shared" si="4"/>
        <v>5</v>
      </c>
      <c r="J7" s="78">
        <f t="shared" si="5"/>
        <v>993</v>
      </c>
    </row>
    <row r="8" spans="1:10">
      <c r="A8" s="87" t="s">
        <v>501</v>
      </c>
      <c r="B8" s="256">
        <v>36251</v>
      </c>
      <c r="C8" s="256">
        <v>36308</v>
      </c>
      <c r="D8" s="25" t="s">
        <v>813</v>
      </c>
      <c r="E8" s="20">
        <f t="shared" si="0"/>
        <v>1044</v>
      </c>
      <c r="F8" s="222">
        <f t="shared" si="1"/>
        <v>8</v>
      </c>
      <c r="G8" s="222">
        <f t="shared" si="2"/>
        <v>45</v>
      </c>
      <c r="H8" s="222">
        <f t="shared" si="3"/>
        <v>2</v>
      </c>
      <c r="I8" s="222">
        <f t="shared" si="4"/>
        <v>8</v>
      </c>
      <c r="J8" s="78">
        <f t="shared" si="5"/>
        <v>1420</v>
      </c>
    </row>
    <row r="9" spans="1:10">
      <c r="A9" s="87" t="s">
        <v>814</v>
      </c>
      <c r="B9" s="256">
        <v>36253</v>
      </c>
      <c r="C9" s="256">
        <v>36314</v>
      </c>
      <c r="D9" s="25" t="s">
        <v>815</v>
      </c>
      <c r="E9" s="20">
        <f t="shared" si="0"/>
        <v>496</v>
      </c>
      <c r="F9" s="222">
        <f t="shared" si="1"/>
        <v>8</v>
      </c>
      <c r="G9" s="222">
        <f t="shared" si="2"/>
        <v>28</v>
      </c>
      <c r="H9" s="222">
        <f t="shared" si="3"/>
        <v>6</v>
      </c>
      <c r="I9" s="222">
        <f t="shared" si="4"/>
        <v>5</v>
      </c>
      <c r="J9" s="78">
        <f t="shared" si="5"/>
        <v>750</v>
      </c>
    </row>
    <row r="10" spans="1:10">
      <c r="A10" s="87" t="s">
        <v>1581</v>
      </c>
      <c r="B10" s="256">
        <v>36287</v>
      </c>
      <c r="C10" s="256">
        <v>36323</v>
      </c>
      <c r="D10" s="25" t="s">
        <v>816</v>
      </c>
      <c r="E10" s="20">
        <f t="shared" si="0"/>
        <v>555</v>
      </c>
      <c r="F10" s="222">
        <f t="shared" si="1"/>
        <v>5</v>
      </c>
      <c r="G10" s="222">
        <f t="shared" si="2"/>
        <v>40</v>
      </c>
      <c r="H10" s="222">
        <f t="shared" si="3"/>
        <v>2</v>
      </c>
      <c r="I10" s="222">
        <f t="shared" si="4"/>
        <v>7</v>
      </c>
      <c r="J10" s="78">
        <f t="shared" si="5"/>
        <v>769</v>
      </c>
    </row>
    <row r="11" spans="1:10">
      <c r="A11" s="87" t="s">
        <v>1006</v>
      </c>
      <c r="B11" s="256">
        <v>36261</v>
      </c>
      <c r="C11" s="256">
        <v>36317</v>
      </c>
      <c r="D11" s="25" t="s">
        <v>817</v>
      </c>
      <c r="E11" s="20">
        <f t="shared" si="0"/>
        <v>684</v>
      </c>
      <c r="F11" s="222">
        <f t="shared" si="1"/>
        <v>8</v>
      </c>
      <c r="G11" s="222">
        <f t="shared" si="2"/>
        <v>40</v>
      </c>
      <c r="H11" s="222">
        <f t="shared" si="3"/>
        <v>1</v>
      </c>
      <c r="I11" s="222">
        <f t="shared" si="4"/>
        <v>7</v>
      </c>
      <c r="J11" s="78">
        <f t="shared" si="5"/>
        <v>1011</v>
      </c>
    </row>
    <row r="12" spans="1:10" ht="16.5" thickBot="1">
      <c r="A12" s="89" t="s">
        <v>1570</v>
      </c>
      <c r="B12" s="257">
        <v>36265</v>
      </c>
      <c r="C12" s="257">
        <v>36325</v>
      </c>
      <c r="D12" s="153" t="s">
        <v>818</v>
      </c>
      <c r="E12" s="20">
        <f t="shared" si="0"/>
        <v>305</v>
      </c>
      <c r="F12" s="222">
        <f t="shared" si="1"/>
        <v>8</v>
      </c>
      <c r="G12" s="222">
        <f t="shared" si="2"/>
        <v>41</v>
      </c>
      <c r="H12" s="222">
        <f t="shared" si="3"/>
        <v>5</v>
      </c>
      <c r="I12" s="222">
        <f t="shared" si="4"/>
        <v>7</v>
      </c>
      <c r="J12" s="78">
        <f t="shared" si="5"/>
        <v>668</v>
      </c>
    </row>
    <row r="13" spans="1:10" ht="16.5" thickTop="1"/>
    <row r="14" spans="1:10" ht="16.5" thickBot="1">
      <c r="A14" s="946" t="s">
        <v>1582</v>
      </c>
      <c r="B14" s="946"/>
      <c r="C14" s="946"/>
      <c r="D14" s="135"/>
      <c r="E14" s="1003" t="s">
        <v>1580</v>
      </c>
      <c r="F14" s="1003"/>
      <c r="G14" s="1003"/>
      <c r="H14" s="1003"/>
      <c r="I14" s="1003"/>
      <c r="J14" s="1003"/>
    </row>
    <row r="15" spans="1:10" ht="17.25" thickTop="1" thickBot="1">
      <c r="A15" s="237" t="s">
        <v>385</v>
      </c>
      <c r="B15" s="238" t="s">
        <v>1569</v>
      </c>
      <c r="C15" s="239" t="s">
        <v>152</v>
      </c>
      <c r="E15" s="486" t="s">
        <v>819</v>
      </c>
      <c r="F15" s="486" t="s">
        <v>862</v>
      </c>
      <c r="G15" s="486" t="s">
        <v>864</v>
      </c>
      <c r="H15" s="486" t="s">
        <v>861</v>
      </c>
      <c r="I15" s="486" t="s">
        <v>863</v>
      </c>
      <c r="J15" s="486" t="s">
        <v>820</v>
      </c>
    </row>
    <row r="16" spans="1:10" ht="16.5" thickTop="1">
      <c r="A16" s="17" t="s">
        <v>821</v>
      </c>
      <c r="B16" s="19">
        <v>50</v>
      </c>
      <c r="C16" s="249">
        <v>9</v>
      </c>
      <c r="E16" s="25">
        <v>5</v>
      </c>
      <c r="F16" s="25">
        <v>8</v>
      </c>
      <c r="G16" s="25">
        <v>10</v>
      </c>
      <c r="H16" s="25">
        <v>12</v>
      </c>
      <c r="I16" s="25">
        <v>15</v>
      </c>
      <c r="J16" s="25">
        <v>18</v>
      </c>
    </row>
    <row r="17" spans="1:3">
      <c r="A17" s="23" t="s">
        <v>822</v>
      </c>
      <c r="B17" s="25">
        <v>45</v>
      </c>
      <c r="C17" s="250">
        <v>8</v>
      </c>
    </row>
    <row r="18" spans="1:3">
      <c r="A18" s="23" t="s">
        <v>829</v>
      </c>
      <c r="B18" s="25">
        <v>45</v>
      </c>
      <c r="C18" s="250">
        <v>8</v>
      </c>
    </row>
    <row r="19" spans="1:3">
      <c r="A19" s="23" t="s">
        <v>830</v>
      </c>
      <c r="B19" s="25">
        <v>40</v>
      </c>
      <c r="C19" s="250">
        <v>7</v>
      </c>
    </row>
    <row r="20" spans="1:3">
      <c r="A20" s="23" t="s">
        <v>831</v>
      </c>
      <c r="B20" s="25">
        <v>40</v>
      </c>
      <c r="C20" s="250">
        <v>7</v>
      </c>
    </row>
    <row r="21" spans="1:3">
      <c r="A21" s="23" t="s">
        <v>832</v>
      </c>
      <c r="B21" s="25">
        <v>36</v>
      </c>
      <c r="C21" s="250">
        <v>6</v>
      </c>
    </row>
    <row r="22" spans="1:3">
      <c r="A22" s="23" t="s">
        <v>833</v>
      </c>
      <c r="B22" s="25">
        <v>30</v>
      </c>
      <c r="C22" s="250">
        <v>5</v>
      </c>
    </row>
    <row r="23" spans="1:3">
      <c r="A23" s="23" t="s">
        <v>834</v>
      </c>
      <c r="B23" s="25">
        <v>28</v>
      </c>
      <c r="C23" s="250">
        <v>5</v>
      </c>
    </row>
    <row r="24" spans="1:3" ht="16.5" thickBot="1">
      <c r="A24" s="79" t="s">
        <v>835</v>
      </c>
      <c r="B24" s="153">
        <v>41</v>
      </c>
      <c r="C24" s="251">
        <v>7</v>
      </c>
    </row>
    <row r="25" spans="1:3" ht="16.5" thickTop="1"/>
    <row r="26" spans="1:3">
      <c r="A26" s="26" t="s">
        <v>1583</v>
      </c>
    </row>
    <row r="27" spans="1:3">
      <c r="A27" s="26" t="s">
        <v>1577</v>
      </c>
    </row>
    <row r="28" spans="1:3">
      <c r="A28" s="26" t="s">
        <v>1584</v>
      </c>
    </row>
    <row r="29" spans="1:3">
      <c r="A29" s="26" t="s">
        <v>1585</v>
      </c>
    </row>
    <row r="30" spans="1:3">
      <c r="A30" s="26" t="s">
        <v>1586</v>
      </c>
    </row>
    <row r="31" spans="1:3">
      <c r="A31" s="26" t="s">
        <v>1587</v>
      </c>
    </row>
    <row r="32" spans="1:3">
      <c r="A32" s="26" t="s">
        <v>1588</v>
      </c>
    </row>
  </sheetData>
  <mergeCells count="3">
    <mergeCell ref="A1:J1"/>
    <mergeCell ref="A14:C14"/>
    <mergeCell ref="E14:J14"/>
  </mergeCells>
  <phoneticPr fontId="0" type="noConversion"/>
  <pageMargins left="0.75" right="0.75" top="1" bottom="1" header="0.5" footer="0.5"/>
  <pageSetup paperSize="9" orientation="portrait" r:id="rId1"/>
  <headerFooter alignWithMargins="0">
    <oddFooter>&amp;A</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J34"/>
  <sheetViews>
    <sheetView showGridLines="0" topLeftCell="A25" zoomScaleNormal="100" workbookViewId="0">
      <selection activeCell="J9" sqref="J9"/>
    </sheetView>
  </sheetViews>
  <sheetFormatPr defaultRowHeight="15.75"/>
  <cols>
    <col min="1" max="1" width="7.125" style="12" customWidth="1"/>
    <col min="2" max="3" width="8.625" style="12" customWidth="1"/>
    <col min="4" max="4" width="7.5" style="12" customWidth="1"/>
    <col min="5" max="5" width="7.625" style="12" customWidth="1"/>
    <col min="6" max="9" width="8.625" style="12" customWidth="1"/>
    <col min="10" max="10" width="6.125" style="12" customWidth="1"/>
    <col min="11" max="16384" width="9" style="12"/>
  </cols>
  <sheetData>
    <row r="1" spans="1:10" ht="24" customHeight="1" thickBot="1">
      <c r="A1" s="1005" t="s">
        <v>1592</v>
      </c>
      <c r="B1" s="1005"/>
      <c r="C1" s="1005"/>
      <c r="D1" s="1005"/>
      <c r="E1" s="1005"/>
      <c r="F1" s="1005"/>
      <c r="G1" s="1005"/>
      <c r="H1" s="1005"/>
      <c r="I1" s="1005"/>
      <c r="J1" s="1005"/>
    </row>
    <row r="2" spans="1:10" s="76" customFormat="1" ht="48" customHeight="1" thickTop="1" thickBot="1">
      <c r="A2" s="386" t="s">
        <v>1596</v>
      </c>
      <c r="B2" s="387" t="s">
        <v>2336</v>
      </c>
      <c r="C2" s="387" t="s">
        <v>1590</v>
      </c>
      <c r="D2" s="387" t="s">
        <v>2108</v>
      </c>
      <c r="E2" s="387" t="s">
        <v>2107</v>
      </c>
      <c r="F2" s="387" t="s">
        <v>1593</v>
      </c>
      <c r="G2" s="387" t="s">
        <v>1595</v>
      </c>
      <c r="H2" s="387" t="s">
        <v>1597</v>
      </c>
      <c r="I2" s="387" t="s">
        <v>1598</v>
      </c>
      <c r="J2" s="388" t="s">
        <v>117</v>
      </c>
    </row>
    <row r="3" spans="1:10" ht="16.5" thickTop="1">
      <c r="A3" s="83" t="s">
        <v>784</v>
      </c>
      <c r="B3" s="18" t="s">
        <v>620</v>
      </c>
      <c r="C3" s="18" t="s">
        <v>785</v>
      </c>
      <c r="D3" s="19">
        <v>210</v>
      </c>
      <c r="E3" s="19">
        <v>280</v>
      </c>
      <c r="F3" s="219">
        <f>IF((E3-D3)&lt;=INDEX($B$15:$F$19,MATCH(RIGHT(C3,1),$A$15:$A$19,0),MATCH(LEFT(C3,2),$B$14:$F$14,0)),E3-D3,INDEX($B$15:$F$19,MATCH(RIGHT(C3,1),$A$15:$A$19,0),MATCH(LEFT(C3,2),$B$14:$F$14,0)))</f>
        <v>50</v>
      </c>
      <c r="G3" s="77">
        <f>IF(E3-D3-VALUE(F3)&lt;0,0,E3-D3-VALUE(F3))</f>
        <v>20</v>
      </c>
      <c r="H3" s="20">
        <f>F3*INDEX($B$22:$F$26,MATCH(LEFT(C3,2),$A$22:$A$26,0),MATCH(RIGHT(C3,1),$B$21:$F$21,0))</f>
        <v>1500</v>
      </c>
      <c r="I3" s="20">
        <f>G3*INDEX($B$22:$F$26,MATCH(LEFT(C3,2),$A$22:$A$26,0),MATCH(RIGHT(C3,1),$B$21:$F$21,0))*2</f>
        <v>1200</v>
      </c>
      <c r="J3" s="78">
        <f>SUM(H3+I3)</f>
        <v>2700</v>
      </c>
    </row>
    <row r="4" spans="1:10">
      <c r="A4" s="87" t="s">
        <v>786</v>
      </c>
      <c r="B4" s="24" t="s">
        <v>1599</v>
      </c>
      <c r="C4" s="24" t="s">
        <v>787</v>
      </c>
      <c r="D4" s="25">
        <v>220</v>
      </c>
      <c r="E4" s="25">
        <v>330</v>
      </c>
      <c r="F4" s="219">
        <f t="shared" ref="F4:F12" si="0">IF((E4-D4)&lt;=INDEX($B$15:$F$19,MATCH(RIGHT(C4,1),$A$15:$A$19,0),MATCH(LEFT(C4,2),$B$14:$F$14,0)),E4-D4,INDEX($B$15:$F$19,MATCH(RIGHT(C4,1),$A$15:$A$19,0),MATCH(LEFT(C4,2),$B$14:$F$14,0)))</f>
        <v>90</v>
      </c>
      <c r="G4" s="77">
        <f t="shared" ref="G4:G12" si="1">IF(E4-D4-VALUE(F4)&lt;0,0,E4-D4-VALUE(F4))</f>
        <v>20</v>
      </c>
      <c r="H4" s="20">
        <f t="shared" ref="H4:H12" si="2">F4*INDEX($B$22:$F$26,MATCH(LEFT(C4,2),$A$22:$A$26,0),MATCH(RIGHT(C4,1),$B$21:$F$21,0))</f>
        <v>4050</v>
      </c>
      <c r="I4" s="20">
        <f t="shared" ref="I4:I12" si="3">G4*INDEX($B$22:$F$26,MATCH(LEFT(C4,2),$A$22:$A$26,0),MATCH(RIGHT(C4,1),$B$21:$F$21,0))*2</f>
        <v>1800</v>
      </c>
      <c r="J4" s="78">
        <f t="shared" ref="J4:J12" si="4">SUM(H4+I4)</f>
        <v>5850</v>
      </c>
    </row>
    <row r="5" spans="1:10">
      <c r="A5" s="87" t="s">
        <v>788</v>
      </c>
      <c r="B5" s="24" t="s">
        <v>1568</v>
      </c>
      <c r="C5" s="24" t="s">
        <v>789</v>
      </c>
      <c r="D5" s="25">
        <v>270</v>
      </c>
      <c r="E5" s="25">
        <v>300</v>
      </c>
      <c r="F5" s="219">
        <f t="shared" si="0"/>
        <v>30</v>
      </c>
      <c r="G5" s="77">
        <f t="shared" si="1"/>
        <v>0</v>
      </c>
      <c r="H5" s="20">
        <f t="shared" si="2"/>
        <v>450</v>
      </c>
      <c r="I5" s="20">
        <f t="shared" si="3"/>
        <v>0</v>
      </c>
      <c r="J5" s="78">
        <f t="shared" si="4"/>
        <v>450</v>
      </c>
    </row>
    <row r="6" spans="1:10">
      <c r="A6" s="87" t="s">
        <v>790</v>
      </c>
      <c r="B6" s="24" t="s">
        <v>2058</v>
      </c>
      <c r="C6" s="24" t="s">
        <v>791</v>
      </c>
      <c r="D6" s="25">
        <v>270</v>
      </c>
      <c r="E6" s="25">
        <v>350</v>
      </c>
      <c r="F6" s="219">
        <f t="shared" si="0"/>
        <v>55</v>
      </c>
      <c r="G6" s="77">
        <f t="shared" si="1"/>
        <v>25</v>
      </c>
      <c r="H6" s="20">
        <f t="shared" si="2"/>
        <v>1375</v>
      </c>
      <c r="I6" s="20">
        <f t="shared" si="3"/>
        <v>1250</v>
      </c>
      <c r="J6" s="78">
        <f t="shared" si="4"/>
        <v>2625</v>
      </c>
    </row>
    <row r="7" spans="1:10">
      <c r="A7" s="87" t="s">
        <v>792</v>
      </c>
      <c r="B7" s="24" t="s">
        <v>807</v>
      </c>
      <c r="C7" s="24" t="s">
        <v>785</v>
      </c>
      <c r="D7" s="25">
        <v>300</v>
      </c>
      <c r="E7" s="25">
        <v>340</v>
      </c>
      <c r="F7" s="219">
        <f t="shared" si="0"/>
        <v>40</v>
      </c>
      <c r="G7" s="77">
        <f t="shared" si="1"/>
        <v>0</v>
      </c>
      <c r="H7" s="20">
        <f t="shared" si="2"/>
        <v>1200</v>
      </c>
      <c r="I7" s="20">
        <f t="shared" si="3"/>
        <v>0</v>
      </c>
      <c r="J7" s="78">
        <f t="shared" si="4"/>
        <v>1200</v>
      </c>
    </row>
    <row r="8" spans="1:10">
      <c r="A8" s="87" t="s">
        <v>793</v>
      </c>
      <c r="B8" s="24" t="s">
        <v>1589</v>
      </c>
      <c r="C8" s="24" t="s">
        <v>794</v>
      </c>
      <c r="D8" s="25">
        <v>280</v>
      </c>
      <c r="E8" s="25">
        <v>330</v>
      </c>
      <c r="F8" s="219">
        <f t="shared" si="0"/>
        <v>50</v>
      </c>
      <c r="G8" s="77">
        <f t="shared" si="1"/>
        <v>0</v>
      </c>
      <c r="H8" s="20">
        <f t="shared" si="2"/>
        <v>2500</v>
      </c>
      <c r="I8" s="20">
        <f t="shared" si="3"/>
        <v>0</v>
      </c>
      <c r="J8" s="78">
        <f t="shared" si="4"/>
        <v>2500</v>
      </c>
    </row>
    <row r="9" spans="1:10">
      <c r="A9" s="87" t="s">
        <v>795</v>
      </c>
      <c r="B9" s="24" t="s">
        <v>236</v>
      </c>
      <c r="C9" s="24" t="s">
        <v>791</v>
      </c>
      <c r="D9" s="25">
        <v>210</v>
      </c>
      <c r="E9" s="25">
        <v>340</v>
      </c>
      <c r="F9" s="219">
        <f t="shared" si="0"/>
        <v>55</v>
      </c>
      <c r="G9" s="77">
        <f t="shared" si="1"/>
        <v>75</v>
      </c>
      <c r="H9" s="20">
        <f t="shared" si="2"/>
        <v>1375</v>
      </c>
      <c r="I9" s="20">
        <f t="shared" si="3"/>
        <v>3750</v>
      </c>
      <c r="J9" s="78">
        <f t="shared" si="4"/>
        <v>5125</v>
      </c>
    </row>
    <row r="10" spans="1:10">
      <c r="A10" s="87" t="s">
        <v>796</v>
      </c>
      <c r="B10" s="24" t="s">
        <v>1604</v>
      </c>
      <c r="C10" s="24" t="s">
        <v>797</v>
      </c>
      <c r="D10" s="25">
        <v>230</v>
      </c>
      <c r="E10" s="25">
        <v>350</v>
      </c>
      <c r="F10" s="219">
        <f t="shared" si="0"/>
        <v>95</v>
      </c>
      <c r="G10" s="77">
        <f t="shared" si="1"/>
        <v>25</v>
      </c>
      <c r="H10" s="20">
        <f t="shared" si="2"/>
        <v>4750</v>
      </c>
      <c r="I10" s="20">
        <f t="shared" si="3"/>
        <v>2500</v>
      </c>
      <c r="J10" s="78">
        <f t="shared" si="4"/>
        <v>7250</v>
      </c>
    </row>
    <row r="11" spans="1:10">
      <c r="A11" s="87" t="s">
        <v>798</v>
      </c>
      <c r="B11" s="24" t="s">
        <v>1006</v>
      </c>
      <c r="C11" s="24" t="s">
        <v>787</v>
      </c>
      <c r="D11" s="25">
        <v>260</v>
      </c>
      <c r="E11" s="25">
        <v>320</v>
      </c>
      <c r="F11" s="219">
        <f t="shared" si="0"/>
        <v>60</v>
      </c>
      <c r="G11" s="77">
        <f t="shared" si="1"/>
        <v>0</v>
      </c>
      <c r="H11" s="20">
        <f t="shared" si="2"/>
        <v>2700</v>
      </c>
      <c r="I11" s="20">
        <f t="shared" si="3"/>
        <v>0</v>
      </c>
      <c r="J11" s="78">
        <f t="shared" si="4"/>
        <v>2700</v>
      </c>
    </row>
    <row r="12" spans="1:10" ht="16.5" thickBot="1">
      <c r="A12" s="89" t="s">
        <v>799</v>
      </c>
      <c r="B12" s="80" t="s">
        <v>1591</v>
      </c>
      <c r="C12" s="80" t="s">
        <v>800</v>
      </c>
      <c r="D12" s="153">
        <v>270</v>
      </c>
      <c r="E12" s="153">
        <v>340</v>
      </c>
      <c r="F12" s="219">
        <f t="shared" si="0"/>
        <v>70</v>
      </c>
      <c r="G12" s="77">
        <f t="shared" si="1"/>
        <v>0</v>
      </c>
      <c r="H12" s="20">
        <f t="shared" si="2"/>
        <v>2800</v>
      </c>
      <c r="I12" s="20">
        <f t="shared" si="3"/>
        <v>0</v>
      </c>
      <c r="J12" s="78">
        <f t="shared" si="4"/>
        <v>2800</v>
      </c>
    </row>
    <row r="13" spans="1:10" ht="17.25" thickTop="1" thickBot="1">
      <c r="A13" s="945" t="s">
        <v>1594</v>
      </c>
      <c r="B13" s="945"/>
      <c r="C13" s="945"/>
      <c r="D13" s="945"/>
      <c r="E13" s="945"/>
      <c r="F13" s="945"/>
    </row>
    <row r="14" spans="1:10" ht="17.25" thickTop="1" thickBot="1">
      <c r="A14" s="487"/>
      <c r="B14" s="488" t="s">
        <v>801</v>
      </c>
      <c r="C14" s="238" t="s">
        <v>802</v>
      </c>
      <c r="D14" s="238" t="s">
        <v>803</v>
      </c>
      <c r="E14" s="238" t="s">
        <v>804</v>
      </c>
      <c r="F14" s="239" t="s">
        <v>805</v>
      </c>
    </row>
    <row r="15" spans="1:10" ht="16.5" thickTop="1">
      <c r="A15" s="489" t="s">
        <v>1022</v>
      </c>
      <c r="B15" s="490">
        <v>50</v>
      </c>
      <c r="C15" s="491">
        <v>40</v>
      </c>
      <c r="D15" s="491">
        <v>20</v>
      </c>
      <c r="E15" s="491">
        <v>60</v>
      </c>
      <c r="F15" s="492">
        <v>30</v>
      </c>
    </row>
    <row r="16" spans="1:10">
      <c r="A16" s="493" t="s">
        <v>1023</v>
      </c>
      <c r="B16" s="494">
        <v>60</v>
      </c>
      <c r="C16" s="486">
        <v>40</v>
      </c>
      <c r="D16" s="486">
        <v>50</v>
      </c>
      <c r="E16" s="486">
        <v>80</v>
      </c>
      <c r="F16" s="495">
        <v>60</v>
      </c>
    </row>
    <row r="17" spans="1:6">
      <c r="A17" s="493" t="s">
        <v>1024</v>
      </c>
      <c r="B17" s="494">
        <v>70</v>
      </c>
      <c r="C17" s="486">
        <v>55</v>
      </c>
      <c r="D17" s="486">
        <v>70</v>
      </c>
      <c r="E17" s="486">
        <v>95</v>
      </c>
      <c r="F17" s="495">
        <v>85</v>
      </c>
    </row>
    <row r="18" spans="1:6">
      <c r="A18" s="493" t="s">
        <v>1025</v>
      </c>
      <c r="B18" s="494">
        <v>75</v>
      </c>
      <c r="C18" s="486">
        <v>65</v>
      </c>
      <c r="D18" s="486">
        <v>95</v>
      </c>
      <c r="E18" s="486">
        <v>120</v>
      </c>
      <c r="F18" s="495">
        <v>90</v>
      </c>
    </row>
    <row r="19" spans="1:6" ht="16.5" thickBot="1">
      <c r="A19" s="496" t="s">
        <v>806</v>
      </c>
      <c r="B19" s="497">
        <v>85</v>
      </c>
      <c r="C19" s="498">
        <v>70</v>
      </c>
      <c r="D19" s="498">
        <v>110</v>
      </c>
      <c r="E19" s="498">
        <v>150</v>
      </c>
      <c r="F19" s="499">
        <v>95</v>
      </c>
    </row>
    <row r="20" spans="1:6" ht="17.25" thickTop="1" thickBot="1">
      <c r="A20" s="945" t="s">
        <v>1601</v>
      </c>
      <c r="B20" s="945"/>
      <c r="C20" s="945"/>
      <c r="D20" s="945"/>
      <c r="E20" s="945"/>
      <c r="F20" s="945"/>
    </row>
    <row r="21" spans="1:6" ht="17.25" thickTop="1" thickBot="1">
      <c r="A21" s="487"/>
      <c r="B21" s="488" t="s">
        <v>1022</v>
      </c>
      <c r="C21" s="238" t="s">
        <v>1023</v>
      </c>
      <c r="D21" s="238" t="s">
        <v>1024</v>
      </c>
      <c r="E21" s="238" t="s">
        <v>1025</v>
      </c>
      <c r="F21" s="239" t="s">
        <v>806</v>
      </c>
    </row>
    <row r="22" spans="1:6" ht="16.5" thickTop="1">
      <c r="A22" s="489" t="s">
        <v>801</v>
      </c>
      <c r="B22" s="490">
        <v>30</v>
      </c>
      <c r="C22" s="491">
        <v>40</v>
      </c>
      <c r="D22" s="491">
        <v>45</v>
      </c>
      <c r="E22" s="491">
        <v>55</v>
      </c>
      <c r="F22" s="492">
        <v>70</v>
      </c>
    </row>
    <row r="23" spans="1:6">
      <c r="A23" s="493" t="s">
        <v>802</v>
      </c>
      <c r="B23" s="494">
        <v>15</v>
      </c>
      <c r="C23" s="486">
        <v>25</v>
      </c>
      <c r="D23" s="486">
        <v>25</v>
      </c>
      <c r="E23" s="486">
        <v>50</v>
      </c>
      <c r="F23" s="495">
        <v>50</v>
      </c>
    </row>
    <row r="24" spans="1:6">
      <c r="A24" s="493" t="s">
        <v>803</v>
      </c>
      <c r="B24" s="494">
        <v>12</v>
      </c>
      <c r="C24" s="486">
        <v>24</v>
      </c>
      <c r="D24" s="486">
        <v>20</v>
      </c>
      <c r="E24" s="486">
        <v>50</v>
      </c>
      <c r="F24" s="495">
        <v>40</v>
      </c>
    </row>
    <row r="25" spans="1:6">
      <c r="A25" s="493" t="s">
        <v>804</v>
      </c>
      <c r="B25" s="494">
        <v>35</v>
      </c>
      <c r="C25" s="486">
        <v>60</v>
      </c>
      <c r="D25" s="486">
        <v>70</v>
      </c>
      <c r="E25" s="486">
        <v>80</v>
      </c>
      <c r="F25" s="495">
        <v>90</v>
      </c>
    </row>
    <row r="26" spans="1:6" ht="16.5" thickBot="1">
      <c r="A26" s="496" t="s">
        <v>805</v>
      </c>
      <c r="B26" s="497">
        <v>10</v>
      </c>
      <c r="C26" s="498">
        <v>20</v>
      </c>
      <c r="D26" s="498">
        <v>15</v>
      </c>
      <c r="E26" s="498">
        <v>45</v>
      </c>
      <c r="F26" s="499">
        <v>35</v>
      </c>
    </row>
    <row r="27" spans="1:6" ht="16.5" thickTop="1"/>
    <row r="29" spans="1:6">
      <c r="A29" s="26" t="s">
        <v>1602</v>
      </c>
    </row>
    <row r="30" spans="1:6">
      <c r="A30" s="26" t="s">
        <v>1607</v>
      </c>
    </row>
    <row r="31" spans="1:6">
      <c r="A31" s="26" t="s">
        <v>1605</v>
      </c>
    </row>
    <row r="32" spans="1:6">
      <c r="A32" s="26" t="s">
        <v>1603</v>
      </c>
    </row>
    <row r="33" spans="1:1">
      <c r="A33" s="26" t="s">
        <v>1606</v>
      </c>
    </row>
    <row r="34" spans="1:1">
      <c r="A34" s="26" t="s">
        <v>1600</v>
      </c>
    </row>
  </sheetData>
  <mergeCells count="3">
    <mergeCell ref="A13:F13"/>
    <mergeCell ref="A20:F20"/>
    <mergeCell ref="A1:J1"/>
  </mergeCells>
  <phoneticPr fontId="0" type="noConversion"/>
  <pageMargins left="0.75" right="0.75" top="1" bottom="1" header="0.5" footer="0.5"/>
  <pageSetup paperSize="9" orientation="portrait" r:id="rId1"/>
  <headerFooter alignWithMargins="0">
    <oddFooter>&amp;A</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I23"/>
  <sheetViews>
    <sheetView showGridLines="0" topLeftCell="A10" workbookViewId="0">
      <selection activeCell="H8" sqref="H8"/>
    </sheetView>
  </sheetViews>
  <sheetFormatPr defaultRowHeight="15.75"/>
  <cols>
    <col min="1" max="1" width="5.375" style="104" customWidth="1"/>
    <col min="2" max="2" width="9" style="12" customWidth="1"/>
    <col min="3" max="3" width="9.125" style="12" customWidth="1"/>
    <col min="4" max="4" width="12" style="12" customWidth="1"/>
    <col min="5" max="5" width="12.25" style="12" customWidth="1"/>
    <col min="6" max="6" width="10.375" style="12" customWidth="1"/>
    <col min="7" max="7" width="8.75" style="12" customWidth="1"/>
    <col min="8" max="8" width="10.125" style="12" customWidth="1"/>
    <col min="9" max="16384" width="9" style="12"/>
  </cols>
  <sheetData>
    <row r="1" spans="1:9" ht="24" customHeight="1" thickBot="1">
      <c r="A1" s="926" t="s">
        <v>1406</v>
      </c>
      <c r="B1" s="926"/>
      <c r="C1" s="926"/>
      <c r="D1" s="926"/>
      <c r="E1" s="926"/>
      <c r="F1" s="926"/>
      <c r="G1" s="926"/>
      <c r="H1" s="926"/>
    </row>
    <row r="2" spans="1:9" ht="17.25" thickTop="1" thickBot="1">
      <c r="A2" s="500" t="s">
        <v>1017</v>
      </c>
      <c r="B2" s="501" t="s">
        <v>660</v>
      </c>
      <c r="C2" s="501" t="s">
        <v>663</v>
      </c>
      <c r="D2" s="501" t="s">
        <v>2375</v>
      </c>
      <c r="E2" s="501" t="s">
        <v>1400</v>
      </c>
      <c r="F2" s="501" t="s">
        <v>687</v>
      </c>
      <c r="G2" s="501" t="s">
        <v>1608</v>
      </c>
      <c r="H2" s="502" t="s">
        <v>151</v>
      </c>
      <c r="I2" s="104"/>
    </row>
    <row r="3" spans="1:9" ht="16.5" thickTop="1">
      <c r="A3" s="503">
        <v>1</v>
      </c>
      <c r="B3" s="504" t="s">
        <v>737</v>
      </c>
      <c r="C3" s="505" t="str">
        <f>VLOOKUP(B3,$B$14:$C$17,2,0)</f>
        <v>Sắt</v>
      </c>
      <c r="D3" s="255">
        <v>35810</v>
      </c>
      <c r="E3" s="504">
        <v>50</v>
      </c>
      <c r="F3" s="20">
        <f>INDEX($D$14:$G$17,MATCH(B3,$B$14:$B$17,0),MATCH(MONTH(D3),$D$13:$G$13,0))</f>
        <v>5000</v>
      </c>
      <c r="G3" s="20">
        <f>IF(E3&gt;100,5%*(E3*F3),0)</f>
        <v>0</v>
      </c>
      <c r="H3" s="78">
        <f>(F3*E3)-G3</f>
        <v>250000</v>
      </c>
      <c r="I3" s="104"/>
    </row>
    <row r="4" spans="1:9">
      <c r="A4" s="506">
        <v>2</v>
      </c>
      <c r="B4" s="485" t="s">
        <v>1024</v>
      </c>
      <c r="C4" s="505" t="str">
        <f t="shared" ref="C4:C9" si="0">VLOOKUP(B4,$B$14:$C$17,2,0)</f>
        <v>Đồng</v>
      </c>
      <c r="D4" s="256">
        <v>35836</v>
      </c>
      <c r="E4" s="485">
        <v>100</v>
      </c>
      <c r="F4" s="20">
        <f t="shared" ref="F4:F9" si="1">INDEX($D$14:$G$17,MATCH(B4,$B$14:$B$17,0),MATCH(MONTH(D4),$D$13:$G$13,0))</f>
        <v>3000</v>
      </c>
      <c r="G4" s="20">
        <f t="shared" ref="G4:G9" si="2">IF(E4&gt;100,5%*(E4*F4),0)</f>
        <v>0</v>
      </c>
      <c r="H4" s="78">
        <f t="shared" ref="H4:H9" si="3">(F4*E4)-G4</f>
        <v>300000</v>
      </c>
      <c r="I4" s="104"/>
    </row>
    <row r="5" spans="1:9">
      <c r="A5" s="506">
        <v>3</v>
      </c>
      <c r="B5" s="485" t="s">
        <v>752</v>
      </c>
      <c r="C5" s="505" t="str">
        <f t="shared" si="0"/>
        <v>Xi măng</v>
      </c>
      <c r="D5" s="256">
        <v>35905</v>
      </c>
      <c r="E5" s="485">
        <v>200</v>
      </c>
      <c r="F5" s="20">
        <f t="shared" si="1"/>
        <v>10000</v>
      </c>
      <c r="G5" s="20">
        <f t="shared" si="2"/>
        <v>100000</v>
      </c>
      <c r="H5" s="78">
        <f t="shared" si="3"/>
        <v>1900000</v>
      </c>
      <c r="I5" s="104"/>
    </row>
    <row r="6" spans="1:9">
      <c r="A6" s="506">
        <v>4</v>
      </c>
      <c r="B6" s="485" t="s">
        <v>737</v>
      </c>
      <c r="C6" s="505" t="str">
        <f t="shared" si="0"/>
        <v>Sắt</v>
      </c>
      <c r="D6" s="256">
        <v>35884</v>
      </c>
      <c r="E6" s="485">
        <v>20</v>
      </c>
      <c r="F6" s="20">
        <f t="shared" si="1"/>
        <v>5000</v>
      </c>
      <c r="G6" s="20">
        <f t="shared" si="2"/>
        <v>0</v>
      </c>
      <c r="H6" s="78">
        <f t="shared" si="3"/>
        <v>100000</v>
      </c>
      <c r="I6" s="104"/>
    </row>
    <row r="7" spans="1:9">
      <c r="A7" s="506">
        <v>5</v>
      </c>
      <c r="B7" s="485" t="s">
        <v>1024</v>
      </c>
      <c r="C7" s="505" t="str">
        <f t="shared" si="0"/>
        <v>Đồng</v>
      </c>
      <c r="D7" s="256">
        <v>35905</v>
      </c>
      <c r="E7" s="485">
        <v>50</v>
      </c>
      <c r="F7" s="20">
        <f t="shared" si="1"/>
        <v>4000</v>
      </c>
      <c r="G7" s="20">
        <f t="shared" si="2"/>
        <v>0</v>
      </c>
      <c r="H7" s="78">
        <f t="shared" si="3"/>
        <v>200000</v>
      </c>
      <c r="I7" s="104"/>
    </row>
    <row r="8" spans="1:9">
      <c r="A8" s="506">
        <v>6</v>
      </c>
      <c r="B8" s="485" t="s">
        <v>1022</v>
      </c>
      <c r="C8" s="505" t="str">
        <f t="shared" si="0"/>
        <v>Nhôm</v>
      </c>
      <c r="D8" s="256">
        <v>35836</v>
      </c>
      <c r="E8" s="485">
        <v>30</v>
      </c>
      <c r="F8" s="20">
        <f t="shared" si="1"/>
        <v>8000</v>
      </c>
      <c r="G8" s="20">
        <f t="shared" si="2"/>
        <v>0</v>
      </c>
      <c r="H8" s="78">
        <f t="shared" si="3"/>
        <v>240000</v>
      </c>
      <c r="I8" s="104"/>
    </row>
    <row r="9" spans="1:9" ht="16.5" thickBot="1">
      <c r="A9" s="507">
        <v>7</v>
      </c>
      <c r="B9" s="508" t="s">
        <v>752</v>
      </c>
      <c r="C9" s="505" t="str">
        <f t="shared" si="0"/>
        <v>Xi măng</v>
      </c>
      <c r="D9" s="257">
        <v>35810</v>
      </c>
      <c r="E9" s="508">
        <v>50</v>
      </c>
      <c r="F9" s="20">
        <f t="shared" si="1"/>
        <v>8000</v>
      </c>
      <c r="G9" s="20">
        <f t="shared" si="2"/>
        <v>0</v>
      </c>
      <c r="H9" s="78">
        <f t="shared" si="3"/>
        <v>400000</v>
      </c>
      <c r="I9" s="104"/>
    </row>
    <row r="10" spans="1:9" ht="16.5" thickTop="1"/>
    <row r="11" spans="1:9" ht="16.5" thickBot="1">
      <c r="B11" s="946" t="s">
        <v>2135</v>
      </c>
      <c r="C11" s="946"/>
      <c r="D11" s="946"/>
      <c r="E11" s="946"/>
      <c r="F11" s="946"/>
      <c r="G11" s="946"/>
    </row>
    <row r="12" spans="1:9" ht="16.5" thickTop="1">
      <c r="B12" s="1058" t="s">
        <v>660</v>
      </c>
      <c r="C12" s="1060" t="s">
        <v>663</v>
      </c>
      <c r="D12" s="1060" t="s">
        <v>1402</v>
      </c>
      <c r="E12" s="1060"/>
      <c r="F12" s="1060"/>
      <c r="G12" s="1062"/>
    </row>
    <row r="13" spans="1:9" ht="16.5" thickBot="1">
      <c r="B13" s="1059"/>
      <c r="C13" s="1061"/>
      <c r="D13" s="442">
        <v>1</v>
      </c>
      <c r="E13" s="442">
        <v>2</v>
      </c>
      <c r="F13" s="442">
        <v>3</v>
      </c>
      <c r="G13" s="443">
        <v>4</v>
      </c>
    </row>
    <row r="14" spans="1:9" ht="16.5" thickTop="1">
      <c r="B14" s="17" t="s">
        <v>737</v>
      </c>
      <c r="C14" s="18" t="s">
        <v>233</v>
      </c>
      <c r="D14" s="115">
        <v>5000</v>
      </c>
      <c r="E14" s="115">
        <v>5500</v>
      </c>
      <c r="F14" s="115">
        <v>5000</v>
      </c>
      <c r="G14" s="512">
        <v>5500</v>
      </c>
    </row>
    <row r="15" spans="1:9">
      <c r="B15" s="23" t="s">
        <v>1022</v>
      </c>
      <c r="C15" s="24" t="s">
        <v>1407</v>
      </c>
      <c r="D15" s="119">
        <v>7000</v>
      </c>
      <c r="E15" s="119">
        <v>8000</v>
      </c>
      <c r="F15" s="119">
        <v>9000</v>
      </c>
      <c r="G15" s="513">
        <v>9000</v>
      </c>
    </row>
    <row r="16" spans="1:9">
      <c r="B16" s="23" t="s">
        <v>1024</v>
      </c>
      <c r="C16" s="24" t="s">
        <v>1401</v>
      </c>
      <c r="D16" s="119">
        <v>3000</v>
      </c>
      <c r="E16" s="119">
        <v>3000</v>
      </c>
      <c r="F16" s="119">
        <v>3500</v>
      </c>
      <c r="G16" s="513">
        <v>4000</v>
      </c>
    </row>
    <row r="17" spans="1:7" ht="16.5" thickBot="1">
      <c r="B17" s="79" t="s">
        <v>752</v>
      </c>
      <c r="C17" s="80" t="s">
        <v>232</v>
      </c>
      <c r="D17" s="167">
        <v>8000</v>
      </c>
      <c r="E17" s="167">
        <v>8500</v>
      </c>
      <c r="F17" s="167">
        <v>9000</v>
      </c>
      <c r="G17" s="514">
        <v>10000</v>
      </c>
    </row>
    <row r="18" spans="1:7" ht="16.5" thickTop="1"/>
    <row r="19" spans="1:7">
      <c r="A19" s="105" t="s">
        <v>1405</v>
      </c>
    </row>
    <row r="20" spans="1:7">
      <c r="A20" s="105" t="s">
        <v>1409</v>
      </c>
    </row>
    <row r="21" spans="1:7">
      <c r="A21" s="105" t="s">
        <v>1403</v>
      </c>
    </row>
    <row r="22" spans="1:7">
      <c r="A22" s="105" t="s">
        <v>1408</v>
      </c>
    </row>
    <row r="23" spans="1:7">
      <c r="A23" s="105" t="s">
        <v>1404</v>
      </c>
    </row>
  </sheetData>
  <mergeCells count="5">
    <mergeCell ref="A1:H1"/>
    <mergeCell ref="B11:G11"/>
    <mergeCell ref="B12:B13"/>
    <mergeCell ref="C12:C13"/>
    <mergeCell ref="D12:G12"/>
  </mergeCells>
  <phoneticPr fontId="0" type="noConversion"/>
  <pageMargins left="0.75" right="0.75" top="1" bottom="1" header="0.5" footer="0.5"/>
  <pageSetup paperSize="9" orientation="portrait" r:id="rId1"/>
  <headerFooter alignWithMargins="0">
    <oddFooter>&amp;A</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G19"/>
  <sheetViews>
    <sheetView showGridLines="0" topLeftCell="A4" workbookViewId="0">
      <selection activeCell="E4" sqref="E4"/>
    </sheetView>
  </sheetViews>
  <sheetFormatPr defaultRowHeight="15.75"/>
  <cols>
    <col min="1" max="1" width="9" style="12" customWidth="1"/>
    <col min="2" max="2" width="11.25" style="12" customWidth="1"/>
    <col min="3" max="3" width="12.75" style="12" customWidth="1"/>
    <col min="4" max="4" width="10.375" style="12" customWidth="1"/>
    <col min="5" max="5" width="13.375" style="12" bestFit="1" customWidth="1"/>
    <col min="6" max="6" width="13" style="12" customWidth="1"/>
    <col min="7" max="16384" width="9" style="12"/>
  </cols>
  <sheetData>
    <row r="1" spans="1:7" ht="24" customHeight="1" thickBot="1">
      <c r="A1" s="931" t="s">
        <v>1418</v>
      </c>
      <c r="B1" s="931"/>
      <c r="C1" s="931"/>
      <c r="D1" s="931"/>
      <c r="E1" s="931"/>
      <c r="F1" s="931"/>
    </row>
    <row r="2" spans="1:7" ht="17.25" thickTop="1" thickBot="1">
      <c r="A2" s="237" t="s">
        <v>699</v>
      </c>
      <c r="B2" s="238" t="s">
        <v>1413</v>
      </c>
      <c r="C2" s="238" t="s">
        <v>1415</v>
      </c>
      <c r="D2" s="238" t="s">
        <v>1412</v>
      </c>
      <c r="E2" s="238" t="s">
        <v>1411</v>
      </c>
      <c r="F2" s="239" t="s">
        <v>151</v>
      </c>
      <c r="G2" s="104"/>
    </row>
    <row r="3" spans="1:7" ht="16.5" thickTop="1">
      <c r="A3" s="515">
        <v>1</v>
      </c>
      <c r="B3" s="516">
        <v>35991</v>
      </c>
      <c r="C3" s="491" t="s">
        <v>723</v>
      </c>
      <c r="D3" s="517" t="str">
        <f>VLOOKUP(C3,$B$11:$E$15,2,0)</f>
        <v>Vũng Tàu</v>
      </c>
      <c r="E3" s="523">
        <f>IF(D3=$C$13,10%*VLOOKUP(C3,$B$11:$E$15,4,0),0)</f>
        <v>0</v>
      </c>
      <c r="F3" s="518">
        <f>VLOOKUP(D3,$C$11:$E$15,3,0)-E3</f>
        <v>10000000</v>
      </c>
      <c r="G3" s="104"/>
    </row>
    <row r="4" spans="1:7">
      <c r="A4" s="519">
        <v>2</v>
      </c>
      <c r="B4" s="520">
        <v>36027</v>
      </c>
      <c r="C4" s="486" t="s">
        <v>724</v>
      </c>
      <c r="D4" s="517" t="str">
        <f t="shared" ref="D4:D8" si="0">VLOOKUP(C4,$B$11:$E$15,2,0)</f>
        <v>Hà Nội</v>
      </c>
      <c r="E4" s="523">
        <f t="shared" ref="E4:E8" si="1">IF(D4=$C$13,10%*VLOOKUP(C4,$B$11:$E$15,4,0),0)</f>
        <v>2000000</v>
      </c>
      <c r="F4" s="518">
        <f t="shared" ref="F4:F8" si="2">VLOOKUP(D4,$C$11:$E$15,3,0)-E4</f>
        <v>18000000</v>
      </c>
      <c r="G4" s="104"/>
    </row>
    <row r="5" spans="1:7">
      <c r="A5" s="519">
        <v>3</v>
      </c>
      <c r="B5" s="520">
        <v>35977</v>
      </c>
      <c r="C5" s="486" t="s">
        <v>725</v>
      </c>
      <c r="D5" s="517" t="str">
        <f t="shared" si="0"/>
        <v>Nha Trang</v>
      </c>
      <c r="E5" s="523">
        <f t="shared" si="1"/>
        <v>0</v>
      </c>
      <c r="F5" s="518">
        <f t="shared" si="2"/>
        <v>15000000</v>
      </c>
      <c r="G5" s="104"/>
    </row>
    <row r="6" spans="1:7">
      <c r="A6" s="519">
        <v>4</v>
      </c>
      <c r="B6" s="520">
        <v>36043</v>
      </c>
      <c r="C6" s="486" t="s">
        <v>726</v>
      </c>
      <c r="D6" s="517" t="str">
        <f t="shared" si="0"/>
        <v>Đà Lạt</v>
      </c>
      <c r="E6" s="523">
        <f t="shared" si="1"/>
        <v>0</v>
      </c>
      <c r="F6" s="518">
        <f t="shared" si="2"/>
        <v>5000000</v>
      </c>
      <c r="G6" s="104"/>
    </row>
    <row r="7" spans="1:7">
      <c r="A7" s="519">
        <v>5</v>
      </c>
      <c r="B7" s="520">
        <v>36008</v>
      </c>
      <c r="C7" s="486" t="s">
        <v>723</v>
      </c>
      <c r="D7" s="517" t="str">
        <f t="shared" si="0"/>
        <v>Vũng Tàu</v>
      </c>
      <c r="E7" s="523">
        <f t="shared" si="1"/>
        <v>0</v>
      </c>
      <c r="F7" s="518">
        <f t="shared" si="2"/>
        <v>10000000</v>
      </c>
      <c r="G7" s="104"/>
    </row>
    <row r="8" spans="1:7" ht="16.5" thickBot="1">
      <c r="A8" s="521">
        <v>6</v>
      </c>
      <c r="B8" s="522">
        <v>35986</v>
      </c>
      <c r="C8" s="498" t="s">
        <v>726</v>
      </c>
      <c r="D8" s="517" t="str">
        <f t="shared" si="0"/>
        <v>Đà Lạt</v>
      </c>
      <c r="E8" s="523">
        <f t="shared" si="1"/>
        <v>0</v>
      </c>
      <c r="F8" s="518">
        <f t="shared" si="2"/>
        <v>5000000</v>
      </c>
      <c r="G8" s="104"/>
    </row>
    <row r="9" spans="1:7" ht="16.5" thickTop="1"/>
    <row r="10" spans="1:7" ht="16.5" thickBot="1">
      <c r="B10" s="945" t="s">
        <v>1513</v>
      </c>
      <c r="C10" s="945"/>
      <c r="D10" s="945"/>
      <c r="E10" s="945"/>
    </row>
    <row r="11" spans="1:7" ht="16.5" thickTop="1">
      <c r="B11" s="509" t="s">
        <v>1415</v>
      </c>
      <c r="C11" s="510" t="s">
        <v>1412</v>
      </c>
      <c r="D11" s="510" t="s">
        <v>1410</v>
      </c>
      <c r="E11" s="511" t="s">
        <v>413</v>
      </c>
    </row>
    <row r="12" spans="1:7">
      <c r="B12" s="519" t="s">
        <v>725</v>
      </c>
      <c r="C12" s="208" t="s">
        <v>1128</v>
      </c>
      <c r="D12" s="486">
        <v>52</v>
      </c>
      <c r="E12" s="523">
        <v>15000000</v>
      </c>
    </row>
    <row r="13" spans="1:7">
      <c r="B13" s="519" t="s">
        <v>724</v>
      </c>
      <c r="C13" s="208" t="s">
        <v>207</v>
      </c>
      <c r="D13" s="486">
        <v>24</v>
      </c>
      <c r="E13" s="523">
        <v>20000000</v>
      </c>
    </row>
    <row r="14" spans="1:7">
      <c r="B14" s="519" t="s">
        <v>726</v>
      </c>
      <c r="C14" s="208" t="s">
        <v>205</v>
      </c>
      <c r="D14" s="486">
        <v>12</v>
      </c>
      <c r="E14" s="523">
        <v>5000000</v>
      </c>
    </row>
    <row r="15" spans="1:7" ht="16.5" thickBot="1">
      <c r="B15" s="521" t="s">
        <v>723</v>
      </c>
      <c r="C15" s="524" t="s">
        <v>208</v>
      </c>
      <c r="D15" s="498">
        <v>52</v>
      </c>
      <c r="E15" s="525">
        <v>10000000</v>
      </c>
    </row>
    <row r="16" spans="1:7" ht="16.5" thickTop="1"/>
    <row r="17" spans="1:1">
      <c r="A17" s="26" t="s">
        <v>1414</v>
      </c>
    </row>
    <row r="18" spans="1:1">
      <c r="A18" s="26" t="s">
        <v>1416</v>
      </c>
    </row>
    <row r="19" spans="1:1">
      <c r="A19" s="26" t="s">
        <v>1417</v>
      </c>
    </row>
  </sheetData>
  <mergeCells count="2">
    <mergeCell ref="A1:F1"/>
    <mergeCell ref="B10:E10"/>
  </mergeCells>
  <phoneticPr fontId="0" type="noConversion"/>
  <pageMargins left="0.75" right="0.75" top="1" bottom="1" header="0.5" footer="0.5"/>
  <pageSetup paperSize="9" orientation="portrait" r:id="rId1"/>
  <headerFooter alignWithMargins="0">
    <oddFooter>&amp;A</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G25"/>
  <sheetViews>
    <sheetView showGridLines="0" workbookViewId="0">
      <selection activeCell="G9" sqref="G9"/>
    </sheetView>
  </sheetViews>
  <sheetFormatPr defaultRowHeight="15.75"/>
  <cols>
    <col min="1" max="1" width="5.375" style="12" customWidth="1"/>
    <col min="2" max="2" width="10.875" style="12" customWidth="1"/>
    <col min="3" max="3" width="19.875" style="12" bestFit="1" customWidth="1"/>
    <col min="4" max="4" width="10.75" style="12" customWidth="1"/>
    <col min="5" max="5" width="10.25" style="12" customWidth="1"/>
    <col min="6" max="6" width="9.5" style="12" customWidth="1"/>
    <col min="7" max="7" width="11.125" style="12" customWidth="1"/>
    <col min="8" max="16384" width="9" style="12"/>
  </cols>
  <sheetData>
    <row r="1" spans="1:7" ht="24" customHeight="1" thickBot="1">
      <c r="A1" s="926" t="s">
        <v>1422</v>
      </c>
      <c r="B1" s="926"/>
      <c r="C1" s="926"/>
      <c r="D1" s="926"/>
      <c r="E1" s="926"/>
      <c r="F1" s="926"/>
      <c r="G1" s="926"/>
    </row>
    <row r="2" spans="1:7" ht="17.25" thickTop="1" thickBot="1">
      <c r="A2" s="14" t="s">
        <v>1017</v>
      </c>
      <c r="B2" s="15" t="s">
        <v>660</v>
      </c>
      <c r="C2" s="15" t="s">
        <v>1424</v>
      </c>
      <c r="D2" s="15" t="s">
        <v>1421</v>
      </c>
      <c r="E2" s="15" t="s">
        <v>687</v>
      </c>
      <c r="F2" s="15" t="s">
        <v>681</v>
      </c>
      <c r="G2" s="16" t="s">
        <v>151</v>
      </c>
    </row>
    <row r="3" spans="1:7" ht="16.5" thickTop="1">
      <c r="A3" s="17">
        <v>1</v>
      </c>
      <c r="B3" s="18" t="s">
        <v>558</v>
      </c>
      <c r="C3" s="219" t="str">
        <f>IF(MID(B3,3,2)="NS",VLOOKUP(LEFT(B3,2),$B$15:$C$18,2,0)&amp;" "&amp; "Nguyet san",IF(MID(B3,3,2)="NB",VLOOKUP(LEFT(B3,2),$B$15:$C$18,2,0) &amp;" "&amp; "Nhat bao",VLOOKUP(LEFT(B3,2),$B$15:$C$18,2,0)))</f>
        <v>Thanh niên Nguyet san</v>
      </c>
      <c r="D3" s="255">
        <v>35800</v>
      </c>
      <c r="E3" s="222">
        <f>INDEX($D$15:$E$18,MATCH(LEFT(B3,2),$B$15:$B$18,0),MATCH(MID(B3,3,2),$D$14:$E$14,0))</f>
        <v>3500</v>
      </c>
      <c r="F3" s="219">
        <f>IF(AND(VALUE(RIGHT(B3,2))&gt;=1,VALUE(RIGHT(B3,2))&lt;=3),100,50)</f>
        <v>100</v>
      </c>
      <c r="G3" s="78">
        <f>IF(F3=100,F3*E3-5%*F3,F3*E3)</f>
        <v>349995</v>
      </c>
    </row>
    <row r="4" spans="1:7">
      <c r="A4" s="23">
        <v>2</v>
      </c>
      <c r="B4" s="24" t="s">
        <v>559</v>
      </c>
      <c r="C4" s="219" t="str">
        <f t="shared" ref="C4:C10" si="0">IF(MID(B4,3,2)="NS",VLOOKUP(LEFT(B4,2),$B$15:$C$18,2,0)&amp;" "&amp; "Nguyet san",IF(MID(B4,3,2)="NB",VLOOKUP(LEFT(B4,2),$B$15:$C$18,2,0) &amp;" "&amp; "Nhat bao",VLOOKUP(LEFT(B4,2),$B$15:$C$18,2,0)))</f>
        <v>Thanh niên Nhat bao</v>
      </c>
      <c r="D4" s="256">
        <v>35802</v>
      </c>
      <c r="E4" s="222">
        <f t="shared" ref="E4:E10" si="1">INDEX($D$15:$E$18,MATCH(LEFT(B4,2),$B$15:$B$18,0),MATCH(MID(B4,3,2),$D$14:$E$14,0))</f>
        <v>1500</v>
      </c>
      <c r="F4" s="219">
        <f t="shared" ref="F4:F10" si="2">IF(AND(VALUE(RIGHT(B4,2))&gt;=1,VALUE(RIGHT(B4,2))&lt;=3),100,50)</f>
        <v>50</v>
      </c>
      <c r="G4" s="78">
        <f t="shared" ref="G4:G10" si="3">IF(F4=100,F4*E4-5%*F4,F4*E4)</f>
        <v>75000</v>
      </c>
    </row>
    <row r="5" spans="1:7">
      <c r="A5" s="23">
        <v>3</v>
      </c>
      <c r="B5" s="24" t="s">
        <v>560</v>
      </c>
      <c r="C5" s="219" t="str">
        <f t="shared" si="0"/>
        <v>Công an Nhat bao</v>
      </c>
      <c r="D5" s="256">
        <v>35802</v>
      </c>
      <c r="E5" s="222">
        <f t="shared" si="1"/>
        <v>1300</v>
      </c>
      <c r="F5" s="219">
        <f t="shared" si="2"/>
        <v>100</v>
      </c>
      <c r="G5" s="78">
        <f t="shared" si="3"/>
        <v>129995</v>
      </c>
    </row>
    <row r="6" spans="1:7">
      <c r="A6" s="23">
        <v>4</v>
      </c>
      <c r="B6" s="24" t="s">
        <v>561</v>
      </c>
      <c r="C6" s="219" t="str">
        <f t="shared" si="0"/>
        <v>Phụ nữ Nhat bao</v>
      </c>
      <c r="D6" s="256">
        <v>35803</v>
      </c>
      <c r="E6" s="222">
        <f t="shared" si="1"/>
        <v>2000</v>
      </c>
      <c r="F6" s="219">
        <f t="shared" si="2"/>
        <v>50</v>
      </c>
      <c r="G6" s="78">
        <f t="shared" si="3"/>
        <v>100000</v>
      </c>
    </row>
    <row r="7" spans="1:7">
      <c r="A7" s="23">
        <v>5</v>
      </c>
      <c r="B7" s="24" t="s">
        <v>562</v>
      </c>
      <c r="C7" s="219" t="str">
        <f t="shared" si="0"/>
        <v>Tuổi trẻ Nguyet san</v>
      </c>
      <c r="D7" s="256">
        <v>35807</v>
      </c>
      <c r="E7" s="222">
        <f t="shared" si="1"/>
        <v>2500</v>
      </c>
      <c r="F7" s="219">
        <f t="shared" si="2"/>
        <v>100</v>
      </c>
      <c r="G7" s="78">
        <f t="shared" si="3"/>
        <v>249995</v>
      </c>
    </row>
    <row r="8" spans="1:7">
      <c r="A8" s="23">
        <v>6</v>
      </c>
      <c r="B8" s="24" t="s">
        <v>563</v>
      </c>
      <c r="C8" s="219" t="str">
        <f t="shared" si="0"/>
        <v>Công an Nguyet san</v>
      </c>
      <c r="D8" s="256">
        <v>35807</v>
      </c>
      <c r="E8" s="222">
        <f t="shared" si="1"/>
        <v>2800</v>
      </c>
      <c r="F8" s="219">
        <f t="shared" si="2"/>
        <v>100</v>
      </c>
      <c r="G8" s="78">
        <f t="shared" si="3"/>
        <v>279995</v>
      </c>
    </row>
    <row r="9" spans="1:7">
      <c r="A9" s="23">
        <v>7</v>
      </c>
      <c r="B9" s="24" t="s">
        <v>564</v>
      </c>
      <c r="C9" s="219" t="str">
        <f t="shared" si="0"/>
        <v>Phụ nữ Nguyet san</v>
      </c>
      <c r="D9" s="256">
        <v>35810</v>
      </c>
      <c r="E9" s="222">
        <f t="shared" si="1"/>
        <v>5000</v>
      </c>
      <c r="F9" s="219">
        <f t="shared" si="2"/>
        <v>100</v>
      </c>
      <c r="G9" s="78">
        <f t="shared" si="3"/>
        <v>499995</v>
      </c>
    </row>
    <row r="10" spans="1:7" ht="16.5" thickBot="1">
      <c r="A10" s="79">
        <v>8</v>
      </c>
      <c r="B10" s="80" t="s">
        <v>565</v>
      </c>
      <c r="C10" s="219" t="str">
        <f t="shared" si="0"/>
        <v>Tuổi trẻ Nhat bao</v>
      </c>
      <c r="D10" s="257">
        <v>35812</v>
      </c>
      <c r="E10" s="222">
        <f t="shared" si="1"/>
        <v>1000</v>
      </c>
      <c r="F10" s="219">
        <f t="shared" si="2"/>
        <v>100</v>
      </c>
      <c r="G10" s="78">
        <f t="shared" si="3"/>
        <v>99995</v>
      </c>
    </row>
    <row r="11" spans="1:7" ht="16.5" thickTop="1"/>
    <row r="12" spans="1:7" ht="16.5" thickBot="1">
      <c r="B12" s="946" t="s">
        <v>1513</v>
      </c>
      <c r="C12" s="946"/>
      <c r="D12" s="946"/>
      <c r="E12" s="946"/>
    </row>
    <row r="13" spans="1:7" ht="16.5" thickTop="1">
      <c r="B13" s="1063" t="s">
        <v>1428</v>
      </c>
      <c r="C13" s="1052" t="s">
        <v>1424</v>
      </c>
      <c r="D13" s="1052" t="s">
        <v>1423</v>
      </c>
      <c r="E13" s="1053"/>
    </row>
    <row r="14" spans="1:7" ht="16.5" thickBot="1">
      <c r="B14" s="1064"/>
      <c r="C14" s="1065"/>
      <c r="D14" s="153" t="s">
        <v>2492</v>
      </c>
      <c r="E14" s="251" t="s">
        <v>2493</v>
      </c>
    </row>
    <row r="15" spans="1:7" ht="16.5" thickTop="1">
      <c r="B15" s="17" t="s">
        <v>842</v>
      </c>
      <c r="C15" s="18" t="s">
        <v>1419</v>
      </c>
      <c r="D15" s="115">
        <v>1000</v>
      </c>
      <c r="E15" s="512">
        <v>2500</v>
      </c>
    </row>
    <row r="16" spans="1:7">
      <c r="B16" s="23" t="s">
        <v>566</v>
      </c>
      <c r="C16" s="24" t="s">
        <v>1425</v>
      </c>
      <c r="D16" s="119">
        <v>1500</v>
      </c>
      <c r="E16" s="513">
        <v>3500</v>
      </c>
    </row>
    <row r="17" spans="1:5">
      <c r="B17" s="23" t="s">
        <v>567</v>
      </c>
      <c r="C17" s="24" t="s">
        <v>1420</v>
      </c>
      <c r="D17" s="119">
        <v>2000</v>
      </c>
      <c r="E17" s="513">
        <v>5000</v>
      </c>
    </row>
    <row r="18" spans="1:5" ht="16.5" thickBot="1">
      <c r="B18" s="79" t="s">
        <v>568</v>
      </c>
      <c r="C18" s="80" t="s">
        <v>1427</v>
      </c>
      <c r="D18" s="167">
        <v>1300</v>
      </c>
      <c r="E18" s="514">
        <v>2800</v>
      </c>
    </row>
    <row r="19" spans="1:5" ht="16.5" thickTop="1"/>
    <row r="20" spans="1:5">
      <c r="A20" s="26" t="s">
        <v>1426</v>
      </c>
      <c r="B20" s="26"/>
    </row>
    <row r="21" spans="1:5">
      <c r="A21" s="26"/>
      <c r="B21" s="26" t="s">
        <v>1429</v>
      </c>
    </row>
    <row r="22" spans="1:5">
      <c r="A22" s="26"/>
      <c r="B22" s="26" t="s">
        <v>1433</v>
      </c>
    </row>
    <row r="23" spans="1:5">
      <c r="A23" s="26" t="s">
        <v>1430</v>
      </c>
      <c r="B23" s="26"/>
    </row>
    <row r="24" spans="1:5">
      <c r="A24" s="26" t="s">
        <v>1431</v>
      </c>
      <c r="B24" s="26"/>
    </row>
    <row r="25" spans="1:5">
      <c r="A25" s="26" t="s">
        <v>1432</v>
      </c>
      <c r="B25" s="26"/>
    </row>
  </sheetData>
  <mergeCells count="5">
    <mergeCell ref="A1:G1"/>
    <mergeCell ref="B12:E12"/>
    <mergeCell ref="B13:B14"/>
    <mergeCell ref="C13:C14"/>
    <mergeCell ref="D13:E13"/>
  </mergeCells>
  <phoneticPr fontId="0" type="noConversion"/>
  <pageMargins left="0.75" right="0.75" top="1" bottom="1" header="0.5" footer="0.5"/>
  <pageSetup paperSize="9" orientation="portrait" r:id="rId1"/>
  <headerFooter alignWithMargins="0">
    <oddFooter>&amp;A</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26"/>
  <sheetViews>
    <sheetView showGridLines="0" zoomScaleNormal="100" workbookViewId="0">
      <selection activeCell="H10" sqref="H10"/>
    </sheetView>
  </sheetViews>
  <sheetFormatPr defaultRowHeight="15.75"/>
  <cols>
    <col min="1" max="1" width="5.75" style="12" customWidth="1"/>
    <col min="2" max="2" width="10.625" style="12" customWidth="1"/>
    <col min="3" max="3" width="12.625" style="12" bestFit="1" customWidth="1"/>
    <col min="4" max="4" width="10.25" style="12" customWidth="1"/>
    <col min="5" max="5" width="9" style="12" customWidth="1"/>
    <col min="6" max="6" width="8.875" style="12" bestFit="1" customWidth="1"/>
    <col min="7" max="7" width="11.75" style="12" customWidth="1"/>
    <col min="8" max="8" width="12.625" style="12" customWidth="1"/>
    <col min="9" max="16384" width="9" style="12"/>
  </cols>
  <sheetData>
    <row r="1" spans="1:8" ht="24" customHeight="1">
      <c r="A1" s="927" t="s">
        <v>1467</v>
      </c>
      <c r="B1" s="927"/>
      <c r="C1" s="927"/>
      <c r="D1" s="927"/>
      <c r="E1" s="927"/>
      <c r="F1" s="927"/>
      <c r="G1" s="927"/>
      <c r="H1" s="927"/>
    </row>
    <row r="2" spans="1:8" ht="19.5" thickBot="1">
      <c r="A2" s="927" t="s">
        <v>1462</v>
      </c>
      <c r="B2" s="927"/>
      <c r="C2" s="927"/>
      <c r="D2" s="927"/>
      <c r="E2" s="927"/>
      <c r="F2" s="927"/>
      <c r="G2" s="927"/>
      <c r="H2" s="927"/>
    </row>
    <row r="3" spans="1:8" ht="17.25" thickTop="1" thickBot="1">
      <c r="A3" s="14" t="s">
        <v>1017</v>
      </c>
      <c r="B3" s="15" t="s">
        <v>660</v>
      </c>
      <c r="C3" s="15" t="s">
        <v>663</v>
      </c>
      <c r="D3" s="15" t="s">
        <v>149</v>
      </c>
      <c r="E3" s="15" t="s">
        <v>681</v>
      </c>
      <c r="F3" s="15" t="s">
        <v>2375</v>
      </c>
      <c r="G3" s="15" t="s">
        <v>687</v>
      </c>
      <c r="H3" s="16" t="s">
        <v>1461</v>
      </c>
    </row>
    <row r="4" spans="1:8" ht="16.5" thickTop="1">
      <c r="A4" s="17">
        <v>1</v>
      </c>
      <c r="B4" s="18" t="s">
        <v>464</v>
      </c>
      <c r="C4" s="77" t="str">
        <f>VLOOKUP(B4,$B$14:$E$20,2,0)</f>
        <v>Máy tính 586</v>
      </c>
      <c r="D4" s="219" t="str">
        <f>IF(OR(LEFT(B4,2)="PC",LEFT(B4,2)="HD"),"cai","hop")</f>
        <v>cai</v>
      </c>
      <c r="E4" s="19">
        <v>14</v>
      </c>
      <c r="F4" s="526">
        <v>35887</v>
      </c>
      <c r="G4" s="77">
        <f>IF(DAY(F4)&lt;20,VLOOKUP(B4,$B$14:$E$20,3,0),VLOOKUP(B4,$B$14:$E$20,3,0)-4%*VLOOKUP(B4,$B$14:$E$20,3,0))</f>
        <v>1000</v>
      </c>
      <c r="H4" s="78">
        <f>G4*E4</f>
        <v>14000</v>
      </c>
    </row>
    <row r="5" spans="1:8">
      <c r="A5" s="23">
        <v>2</v>
      </c>
      <c r="B5" s="24" t="s">
        <v>465</v>
      </c>
      <c r="C5" s="77" t="str">
        <f t="shared" ref="C5:C11" si="0">VLOOKUP(B5,$B$14:$E$20,2,0)</f>
        <v>Máy tính 486</v>
      </c>
      <c r="D5" s="219" t="str">
        <f t="shared" ref="D5:D11" si="1">IF(OR(LEFT(B5,2)="PC",LEFT(B5,2)="HD"),"cai","hop")</f>
        <v>cai</v>
      </c>
      <c r="E5" s="25">
        <v>10</v>
      </c>
      <c r="F5" s="527">
        <v>35897</v>
      </c>
      <c r="G5" s="77">
        <f t="shared" ref="G5:G11" si="2">IF(DAY(F5)&lt;20,VLOOKUP(B5,$B$14:$E$20,3,0),VLOOKUP(B5,$B$14:$E$20,3,0)-4%*VLOOKUP(B5,$B$14:$E$20,3,0))</f>
        <v>700</v>
      </c>
      <c r="H5" s="78">
        <f t="shared" ref="H5:H11" si="3">G5*E5</f>
        <v>7000</v>
      </c>
    </row>
    <row r="6" spans="1:8">
      <c r="A6" s="23">
        <v>3</v>
      </c>
      <c r="B6" s="24" t="s">
        <v>466</v>
      </c>
      <c r="C6" s="77" t="str">
        <f t="shared" si="0"/>
        <v>Đĩa mềm 1.2</v>
      </c>
      <c r="D6" s="219" t="str">
        <f t="shared" si="1"/>
        <v>hop</v>
      </c>
      <c r="E6" s="25">
        <v>12</v>
      </c>
      <c r="F6" s="527">
        <v>35894</v>
      </c>
      <c r="G6" s="77">
        <f t="shared" si="2"/>
        <v>4</v>
      </c>
      <c r="H6" s="78">
        <f t="shared" si="3"/>
        <v>48</v>
      </c>
    </row>
    <row r="7" spans="1:8">
      <c r="A7" s="23">
        <v>4</v>
      </c>
      <c r="B7" s="24" t="s">
        <v>467</v>
      </c>
      <c r="C7" s="77" t="str">
        <f t="shared" si="0"/>
        <v>Đĩa cứng 420</v>
      </c>
      <c r="D7" s="219" t="str">
        <f t="shared" si="1"/>
        <v>cai</v>
      </c>
      <c r="E7" s="25">
        <v>4</v>
      </c>
      <c r="F7" s="527">
        <v>35907</v>
      </c>
      <c r="G7" s="77">
        <f t="shared" si="2"/>
        <v>76.8</v>
      </c>
      <c r="H7" s="78">
        <f t="shared" si="3"/>
        <v>307.2</v>
      </c>
    </row>
    <row r="8" spans="1:8">
      <c r="A8" s="23">
        <v>5</v>
      </c>
      <c r="B8" s="24" t="s">
        <v>468</v>
      </c>
      <c r="C8" s="77" t="str">
        <f t="shared" si="0"/>
        <v>Đĩa cứng 850</v>
      </c>
      <c r="D8" s="219" t="str">
        <f t="shared" si="1"/>
        <v>cai</v>
      </c>
      <c r="E8" s="25">
        <v>10</v>
      </c>
      <c r="F8" s="527">
        <v>35903</v>
      </c>
      <c r="G8" s="77">
        <f t="shared" si="2"/>
        <v>120</v>
      </c>
      <c r="H8" s="78">
        <f t="shared" si="3"/>
        <v>1200</v>
      </c>
    </row>
    <row r="9" spans="1:8">
      <c r="A9" s="23">
        <v>6</v>
      </c>
      <c r="B9" s="24" t="s">
        <v>464</v>
      </c>
      <c r="C9" s="77" t="str">
        <f t="shared" si="0"/>
        <v>Máy tính 586</v>
      </c>
      <c r="D9" s="219" t="str">
        <f t="shared" si="1"/>
        <v>cai</v>
      </c>
      <c r="E9" s="25">
        <v>4</v>
      </c>
      <c r="F9" s="527">
        <v>35912</v>
      </c>
      <c r="G9" s="77">
        <f t="shared" si="2"/>
        <v>960</v>
      </c>
      <c r="H9" s="78">
        <f t="shared" si="3"/>
        <v>3840</v>
      </c>
    </row>
    <row r="10" spans="1:8">
      <c r="A10" s="23">
        <v>7</v>
      </c>
      <c r="B10" s="24" t="s">
        <v>466</v>
      </c>
      <c r="C10" s="77" t="str">
        <f t="shared" si="0"/>
        <v>Đĩa mềm 1.2</v>
      </c>
      <c r="D10" s="219" t="str">
        <f t="shared" si="1"/>
        <v>hop</v>
      </c>
      <c r="E10" s="25">
        <v>10</v>
      </c>
      <c r="F10" s="527">
        <v>35896</v>
      </c>
      <c r="G10" s="77">
        <f t="shared" si="2"/>
        <v>4</v>
      </c>
      <c r="H10" s="78">
        <f t="shared" si="3"/>
        <v>40</v>
      </c>
    </row>
    <row r="11" spans="1:8" ht="16.5" thickBot="1">
      <c r="A11" s="79">
        <v>8</v>
      </c>
      <c r="B11" s="80" t="s">
        <v>469</v>
      </c>
      <c r="C11" s="77" t="str">
        <f t="shared" si="0"/>
        <v>Đĩa mềm 1.4</v>
      </c>
      <c r="D11" s="219" t="str">
        <f t="shared" si="1"/>
        <v>hop</v>
      </c>
      <c r="E11" s="153">
        <v>10</v>
      </c>
      <c r="F11" s="528">
        <v>35891</v>
      </c>
      <c r="G11" s="77">
        <f t="shared" si="2"/>
        <v>6</v>
      </c>
      <c r="H11" s="78">
        <f t="shared" si="3"/>
        <v>60</v>
      </c>
    </row>
    <row r="12" spans="1:8" ht="16.5" thickTop="1">
      <c r="H12" s="529"/>
    </row>
    <row r="13" spans="1:8" ht="16.5" thickBot="1">
      <c r="B13" s="1012" t="s">
        <v>1463</v>
      </c>
      <c r="C13" s="1012"/>
      <c r="D13" s="1012"/>
      <c r="E13" s="1012"/>
    </row>
    <row r="14" spans="1:8" ht="17.25" thickTop="1" thickBot="1">
      <c r="B14" s="14" t="s">
        <v>660</v>
      </c>
      <c r="C14" s="15" t="s">
        <v>663</v>
      </c>
      <c r="D14" s="15" t="s">
        <v>687</v>
      </c>
      <c r="E14" s="16" t="s">
        <v>681</v>
      </c>
    </row>
    <row r="15" spans="1:8" ht="16.5" thickTop="1">
      <c r="B15" s="83" t="s">
        <v>465</v>
      </c>
      <c r="C15" s="18" t="s">
        <v>1468</v>
      </c>
      <c r="D15" s="18">
        <v>700</v>
      </c>
      <c r="E15" s="84">
        <v>20</v>
      </c>
    </row>
    <row r="16" spans="1:8">
      <c r="B16" s="87" t="s">
        <v>464</v>
      </c>
      <c r="C16" s="24" t="s">
        <v>1469</v>
      </c>
      <c r="D16" s="146">
        <v>1000</v>
      </c>
      <c r="E16" s="88">
        <v>30</v>
      </c>
    </row>
    <row r="17" spans="1:5">
      <c r="B17" s="87" t="s">
        <v>467</v>
      </c>
      <c r="C17" s="24" t="s">
        <v>1434</v>
      </c>
      <c r="D17" s="24">
        <v>80</v>
      </c>
      <c r="E17" s="88">
        <v>20</v>
      </c>
    </row>
    <row r="18" spans="1:5">
      <c r="B18" s="87" t="s">
        <v>468</v>
      </c>
      <c r="C18" s="24" t="s">
        <v>1458</v>
      </c>
      <c r="D18" s="24">
        <v>120</v>
      </c>
      <c r="E18" s="88">
        <v>14</v>
      </c>
    </row>
    <row r="19" spans="1:5">
      <c r="B19" s="87" t="s">
        <v>466</v>
      </c>
      <c r="C19" s="24" t="s">
        <v>1459</v>
      </c>
      <c r="D19" s="24">
        <v>4</v>
      </c>
      <c r="E19" s="88">
        <v>0</v>
      </c>
    </row>
    <row r="20" spans="1:5" ht="16.5" thickBot="1">
      <c r="B20" s="89" t="s">
        <v>469</v>
      </c>
      <c r="C20" s="80" t="s">
        <v>1460</v>
      </c>
      <c r="D20" s="80">
        <v>6</v>
      </c>
      <c r="E20" s="90">
        <v>20</v>
      </c>
    </row>
    <row r="21" spans="1:5" ht="16.5" thickTop="1"/>
    <row r="22" spans="1:5">
      <c r="A22" s="26" t="s">
        <v>1465</v>
      </c>
    </row>
    <row r="23" spans="1:5">
      <c r="A23" s="26" t="s">
        <v>1470</v>
      </c>
      <c r="B23" s="26"/>
    </row>
    <row r="24" spans="1:5">
      <c r="A24" s="26" t="s">
        <v>1471</v>
      </c>
      <c r="B24" s="26"/>
    </row>
    <row r="25" spans="1:5">
      <c r="A25" s="26" t="s">
        <v>1466</v>
      </c>
      <c r="B25" s="26"/>
    </row>
    <row r="26" spans="1:5">
      <c r="A26" s="26" t="s">
        <v>1464</v>
      </c>
      <c r="B26" s="26"/>
    </row>
  </sheetData>
  <mergeCells count="3">
    <mergeCell ref="A1:H1"/>
    <mergeCell ref="A2:H2"/>
    <mergeCell ref="B13:E13"/>
  </mergeCells>
  <phoneticPr fontId="0" type="noConversion"/>
  <pageMargins left="0.75" right="0.75" top="1" bottom="1" header="0.5" footer="0.5"/>
  <pageSetup paperSize="9" orientation="portrait" r:id="rId1"/>
  <headerFooter alignWithMargins="0">
    <oddFooter>&amp;A</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H29"/>
  <sheetViews>
    <sheetView showGridLines="0" topLeftCell="E1" workbookViewId="0">
      <selection activeCell="F3" sqref="F3"/>
    </sheetView>
  </sheetViews>
  <sheetFormatPr defaultRowHeight="15.75"/>
  <cols>
    <col min="1" max="1" width="4.375" style="12" customWidth="1"/>
    <col min="2" max="2" width="8.375" style="12" customWidth="1"/>
    <col min="3" max="3" width="10.5" style="12" customWidth="1"/>
    <col min="4" max="4" width="9.875" style="12" customWidth="1"/>
    <col min="5" max="5" width="9" style="12" customWidth="1"/>
    <col min="6" max="6" width="10.625" style="12" customWidth="1"/>
    <col min="7" max="7" width="14.25" style="12" customWidth="1"/>
    <col min="8" max="8" width="9.5" style="12" bestFit="1" customWidth="1"/>
    <col min="9" max="16384" width="9" style="12"/>
  </cols>
  <sheetData>
    <row r="1" spans="1:8" ht="24" customHeight="1" thickBot="1">
      <c r="A1" s="926" t="s">
        <v>1491</v>
      </c>
      <c r="B1" s="926"/>
      <c r="C1" s="926"/>
      <c r="D1" s="926"/>
      <c r="E1" s="926"/>
      <c r="F1" s="926"/>
      <c r="G1" s="926"/>
      <c r="H1" s="926"/>
    </row>
    <row r="2" spans="1:8" ht="17.25" thickTop="1" thickBot="1">
      <c r="A2" s="237" t="s">
        <v>842</v>
      </c>
      <c r="B2" s="238" t="s">
        <v>1475</v>
      </c>
      <c r="C2" s="238" t="s">
        <v>1485</v>
      </c>
      <c r="D2" s="238" t="s">
        <v>1486</v>
      </c>
      <c r="E2" s="238" t="s">
        <v>1472</v>
      </c>
      <c r="F2" s="238" t="s">
        <v>1483</v>
      </c>
      <c r="G2" s="238" t="s">
        <v>1089</v>
      </c>
      <c r="H2" s="921" t="s">
        <v>1476</v>
      </c>
    </row>
    <row r="3" spans="1:8" ht="16.5" thickTop="1">
      <c r="A3" s="515">
        <v>1</v>
      </c>
      <c r="B3" s="207" t="s">
        <v>1090</v>
      </c>
      <c r="C3" s="517" t="str">
        <f>VLOOKUP(MID(B3,2,2),$E$11:$G$18,2,0)</f>
        <v>AC Milan</v>
      </c>
      <c r="D3" s="517" t="str">
        <f>VLOOKUP(LEFT(B3,1),$B$11:$C$17,2,0)</f>
        <v>Italia</v>
      </c>
      <c r="E3" s="530">
        <v>80000</v>
      </c>
      <c r="F3" s="531">
        <f>IF(VALUE(RIGHT(B3,1))=1,INDEX($F$12:$G$18,MATCH(C3,$F$12:$F$18,0),2)-5%*INDEX($F$12:$G$18,MATCH(C3,$F$12:$F$18,0),2),INDEX($F$12:$G$18,MATCH(C3,$F$12:$F$18,0),2)+INDEX($F$12:$G$18,MATCH(C3,$F$12:$F$18,0),2)*5%)</f>
        <v>11.4</v>
      </c>
      <c r="G3" s="532">
        <f>E3*F3</f>
        <v>912000</v>
      </c>
      <c r="H3" s="24" t="str">
        <f>IF(OR(AND(VALUE(RIGHT(B3,1))=1,G3&gt;900000),AND(VALUE(RIGHT(B3,1))=2,G3&gt;600000)),"Lai","Lo")</f>
        <v>Lai</v>
      </c>
    </row>
    <row r="4" spans="1:8">
      <c r="A4" s="519">
        <v>2</v>
      </c>
      <c r="B4" s="208" t="s">
        <v>1091</v>
      </c>
      <c r="C4" s="517" t="str">
        <f t="shared" ref="C4:C9" si="0">VLOOKUP(MID(B4,2,2),$E$11:$G$18,2,0)</f>
        <v>Manchester</v>
      </c>
      <c r="D4" s="517" t="str">
        <f t="shared" ref="D4:D9" si="1">VLOOKUP(LEFT(B4,1),$B$11:$C$17,2,0)</f>
        <v>Anh</v>
      </c>
      <c r="E4" s="533">
        <v>60000</v>
      </c>
      <c r="F4" s="531">
        <f t="shared" ref="F4:F9" si="2">IF(VALUE(RIGHT(B4,1))=1,INDEX($F$12:$G$18,MATCH(C4,$F$12:$F$18,0),2)-5%*INDEX($F$12:$G$18,MATCH(C4,$F$12:$F$18,0),2),INDEX($F$12:$G$18,MATCH(C4,$F$12:$F$18,0),2)+INDEX($F$12:$G$18,MATCH(C4,$F$12:$F$18,0),2)*5%)</f>
        <v>10.5</v>
      </c>
      <c r="G4" s="532">
        <f t="shared" ref="G4:G9" si="3">E4*F4</f>
        <v>630000</v>
      </c>
      <c r="H4" s="24" t="str">
        <f t="shared" ref="H4:H9" si="4">IF(OR(AND(VALUE(RIGHT(B4,1))=1,G4&gt;900000),AND(VALUE(RIGHT(B4,1))=2,G4&gt;600000)),"Lai","Lo")</f>
        <v>Lai</v>
      </c>
    </row>
    <row r="5" spans="1:8">
      <c r="A5" s="519">
        <v>3</v>
      </c>
      <c r="B5" s="208" t="s">
        <v>1093</v>
      </c>
      <c r="C5" s="517" t="str">
        <f t="shared" si="0"/>
        <v>Paris SG</v>
      </c>
      <c r="D5" s="517" t="str">
        <f t="shared" si="1"/>
        <v>Pháp</v>
      </c>
      <c r="E5" s="533">
        <v>50000</v>
      </c>
      <c r="F5" s="531">
        <f t="shared" si="2"/>
        <v>12.6</v>
      </c>
      <c r="G5" s="532">
        <f t="shared" si="3"/>
        <v>630000</v>
      </c>
      <c r="H5" s="24" t="str">
        <f t="shared" si="4"/>
        <v>Lai</v>
      </c>
    </row>
    <row r="6" spans="1:8">
      <c r="A6" s="519">
        <v>4</v>
      </c>
      <c r="B6" s="208" t="s">
        <v>1094</v>
      </c>
      <c r="C6" s="517" t="str">
        <f t="shared" si="0"/>
        <v>Barcelona</v>
      </c>
      <c r="D6" s="517" t="str">
        <f t="shared" si="1"/>
        <v>Tây B Nha</v>
      </c>
      <c r="E6" s="533">
        <v>100000</v>
      </c>
      <c r="F6" s="531">
        <f t="shared" si="2"/>
        <v>9.5</v>
      </c>
      <c r="G6" s="532">
        <f t="shared" si="3"/>
        <v>950000</v>
      </c>
      <c r="H6" s="24" t="str">
        <f t="shared" si="4"/>
        <v>Lai</v>
      </c>
    </row>
    <row r="7" spans="1:8">
      <c r="A7" s="519">
        <v>5</v>
      </c>
      <c r="B7" s="208" t="s">
        <v>1095</v>
      </c>
      <c r="C7" s="517" t="str">
        <f t="shared" si="0"/>
        <v>Real Madrit</v>
      </c>
      <c r="D7" s="517" t="str">
        <f t="shared" si="1"/>
        <v>Tây B Nha</v>
      </c>
      <c r="E7" s="533">
        <v>80000</v>
      </c>
      <c r="F7" s="531">
        <f t="shared" si="2"/>
        <v>9.5</v>
      </c>
      <c r="G7" s="532">
        <f t="shared" si="3"/>
        <v>760000</v>
      </c>
      <c r="H7" s="24" t="str">
        <f t="shared" si="4"/>
        <v>Lo</v>
      </c>
    </row>
    <row r="8" spans="1:8">
      <c r="A8" s="519">
        <v>6</v>
      </c>
      <c r="B8" s="208" t="s">
        <v>1096</v>
      </c>
      <c r="C8" s="517" t="str">
        <f t="shared" si="0"/>
        <v>B. Munich</v>
      </c>
      <c r="D8" s="517" t="str">
        <f t="shared" si="1"/>
        <v>Đức</v>
      </c>
      <c r="E8" s="533">
        <v>70000</v>
      </c>
      <c r="F8" s="531">
        <f t="shared" si="2"/>
        <v>10.5</v>
      </c>
      <c r="G8" s="532">
        <f t="shared" si="3"/>
        <v>735000</v>
      </c>
      <c r="H8" s="24" t="str">
        <f t="shared" si="4"/>
        <v>Lai</v>
      </c>
    </row>
    <row r="9" spans="1:8" ht="16.5" thickBot="1">
      <c r="A9" s="521">
        <v>7</v>
      </c>
      <c r="B9" s="524" t="s">
        <v>1097</v>
      </c>
      <c r="C9" s="517" t="str">
        <f t="shared" si="0"/>
        <v>Benfica</v>
      </c>
      <c r="D9" s="517" t="str">
        <f t="shared" si="1"/>
        <v>Bồ Đ Nha</v>
      </c>
      <c r="E9" s="534">
        <v>40000</v>
      </c>
      <c r="F9" s="531">
        <f t="shared" si="2"/>
        <v>7.35</v>
      </c>
      <c r="G9" s="532">
        <f t="shared" si="3"/>
        <v>294000</v>
      </c>
      <c r="H9" s="24" t="str">
        <f t="shared" si="4"/>
        <v>Lo</v>
      </c>
    </row>
    <row r="10" spans="1:8" ht="17.25" thickTop="1" thickBot="1">
      <c r="B10" s="946" t="s">
        <v>1477</v>
      </c>
      <c r="C10" s="946"/>
      <c r="E10" s="946" t="s">
        <v>1481</v>
      </c>
      <c r="F10" s="946"/>
      <c r="G10" s="946"/>
    </row>
    <row r="11" spans="1:8" ht="17.25" thickTop="1" thickBot="1">
      <c r="B11" s="237" t="s">
        <v>661</v>
      </c>
      <c r="C11" s="239" t="s">
        <v>1486</v>
      </c>
      <c r="D11" s="104"/>
      <c r="E11" s="237" t="s">
        <v>661</v>
      </c>
      <c r="F11" s="238" t="s">
        <v>1485</v>
      </c>
      <c r="G11" s="239" t="s">
        <v>1483</v>
      </c>
    </row>
    <row r="12" spans="1:8" ht="16.5" thickTop="1">
      <c r="B12" s="515" t="s">
        <v>1098</v>
      </c>
      <c r="C12" s="535" t="s">
        <v>1099</v>
      </c>
      <c r="D12" s="104"/>
      <c r="E12" s="515" t="s">
        <v>1100</v>
      </c>
      <c r="F12" s="536" t="s">
        <v>1101</v>
      </c>
      <c r="G12" s="492">
        <v>10</v>
      </c>
    </row>
    <row r="13" spans="1:8">
      <c r="B13" s="519" t="s">
        <v>1102</v>
      </c>
      <c r="C13" s="537" t="s">
        <v>1473</v>
      </c>
      <c r="D13" s="104"/>
      <c r="E13" s="519" t="s">
        <v>1103</v>
      </c>
      <c r="F13" s="538" t="s">
        <v>1104</v>
      </c>
      <c r="G13" s="495">
        <v>12</v>
      </c>
    </row>
    <row r="14" spans="1:8">
      <c r="B14" s="519" t="s">
        <v>1105</v>
      </c>
      <c r="C14" s="537" t="s">
        <v>1482</v>
      </c>
      <c r="D14" s="104"/>
      <c r="E14" s="519" t="s">
        <v>1106</v>
      </c>
      <c r="F14" s="538" t="s">
        <v>1107</v>
      </c>
      <c r="G14" s="495">
        <v>10</v>
      </c>
    </row>
    <row r="15" spans="1:8">
      <c r="B15" s="519" t="s">
        <v>1108</v>
      </c>
      <c r="C15" s="537" t="s">
        <v>1474</v>
      </c>
      <c r="D15" s="104"/>
      <c r="E15" s="519" t="s">
        <v>1109</v>
      </c>
      <c r="F15" s="538" t="s">
        <v>1110</v>
      </c>
      <c r="G15" s="495">
        <v>7</v>
      </c>
    </row>
    <row r="16" spans="1:8">
      <c r="B16" s="519" t="s">
        <v>737</v>
      </c>
      <c r="C16" s="537" t="s">
        <v>1479</v>
      </c>
      <c r="D16" s="104"/>
      <c r="E16" s="519" t="s">
        <v>1111</v>
      </c>
      <c r="F16" s="538" t="s">
        <v>1112</v>
      </c>
      <c r="G16" s="495">
        <v>12</v>
      </c>
    </row>
    <row r="17" spans="1:7" ht="16.5" thickBot="1">
      <c r="B17" s="521" t="s">
        <v>806</v>
      </c>
      <c r="C17" s="539" t="s">
        <v>1021</v>
      </c>
      <c r="D17" s="104"/>
      <c r="E17" s="519" t="s">
        <v>1113</v>
      </c>
      <c r="F17" s="538" t="s">
        <v>1114</v>
      </c>
      <c r="G17" s="495">
        <v>10</v>
      </c>
    </row>
    <row r="18" spans="1:7" ht="17.25" thickTop="1" thickBot="1">
      <c r="B18" s="104"/>
      <c r="C18" s="104"/>
      <c r="D18" s="104"/>
      <c r="E18" s="521" t="s">
        <v>1115</v>
      </c>
      <c r="F18" s="540" t="s">
        <v>1116</v>
      </c>
      <c r="G18" s="499">
        <v>10</v>
      </c>
    </row>
    <row r="19" spans="1:7" ht="16.5" thickTop="1"/>
    <row r="20" spans="1:7">
      <c r="A20" s="26" t="s">
        <v>1489</v>
      </c>
    </row>
    <row r="21" spans="1:7">
      <c r="A21" s="26" t="s">
        <v>1490</v>
      </c>
    </row>
    <row r="22" spans="1:7">
      <c r="A22" s="26" t="s">
        <v>1492</v>
      </c>
    </row>
    <row r="23" spans="1:7">
      <c r="A23" s="26" t="s">
        <v>1480</v>
      </c>
    </row>
    <row r="24" spans="1:7">
      <c r="A24" s="26" t="s">
        <v>1484</v>
      </c>
    </row>
    <row r="25" spans="1:7">
      <c r="A25" s="26" t="s">
        <v>1493</v>
      </c>
    </row>
    <row r="26" spans="1:7">
      <c r="A26" s="26" t="s">
        <v>1487</v>
      </c>
    </row>
    <row r="27" spans="1:7">
      <c r="A27" s="26" t="s">
        <v>1488</v>
      </c>
    </row>
    <row r="28" spans="1:7">
      <c r="A28" s="26" t="s">
        <v>1494</v>
      </c>
    </row>
    <row r="29" spans="1:7">
      <c r="A29" s="26" t="s">
        <v>1478</v>
      </c>
    </row>
  </sheetData>
  <mergeCells count="3">
    <mergeCell ref="A1:H1"/>
    <mergeCell ref="B10:C10"/>
    <mergeCell ref="E10:G10"/>
  </mergeCells>
  <phoneticPr fontId="0" type="noConversion"/>
  <pageMargins left="0.75" right="0.75" top="1" bottom="1" header="0.5" footer="0.5"/>
  <pageSetup paperSize="9" orientation="portrait" r:id="rId1"/>
  <headerFooter alignWithMargins="0">
    <oddFooter>&amp;A</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H27"/>
  <sheetViews>
    <sheetView showGridLines="0" workbookViewId="0">
      <selection activeCell="G4" sqref="G4"/>
    </sheetView>
  </sheetViews>
  <sheetFormatPr defaultRowHeight="15.75"/>
  <cols>
    <col min="1" max="1" width="9.375" style="12" customWidth="1"/>
    <col min="2" max="2" width="11.625" style="12" customWidth="1"/>
    <col min="3" max="7" width="9.625" style="12" customWidth="1"/>
    <col min="8" max="16384" width="9" style="12"/>
  </cols>
  <sheetData>
    <row r="1" spans="1:8" ht="24" customHeight="1" thickBot="1">
      <c r="A1" s="926" t="s">
        <v>1504</v>
      </c>
      <c r="B1" s="926"/>
      <c r="C1" s="926"/>
      <c r="D1" s="926"/>
      <c r="E1" s="926"/>
      <c r="F1" s="926"/>
      <c r="G1" s="926"/>
    </row>
    <row r="2" spans="1:8" ht="16.5" thickTop="1">
      <c r="A2" s="940" t="s">
        <v>150</v>
      </c>
      <c r="B2" s="942" t="s">
        <v>663</v>
      </c>
      <c r="C2" s="942" t="s">
        <v>1497</v>
      </c>
      <c r="D2" s="942"/>
      <c r="E2" s="942"/>
      <c r="F2" s="942" t="s">
        <v>1498</v>
      </c>
      <c r="G2" s="943"/>
    </row>
    <row r="3" spans="1:8" ht="16.5" thickBot="1">
      <c r="A3" s="941"/>
      <c r="B3" s="1066"/>
      <c r="C3" s="66" t="s">
        <v>681</v>
      </c>
      <c r="D3" s="66" t="s">
        <v>687</v>
      </c>
      <c r="E3" s="66" t="s">
        <v>688</v>
      </c>
      <c r="F3" s="66" t="s">
        <v>681</v>
      </c>
      <c r="G3" s="67" t="s">
        <v>688</v>
      </c>
    </row>
    <row r="4" spans="1:8" ht="16.5" thickTop="1">
      <c r="A4" s="83" t="s">
        <v>989</v>
      </c>
      <c r="B4" s="77" t="str">
        <f>VLOOKUP(A4,$A$13:$D$19,2,0)</f>
        <v>Ti vi</v>
      </c>
      <c r="C4" s="115">
        <v>100</v>
      </c>
      <c r="D4" s="19">
        <v>10</v>
      </c>
      <c r="E4" s="222">
        <f>D4*C4</f>
        <v>1000</v>
      </c>
      <c r="F4" s="19">
        <v>50</v>
      </c>
      <c r="G4" s="78">
        <f>(F4*D4)+IF(VLOOKUP(B4,$B$14:$D$19,3,0)="A",(F4*D4)*2%,IF(VLOOKUP(B4,$B$14:$D$19,3,0)="B",(F4*D4)*3%,(F4*D4)*1%))</f>
        <v>505</v>
      </c>
    </row>
    <row r="5" spans="1:8">
      <c r="A5" s="87" t="s">
        <v>990</v>
      </c>
      <c r="B5" s="77" t="str">
        <f t="shared" ref="B5:B10" si="0">VLOOKUP(A5,$A$13:$D$19,2,0)</f>
        <v>Tủ lạnh</v>
      </c>
      <c r="C5" s="119">
        <v>200</v>
      </c>
      <c r="D5" s="25">
        <v>15</v>
      </c>
      <c r="E5" s="222">
        <f t="shared" ref="E5:E10" si="1">D5*C5</f>
        <v>3000</v>
      </c>
      <c r="F5" s="25">
        <v>150</v>
      </c>
      <c r="G5" s="78">
        <f t="shared" ref="G5:G10" si="2">(F5*D5)+IF(VLOOKUP(B5,$B$14:$D$19,3,0)="A",(F5*D5)*2%,IF(VLOOKUP(B5,$B$14:$D$19,3,0)="B",(F5*D5)*3%,(F5*D5)*1%))</f>
        <v>2272.5</v>
      </c>
    </row>
    <row r="6" spans="1:8">
      <c r="A6" s="87" t="s">
        <v>823</v>
      </c>
      <c r="B6" s="77" t="str">
        <f t="shared" si="0"/>
        <v>Fax</v>
      </c>
      <c r="C6" s="119">
        <v>50</v>
      </c>
      <c r="D6" s="25">
        <v>20</v>
      </c>
      <c r="E6" s="222">
        <f t="shared" si="1"/>
        <v>1000</v>
      </c>
      <c r="F6" s="25">
        <v>50</v>
      </c>
      <c r="G6" s="78">
        <f t="shared" si="2"/>
        <v>1020</v>
      </c>
    </row>
    <row r="7" spans="1:8">
      <c r="A7" s="87" t="s">
        <v>824</v>
      </c>
      <c r="B7" s="77" t="str">
        <f t="shared" si="0"/>
        <v>Vi tính</v>
      </c>
      <c r="C7" s="119">
        <v>500</v>
      </c>
      <c r="D7" s="25">
        <v>10</v>
      </c>
      <c r="E7" s="222">
        <f t="shared" si="1"/>
        <v>5000</v>
      </c>
      <c r="F7" s="25">
        <v>300</v>
      </c>
      <c r="G7" s="78">
        <f t="shared" si="2"/>
        <v>3060</v>
      </c>
    </row>
    <row r="8" spans="1:8">
      <c r="A8" s="87" t="s">
        <v>825</v>
      </c>
      <c r="B8" s="77" t="str">
        <f t="shared" si="0"/>
        <v>Photocopy</v>
      </c>
      <c r="C8" s="119">
        <v>1000</v>
      </c>
      <c r="D8" s="25">
        <v>100</v>
      </c>
      <c r="E8" s="222">
        <f t="shared" si="1"/>
        <v>100000</v>
      </c>
      <c r="F8" s="25">
        <v>500</v>
      </c>
      <c r="G8" s="78">
        <f t="shared" si="2"/>
        <v>51500</v>
      </c>
    </row>
    <row r="9" spans="1:8">
      <c r="A9" s="87" t="s">
        <v>824</v>
      </c>
      <c r="B9" s="77" t="str">
        <f t="shared" si="0"/>
        <v>Vi tính</v>
      </c>
      <c r="C9" s="119">
        <v>100</v>
      </c>
      <c r="D9" s="25">
        <v>20</v>
      </c>
      <c r="E9" s="222">
        <f t="shared" si="1"/>
        <v>2000</v>
      </c>
      <c r="F9" s="25">
        <v>0</v>
      </c>
      <c r="G9" s="78">
        <f t="shared" si="2"/>
        <v>0</v>
      </c>
    </row>
    <row r="10" spans="1:8" ht="16.5" thickBot="1">
      <c r="A10" s="89" t="s">
        <v>991</v>
      </c>
      <c r="B10" s="77" t="str">
        <f t="shared" si="0"/>
        <v>Điện thoại</v>
      </c>
      <c r="C10" s="167">
        <v>50</v>
      </c>
      <c r="D10" s="153">
        <v>10</v>
      </c>
      <c r="E10" s="222">
        <f t="shared" si="1"/>
        <v>500</v>
      </c>
      <c r="F10" s="153">
        <v>100</v>
      </c>
      <c r="G10" s="78">
        <f t="shared" si="2"/>
        <v>1010</v>
      </c>
    </row>
    <row r="11" spans="1:8" ht="16.5" thickTop="1"/>
    <row r="12" spans="1:8" ht="16.5" thickBot="1">
      <c r="A12" s="1012" t="s">
        <v>1505</v>
      </c>
      <c r="B12" s="1012"/>
      <c r="C12" s="1012"/>
      <c r="D12" s="1012"/>
    </row>
    <row r="13" spans="1:8" ht="17.25" thickTop="1" thickBot="1">
      <c r="A13" s="14" t="s">
        <v>150</v>
      </c>
      <c r="B13" s="15" t="s">
        <v>663</v>
      </c>
      <c r="C13" s="15" t="s">
        <v>149</v>
      </c>
      <c r="D13" s="16" t="s">
        <v>385</v>
      </c>
    </row>
    <row r="14" spans="1:8" ht="16.5" thickTop="1">
      <c r="A14" s="83" t="s">
        <v>824</v>
      </c>
      <c r="B14" s="18" t="s">
        <v>605</v>
      </c>
      <c r="C14" s="19" t="s">
        <v>1858</v>
      </c>
      <c r="D14" s="249" t="s">
        <v>1022</v>
      </c>
    </row>
    <row r="15" spans="1:8">
      <c r="A15" s="87" t="s">
        <v>825</v>
      </c>
      <c r="B15" s="24" t="s">
        <v>826</v>
      </c>
      <c r="C15" s="25" t="s">
        <v>1858</v>
      </c>
      <c r="D15" s="250" t="s">
        <v>1023</v>
      </c>
      <c r="F15" s="226"/>
      <c r="G15" s="226"/>
      <c r="H15" s="226"/>
    </row>
    <row r="16" spans="1:8">
      <c r="A16" s="87" t="s">
        <v>989</v>
      </c>
      <c r="B16" s="24" t="s">
        <v>827</v>
      </c>
      <c r="C16" s="25" t="s">
        <v>1858</v>
      </c>
      <c r="D16" s="250" t="s">
        <v>1024</v>
      </c>
      <c r="F16" s="226"/>
      <c r="G16" s="226"/>
      <c r="H16" s="226"/>
    </row>
    <row r="17" spans="1:8">
      <c r="A17" s="87" t="s">
        <v>990</v>
      </c>
      <c r="B17" s="24" t="s">
        <v>1495</v>
      </c>
      <c r="C17" s="25" t="s">
        <v>1858</v>
      </c>
      <c r="D17" s="250" t="s">
        <v>1024</v>
      </c>
      <c r="F17" s="226"/>
      <c r="G17" s="226"/>
      <c r="H17" s="226"/>
    </row>
    <row r="18" spans="1:8">
      <c r="A18" s="87" t="s">
        <v>991</v>
      </c>
      <c r="B18" s="24" t="s">
        <v>1496</v>
      </c>
      <c r="C18" s="25" t="s">
        <v>1858</v>
      </c>
      <c r="D18" s="250" t="s">
        <v>1024</v>
      </c>
      <c r="F18" s="226"/>
      <c r="G18" s="226"/>
      <c r="H18" s="226"/>
    </row>
    <row r="19" spans="1:8" ht="16.5" thickBot="1">
      <c r="A19" s="89" t="s">
        <v>823</v>
      </c>
      <c r="B19" s="80" t="s">
        <v>828</v>
      </c>
      <c r="C19" s="153" t="s">
        <v>1858</v>
      </c>
      <c r="D19" s="251" t="s">
        <v>1022</v>
      </c>
      <c r="F19" s="226"/>
      <c r="G19" s="226"/>
      <c r="H19" s="226"/>
    </row>
    <row r="20" spans="1:8" ht="16.5" thickTop="1">
      <c r="F20" s="226"/>
      <c r="G20" s="226"/>
      <c r="H20" s="226"/>
    </row>
    <row r="21" spans="1:8">
      <c r="A21" s="541" t="s">
        <v>1506</v>
      </c>
      <c r="B21" s="226"/>
      <c r="C21" s="226"/>
      <c r="D21" s="226"/>
      <c r="E21" s="226"/>
      <c r="F21" s="226"/>
    </row>
    <row r="22" spans="1:8">
      <c r="A22" s="541" t="s">
        <v>1502</v>
      </c>
    </row>
    <row r="23" spans="1:8">
      <c r="A23" s="541" t="s">
        <v>1503</v>
      </c>
    </row>
    <row r="24" spans="1:8">
      <c r="A24" s="541" t="s">
        <v>1507</v>
      </c>
    </row>
    <row r="25" spans="1:8">
      <c r="B25" s="542" t="s">
        <v>1499</v>
      </c>
    </row>
    <row r="26" spans="1:8">
      <c r="B26" s="542" t="s">
        <v>1500</v>
      </c>
    </row>
    <row r="27" spans="1:8">
      <c r="B27" s="542" t="s">
        <v>1501</v>
      </c>
    </row>
  </sheetData>
  <mergeCells count="6">
    <mergeCell ref="A12:D12"/>
    <mergeCell ref="A1:G1"/>
    <mergeCell ref="A2:A3"/>
    <mergeCell ref="B2:B3"/>
    <mergeCell ref="C2:E2"/>
    <mergeCell ref="F2:G2"/>
  </mergeCells>
  <phoneticPr fontId="0" type="noConversion"/>
  <pageMargins left="0.75" right="0.75" top="1" bottom="1" header="0.5" footer="0.5"/>
  <pageSetup paperSize="9" orientation="portrait" r:id="rId1"/>
  <headerFooter alignWithMargins="0">
    <oddFooter>&amp;A</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topLeftCell="A16" workbookViewId="0">
      <selection activeCell="I41" sqref="I41"/>
    </sheetView>
  </sheetViews>
  <sheetFormatPr defaultRowHeight="15.75"/>
  <cols>
    <col min="1" max="1" width="5" style="27" customWidth="1"/>
    <col min="2" max="4" width="7.875" style="27" customWidth="1"/>
    <col min="5" max="6" width="7.625" style="27" customWidth="1"/>
    <col min="7" max="7" width="12.75" style="27" bestFit="1" customWidth="1"/>
    <col min="8" max="8" width="7.625" style="27" customWidth="1"/>
    <col min="9" max="10" width="10.625" style="27" customWidth="1"/>
    <col min="11" max="16384" width="9" style="27"/>
  </cols>
  <sheetData>
    <row r="1" spans="1:10" ht="36" customHeight="1" thickBot="1">
      <c r="A1" s="931" t="s">
        <v>1282</v>
      </c>
      <c r="B1" s="931"/>
      <c r="C1" s="931"/>
      <c r="D1" s="931"/>
      <c r="E1" s="931"/>
      <c r="F1" s="931"/>
      <c r="G1" s="931"/>
      <c r="H1" s="931"/>
      <c r="I1" s="931"/>
      <c r="J1" s="931"/>
    </row>
    <row r="2" spans="1:10" ht="32.25" thickTop="1">
      <c r="A2" s="35" t="s">
        <v>1017</v>
      </c>
      <c r="B2" s="36" t="s">
        <v>660</v>
      </c>
      <c r="C2" s="36" t="s">
        <v>663</v>
      </c>
      <c r="D2" s="36" t="s">
        <v>687</v>
      </c>
      <c r="E2" s="36" t="s">
        <v>681</v>
      </c>
      <c r="F2" s="36" t="s">
        <v>151</v>
      </c>
      <c r="G2" s="36" t="s">
        <v>1508</v>
      </c>
      <c r="H2" s="36" t="s">
        <v>1283</v>
      </c>
      <c r="I2" s="36" t="s">
        <v>1277</v>
      </c>
      <c r="J2" s="37" t="s">
        <v>1278</v>
      </c>
    </row>
    <row r="3" spans="1:10" ht="16.5" thickBot="1">
      <c r="A3" s="543">
        <v>-1</v>
      </c>
      <c r="B3" s="544">
        <v>-2</v>
      </c>
      <c r="C3" s="544">
        <v>-3</v>
      </c>
      <c r="D3" s="544">
        <v>-4</v>
      </c>
      <c r="E3" s="544">
        <v>-5</v>
      </c>
      <c r="F3" s="544">
        <v>-6</v>
      </c>
      <c r="G3" s="544">
        <v>-7</v>
      </c>
      <c r="H3" s="544">
        <v>-8</v>
      </c>
      <c r="I3" s="544">
        <v>-9</v>
      </c>
      <c r="J3" s="545">
        <v>-10</v>
      </c>
    </row>
    <row r="4" spans="1:10" ht="17.25" thickTop="1" thickBot="1">
      <c r="A4" s="381">
        <v>1</v>
      </c>
      <c r="B4" s="382" t="s">
        <v>704</v>
      </c>
      <c r="C4" s="383" t="str">
        <f>IF(MID(B4,2,2)="TV","Tivi",IF(MID(B4,2,2)="CA","Cassette",IF(MID(B4,2,2)="DM","Dau may","Micro")))</f>
        <v>Tivi</v>
      </c>
      <c r="D4" s="382">
        <v>400</v>
      </c>
      <c r="E4" s="382">
        <v>300</v>
      </c>
      <c r="F4" s="546">
        <f>E4*D4</f>
        <v>120000</v>
      </c>
      <c r="G4" s="546">
        <f>VLOOKUP(LEFT(B4,1),$B$12:$D$16,2,0)*F4</f>
        <v>34800</v>
      </c>
      <c r="H4" s="546">
        <f>F4*VLOOKUP(LEFT(B4,1),$B$12:$D$16,3,0)</f>
        <v>4800</v>
      </c>
      <c r="I4" s="546">
        <f>(F4+G4+H4)/E4</f>
        <v>532</v>
      </c>
      <c r="J4" s="546">
        <f>(F4+G4+H4)*1.2/E4</f>
        <v>638.4</v>
      </c>
    </row>
    <row r="5" spans="1:10" ht="17.25" thickTop="1" thickBot="1">
      <c r="A5" s="48">
        <v>2</v>
      </c>
      <c r="B5" s="30" t="s">
        <v>705</v>
      </c>
      <c r="C5" s="383" t="str">
        <f t="shared" ref="C5:C9" si="0">IF(MID(B5,2,2)="TV","Tivi",IF(MID(B5,2,2)="CA","Cassette",IF(MID(B5,2,2)="DM","Dau may","Micro")))</f>
        <v>Cassette</v>
      </c>
      <c r="D5" s="30">
        <v>200</v>
      </c>
      <c r="E5" s="30">
        <v>200</v>
      </c>
      <c r="F5" s="546">
        <f t="shared" ref="F5:F9" si="1">E5*D5</f>
        <v>40000</v>
      </c>
      <c r="G5" s="546">
        <f t="shared" ref="G5:G9" si="2">VLOOKUP(LEFT(B5,1),$B$12:$D$16,2,0)*F5</f>
        <v>4000</v>
      </c>
      <c r="H5" s="546">
        <f t="shared" ref="H5:H9" si="3">F5*VLOOKUP(LEFT(B5,1),$B$12:$D$16,3,0)</f>
        <v>1200</v>
      </c>
      <c r="I5" s="546">
        <f t="shared" ref="I5:I9" si="4">(F5+G5+H5)/E5</f>
        <v>226</v>
      </c>
      <c r="J5" s="546">
        <f t="shared" ref="J5:J9" si="5">(F5+G5+H5)*1.2/E5</f>
        <v>271.2</v>
      </c>
    </row>
    <row r="6" spans="1:10" ht="17.25" thickTop="1" thickBot="1">
      <c r="A6" s="48">
        <v>3</v>
      </c>
      <c r="B6" s="30" t="s">
        <v>706</v>
      </c>
      <c r="C6" s="383" t="str">
        <f t="shared" si="0"/>
        <v>Dau may</v>
      </c>
      <c r="D6" s="30">
        <v>350</v>
      </c>
      <c r="E6" s="30">
        <v>300</v>
      </c>
      <c r="F6" s="546">
        <f t="shared" si="1"/>
        <v>105000</v>
      </c>
      <c r="G6" s="546">
        <f t="shared" si="2"/>
        <v>8400</v>
      </c>
      <c r="H6" s="546">
        <f t="shared" si="3"/>
        <v>2625</v>
      </c>
      <c r="I6" s="546">
        <f t="shared" si="4"/>
        <v>386.75</v>
      </c>
      <c r="J6" s="546">
        <f t="shared" si="5"/>
        <v>464.1</v>
      </c>
    </row>
    <row r="7" spans="1:10" ht="17.25" thickTop="1" thickBot="1">
      <c r="A7" s="48">
        <v>4</v>
      </c>
      <c r="B7" s="30" t="s">
        <v>707</v>
      </c>
      <c r="C7" s="383" t="str">
        <f t="shared" si="0"/>
        <v>Tivi</v>
      </c>
      <c r="D7" s="30">
        <v>450</v>
      </c>
      <c r="E7" s="30">
        <v>100</v>
      </c>
      <c r="F7" s="546">
        <f t="shared" si="1"/>
        <v>45000</v>
      </c>
      <c r="G7" s="546">
        <f t="shared" si="2"/>
        <v>13050</v>
      </c>
      <c r="H7" s="546">
        <f t="shared" si="3"/>
        <v>1800</v>
      </c>
      <c r="I7" s="546">
        <f t="shared" si="4"/>
        <v>598.5</v>
      </c>
      <c r="J7" s="546">
        <f t="shared" si="5"/>
        <v>718.2</v>
      </c>
    </row>
    <row r="8" spans="1:10" ht="17.25" thickTop="1" thickBot="1">
      <c r="A8" s="48">
        <v>5</v>
      </c>
      <c r="B8" s="30" t="s">
        <v>708</v>
      </c>
      <c r="C8" s="383" t="str">
        <f t="shared" si="0"/>
        <v>Cassette</v>
      </c>
      <c r="D8" s="30">
        <v>180</v>
      </c>
      <c r="E8" s="30">
        <v>500</v>
      </c>
      <c r="F8" s="546">
        <f t="shared" si="1"/>
        <v>90000</v>
      </c>
      <c r="G8" s="546">
        <f t="shared" si="2"/>
        <v>9000</v>
      </c>
      <c r="H8" s="546">
        <f t="shared" si="3"/>
        <v>2700</v>
      </c>
      <c r="I8" s="546">
        <f t="shared" si="4"/>
        <v>203.4</v>
      </c>
      <c r="J8" s="546">
        <f t="shared" si="5"/>
        <v>244.08</v>
      </c>
    </row>
    <row r="9" spans="1:10" ht="17.25" thickTop="1" thickBot="1">
      <c r="A9" s="50">
        <v>6</v>
      </c>
      <c r="B9" s="51" t="s">
        <v>709</v>
      </c>
      <c r="C9" s="383" t="str">
        <f t="shared" si="0"/>
        <v>Micro</v>
      </c>
      <c r="D9" s="51">
        <v>10</v>
      </c>
      <c r="E9" s="51">
        <v>200</v>
      </c>
      <c r="F9" s="546">
        <f t="shared" si="1"/>
        <v>2000</v>
      </c>
      <c r="G9" s="546">
        <f t="shared" si="2"/>
        <v>40</v>
      </c>
      <c r="H9" s="546">
        <f t="shared" si="3"/>
        <v>10</v>
      </c>
      <c r="I9" s="546">
        <f t="shared" si="4"/>
        <v>10.25</v>
      </c>
      <c r="J9" s="546">
        <f t="shared" si="5"/>
        <v>12.3</v>
      </c>
    </row>
    <row r="10" spans="1:10" ht="16.5" thickTop="1"/>
    <row r="11" spans="1:10" ht="16.5" thickBot="1">
      <c r="B11" s="1067" t="s">
        <v>1513</v>
      </c>
      <c r="C11" s="1067"/>
      <c r="D11" s="1067"/>
    </row>
    <row r="12" spans="1:10" ht="17.25" thickTop="1" thickBot="1">
      <c r="B12" s="547" t="s">
        <v>661</v>
      </c>
      <c r="C12" s="548" t="s">
        <v>666</v>
      </c>
      <c r="D12" s="549" t="s">
        <v>1283</v>
      </c>
    </row>
    <row r="13" spans="1:10" ht="16.5" thickTop="1">
      <c r="B13" s="42" t="s">
        <v>710</v>
      </c>
      <c r="C13" s="550">
        <v>0.28999999999999998</v>
      </c>
      <c r="D13" s="551">
        <v>0.04</v>
      </c>
    </row>
    <row r="14" spans="1:10">
      <c r="B14" s="48" t="s">
        <v>1024</v>
      </c>
      <c r="C14" s="552">
        <v>0.1</v>
      </c>
      <c r="D14" s="553">
        <v>0.03</v>
      </c>
      <c r="H14" s="61"/>
      <c r="I14" s="61"/>
    </row>
    <row r="15" spans="1:10">
      <c r="B15" s="48" t="s">
        <v>1025</v>
      </c>
      <c r="C15" s="552">
        <v>0.08</v>
      </c>
      <c r="D15" s="554">
        <v>2.5000000000000001E-2</v>
      </c>
      <c r="H15" s="61"/>
      <c r="I15" s="275"/>
    </row>
    <row r="16" spans="1:10" ht="16.5" thickBot="1">
      <c r="B16" s="50" t="s">
        <v>711</v>
      </c>
      <c r="C16" s="555">
        <v>0.02</v>
      </c>
      <c r="D16" s="556">
        <v>5.0000000000000001E-3</v>
      </c>
      <c r="H16" s="61"/>
      <c r="I16" s="275"/>
    </row>
    <row r="17" spans="1:9" ht="16.5" thickTop="1">
      <c r="H17" s="61"/>
      <c r="I17" s="61"/>
    </row>
    <row r="18" spans="1:9">
      <c r="A18" s="33" t="s">
        <v>1280</v>
      </c>
    </row>
    <row r="19" spans="1:9">
      <c r="A19" s="33" t="s">
        <v>712</v>
      </c>
    </row>
    <row r="20" spans="1:9">
      <c r="A20" s="33" t="s">
        <v>713</v>
      </c>
    </row>
    <row r="21" spans="1:9">
      <c r="A21" s="33" t="s">
        <v>1279</v>
      </c>
    </row>
    <row r="22" spans="1:9">
      <c r="A22" s="33" t="s">
        <v>714</v>
      </c>
    </row>
    <row r="23" spans="1:9">
      <c r="A23" s="33" t="s">
        <v>2377</v>
      </c>
    </row>
    <row r="24" spans="1:9">
      <c r="A24" s="33" t="s">
        <v>1509</v>
      </c>
    </row>
    <row r="25" spans="1:9">
      <c r="A25" s="33" t="s">
        <v>1281</v>
      </c>
    </row>
    <row r="26" spans="1:9">
      <c r="A26" s="33" t="s">
        <v>1276</v>
      </c>
    </row>
    <row r="27" spans="1:9">
      <c r="A27" s="33" t="s">
        <v>1284</v>
      </c>
    </row>
    <row r="28" spans="1:9">
      <c r="A28" s="33" t="s">
        <v>1285</v>
      </c>
    </row>
    <row r="29" spans="1:9">
      <c r="A29" s="33" t="s">
        <v>1286</v>
      </c>
    </row>
  </sheetData>
  <mergeCells count="2">
    <mergeCell ref="A1:J1"/>
    <mergeCell ref="B11:D11"/>
  </mergeCells>
  <phoneticPr fontId="0" type="noConversion"/>
  <pageMargins left="0.75" right="0.75" top="1" bottom="1" header="0.5" footer="0.5"/>
  <pageSetup paperSize="9" orientation="portrait" r:id="rId1"/>
  <headerFooter alignWithMargins="0">
    <oddFooter>&amp;A</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topLeftCell="A10" workbookViewId="0">
      <selection activeCell="G9" sqref="G9"/>
    </sheetView>
  </sheetViews>
  <sheetFormatPr defaultRowHeight="15.75"/>
  <cols>
    <col min="1" max="1" width="4.625" style="27" customWidth="1"/>
    <col min="2" max="2" width="11.375" style="27" customWidth="1"/>
    <col min="3" max="3" width="12.75" style="27" customWidth="1"/>
    <col min="4" max="4" width="10.75" style="27" customWidth="1"/>
    <col min="5" max="5" width="8.625" style="27" customWidth="1"/>
    <col min="6" max="6" width="12" style="27" customWidth="1"/>
    <col min="7" max="7" width="10.625" style="27" customWidth="1"/>
    <col min="8" max="16384" width="9" style="27"/>
  </cols>
  <sheetData>
    <row r="1" spans="1:7" ht="36" customHeight="1" thickBot="1">
      <c r="A1" s="931" t="s">
        <v>1291</v>
      </c>
      <c r="B1" s="931"/>
      <c r="C1" s="931"/>
      <c r="D1" s="931"/>
      <c r="E1" s="931"/>
      <c r="F1" s="931"/>
      <c r="G1" s="931"/>
    </row>
    <row r="2" spans="1:7" ht="17.25" thickTop="1" thickBot="1">
      <c r="A2" s="557" t="s">
        <v>842</v>
      </c>
      <c r="B2" s="558" t="s">
        <v>660</v>
      </c>
      <c r="C2" s="558" t="s">
        <v>663</v>
      </c>
      <c r="D2" s="558" t="s">
        <v>1287</v>
      </c>
      <c r="E2" s="558" t="s">
        <v>681</v>
      </c>
      <c r="F2" s="558" t="s">
        <v>687</v>
      </c>
      <c r="G2" s="559" t="s">
        <v>151</v>
      </c>
    </row>
    <row r="3" spans="1:7" ht="16.5" thickTop="1">
      <c r="A3" s="560">
        <v>1</v>
      </c>
      <c r="B3" s="195" t="s">
        <v>1139</v>
      </c>
      <c r="C3" s="561" t="str">
        <f>VLOOKUP(LEFT(B3,2),$A$15:$B$18,2,0)</f>
        <v>Monitor</v>
      </c>
      <c r="D3" s="562" t="s">
        <v>754</v>
      </c>
      <c r="E3" s="562">
        <v>9</v>
      </c>
      <c r="F3" s="563">
        <f>INDEX($E$16:$G$17,MATCH(IF(D3="N",$D$16,$D$17),$D$16:$D$17,0),MATCH(LEFT(B3,2),$E$15:$G$15,0))</f>
        <v>200</v>
      </c>
      <c r="G3" s="564">
        <f>IF(E3&gt;10,E3*F3-(2%*E3*F3),E3*F3)</f>
        <v>1800</v>
      </c>
    </row>
    <row r="4" spans="1:7">
      <c r="A4" s="565">
        <v>2</v>
      </c>
      <c r="B4" s="198" t="s">
        <v>1140</v>
      </c>
      <c r="C4" s="561" t="str">
        <f t="shared" ref="C4:C12" si="0">VLOOKUP(LEFT(B4,2),$A$15:$B$18,2,0)</f>
        <v>CPU</v>
      </c>
      <c r="D4" s="566" t="s">
        <v>752</v>
      </c>
      <c r="E4" s="566">
        <v>1</v>
      </c>
      <c r="F4" s="563">
        <f t="shared" ref="F4:F12" si="1">INDEX($E$16:$G$17,MATCH(IF(D4="N",$D$16,$D$17),$D$16:$D$17,0),MATCH(LEFT(B4,2),$E$15:$G$15,0))</f>
        <v>1398</v>
      </c>
      <c r="G4" s="564">
        <f t="shared" ref="G4:G12" si="2">IF(E4&gt;10,E4*F4-(2%*E4*F4),E4*F4)</f>
        <v>1398</v>
      </c>
    </row>
    <row r="5" spans="1:7">
      <c r="A5" s="565">
        <v>3</v>
      </c>
      <c r="B5" s="198" t="s">
        <v>1141</v>
      </c>
      <c r="C5" s="561" t="str">
        <f t="shared" si="0"/>
        <v>Keyboard</v>
      </c>
      <c r="D5" s="566" t="s">
        <v>752</v>
      </c>
      <c r="E5" s="566">
        <v>14</v>
      </c>
      <c r="F5" s="563">
        <f t="shared" si="1"/>
        <v>18</v>
      </c>
      <c r="G5" s="564">
        <f t="shared" si="2"/>
        <v>246.96</v>
      </c>
    </row>
    <row r="6" spans="1:7">
      <c r="A6" s="565">
        <v>4</v>
      </c>
      <c r="B6" s="198" t="s">
        <v>1142</v>
      </c>
      <c r="C6" s="561" t="str">
        <f t="shared" si="0"/>
        <v>CPU</v>
      </c>
      <c r="D6" s="566" t="s">
        <v>754</v>
      </c>
      <c r="E6" s="566">
        <v>5</v>
      </c>
      <c r="F6" s="563">
        <f t="shared" si="1"/>
        <v>1165</v>
      </c>
      <c r="G6" s="564">
        <f t="shared" si="2"/>
        <v>5825</v>
      </c>
    </row>
    <row r="7" spans="1:7">
      <c r="A7" s="565">
        <v>5</v>
      </c>
      <c r="B7" s="198" t="s">
        <v>1143</v>
      </c>
      <c r="C7" s="561" t="str">
        <f t="shared" si="0"/>
        <v>Monitor</v>
      </c>
      <c r="D7" s="566" t="s">
        <v>752</v>
      </c>
      <c r="E7" s="566">
        <v>2</v>
      </c>
      <c r="F7" s="563">
        <f t="shared" si="1"/>
        <v>240</v>
      </c>
      <c r="G7" s="564">
        <f t="shared" si="2"/>
        <v>480</v>
      </c>
    </row>
    <row r="8" spans="1:7">
      <c r="A8" s="565">
        <v>6</v>
      </c>
      <c r="B8" s="198" t="s">
        <v>1144</v>
      </c>
      <c r="C8" s="561" t="str">
        <f t="shared" si="0"/>
        <v>CPU</v>
      </c>
      <c r="D8" s="566" t="s">
        <v>752</v>
      </c>
      <c r="E8" s="566">
        <v>4</v>
      </c>
      <c r="F8" s="563">
        <f t="shared" si="1"/>
        <v>1398</v>
      </c>
      <c r="G8" s="564">
        <f t="shared" si="2"/>
        <v>5592</v>
      </c>
    </row>
    <row r="9" spans="1:7">
      <c r="A9" s="565">
        <v>7</v>
      </c>
      <c r="B9" s="198" t="s">
        <v>1145</v>
      </c>
      <c r="C9" s="561" t="str">
        <f t="shared" si="0"/>
        <v>Keyboard</v>
      </c>
      <c r="D9" s="566" t="s">
        <v>754</v>
      </c>
      <c r="E9" s="566">
        <v>3</v>
      </c>
      <c r="F9" s="563">
        <f t="shared" si="1"/>
        <v>15</v>
      </c>
      <c r="G9" s="564">
        <f t="shared" si="2"/>
        <v>45</v>
      </c>
    </row>
    <row r="10" spans="1:7">
      <c r="A10" s="565">
        <v>8</v>
      </c>
      <c r="B10" s="198" t="s">
        <v>1146</v>
      </c>
      <c r="C10" s="561" t="str">
        <f t="shared" si="0"/>
        <v>Monitor</v>
      </c>
      <c r="D10" s="566" t="s">
        <v>752</v>
      </c>
      <c r="E10" s="566">
        <v>15</v>
      </c>
      <c r="F10" s="563">
        <f t="shared" si="1"/>
        <v>240</v>
      </c>
      <c r="G10" s="564">
        <f t="shared" si="2"/>
        <v>3528</v>
      </c>
    </row>
    <row r="11" spans="1:7">
      <c r="A11" s="565">
        <v>9</v>
      </c>
      <c r="B11" s="198" t="s">
        <v>1147</v>
      </c>
      <c r="C11" s="561" t="str">
        <f t="shared" si="0"/>
        <v>Keyboard</v>
      </c>
      <c r="D11" s="566" t="s">
        <v>752</v>
      </c>
      <c r="E11" s="566">
        <v>4</v>
      </c>
      <c r="F11" s="563">
        <f t="shared" si="1"/>
        <v>18</v>
      </c>
      <c r="G11" s="564">
        <f t="shared" si="2"/>
        <v>72</v>
      </c>
    </row>
    <row r="12" spans="1:7" ht="16.5" thickBot="1">
      <c r="A12" s="567">
        <v>10</v>
      </c>
      <c r="B12" s="568" t="s">
        <v>1148</v>
      </c>
      <c r="C12" s="561" t="str">
        <f t="shared" si="0"/>
        <v>CPU</v>
      </c>
      <c r="D12" s="569" t="s">
        <v>754</v>
      </c>
      <c r="E12" s="569">
        <v>3</v>
      </c>
      <c r="F12" s="563">
        <f t="shared" si="1"/>
        <v>1165</v>
      </c>
      <c r="G12" s="564">
        <f t="shared" si="2"/>
        <v>3495</v>
      </c>
    </row>
    <row r="13" spans="1:7" ht="16.5" thickTop="1">
      <c r="G13" s="570"/>
    </row>
    <row r="14" spans="1:7" ht="16.5" thickBot="1">
      <c r="A14" s="1068" t="s">
        <v>1289</v>
      </c>
      <c r="B14" s="1068"/>
      <c r="D14" s="1068" t="s">
        <v>2135</v>
      </c>
      <c r="E14" s="1068"/>
      <c r="F14" s="1068"/>
      <c r="G14" s="1068"/>
    </row>
    <row r="15" spans="1:7" ht="17.25" thickTop="1" thickBot="1">
      <c r="A15" s="571" t="s">
        <v>661</v>
      </c>
      <c r="B15" s="572" t="s">
        <v>663</v>
      </c>
      <c r="D15" s="557" t="s">
        <v>661</v>
      </c>
      <c r="E15" s="558" t="s">
        <v>1149</v>
      </c>
      <c r="F15" s="558" t="s">
        <v>1150</v>
      </c>
      <c r="G15" s="559" t="s">
        <v>1151</v>
      </c>
    </row>
    <row r="16" spans="1:7" ht="16.5" thickTop="1">
      <c r="A16" s="573" t="s">
        <v>1151</v>
      </c>
      <c r="B16" s="574" t="s">
        <v>1152</v>
      </c>
      <c r="D16" s="560" t="s">
        <v>1511</v>
      </c>
      <c r="E16" s="562">
        <v>15</v>
      </c>
      <c r="F16" s="562">
        <v>200</v>
      </c>
      <c r="G16" s="575">
        <v>1165</v>
      </c>
    </row>
    <row r="17" spans="1:9" ht="16.5" thickBot="1">
      <c r="A17" s="576" t="s">
        <v>1150</v>
      </c>
      <c r="B17" s="577" t="s">
        <v>1153</v>
      </c>
      <c r="D17" s="567" t="s">
        <v>1510</v>
      </c>
      <c r="E17" s="569">
        <f>E16*1.2</f>
        <v>18</v>
      </c>
      <c r="F17" s="569">
        <f>F16*1.2</f>
        <v>240</v>
      </c>
      <c r="G17" s="578">
        <f>G16*1.2</f>
        <v>1398</v>
      </c>
    </row>
    <row r="18" spans="1:9" ht="17.25" thickTop="1" thickBot="1">
      <c r="A18" s="579" t="s">
        <v>1149</v>
      </c>
      <c r="B18" s="580" t="s">
        <v>1154</v>
      </c>
    </row>
    <row r="19" spans="1:9" ht="16.5" thickTop="1">
      <c r="E19" s="581"/>
      <c r="F19" s="582"/>
      <c r="G19" s="582"/>
      <c r="H19" s="582"/>
      <c r="I19" s="581"/>
    </row>
    <row r="20" spans="1:9">
      <c r="A20" s="33" t="s">
        <v>1292</v>
      </c>
      <c r="E20" s="581"/>
      <c r="F20" s="581"/>
      <c r="G20" s="581"/>
      <c r="H20" s="581"/>
      <c r="I20" s="581"/>
    </row>
    <row r="21" spans="1:9">
      <c r="A21" s="33" t="s">
        <v>1293</v>
      </c>
      <c r="E21" s="581"/>
      <c r="F21" s="581"/>
      <c r="G21" s="581"/>
      <c r="H21" s="581"/>
      <c r="I21" s="581"/>
    </row>
    <row r="22" spans="1:9">
      <c r="A22" s="33" t="s">
        <v>1290</v>
      </c>
      <c r="E22" s="581"/>
      <c r="F22" s="581"/>
      <c r="G22" s="581"/>
      <c r="H22" s="581"/>
      <c r="I22" s="581"/>
    </row>
    <row r="23" spans="1:9">
      <c r="A23" s="33" t="s">
        <v>1294</v>
      </c>
    </row>
    <row r="24" spans="1:9">
      <c r="A24" s="33" t="s">
        <v>1288</v>
      </c>
    </row>
  </sheetData>
  <mergeCells count="3">
    <mergeCell ref="A1:G1"/>
    <mergeCell ref="A14:B14"/>
    <mergeCell ref="D14:G14"/>
  </mergeCells>
  <phoneticPr fontId="0" type="noConversion"/>
  <pageMargins left="0.75" right="0.75" top="1" bottom="1" header="0.5" footer="0.5"/>
  <pageSetup paperSize="9" orientation="portrait" r:id="rId1"/>
  <headerFooter alignWithMargins="0">
    <oddFooter>&amp;A</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topLeftCell="A7" workbookViewId="0">
      <selection activeCell="F11" sqref="F11"/>
    </sheetView>
  </sheetViews>
  <sheetFormatPr defaultRowHeight="15.75"/>
  <cols>
    <col min="1" max="1" width="8.375" style="27" customWidth="1"/>
    <col min="2" max="2" width="9.5" style="27" customWidth="1"/>
    <col min="3" max="3" width="13.25" style="27" customWidth="1"/>
    <col min="4" max="4" width="10.25" style="27" customWidth="1"/>
    <col min="5" max="5" width="10.625" style="27" customWidth="1"/>
    <col min="6" max="6" width="12.25" style="27" customWidth="1"/>
    <col min="7" max="7" width="10.625" style="27" customWidth="1"/>
    <col min="8" max="16384" width="9" style="27"/>
  </cols>
  <sheetData>
    <row r="1" spans="1:11" ht="36" customHeight="1" thickBot="1">
      <c r="A1" s="926" t="s">
        <v>1305</v>
      </c>
      <c r="B1" s="926"/>
      <c r="C1" s="926"/>
      <c r="D1" s="926"/>
      <c r="E1" s="926"/>
      <c r="F1" s="926"/>
    </row>
    <row r="2" spans="1:11" ht="17.25" thickTop="1" thickBot="1">
      <c r="A2" s="547" t="s">
        <v>1017</v>
      </c>
      <c r="B2" s="548" t="s">
        <v>2432</v>
      </c>
      <c r="C2" s="548" t="s">
        <v>1299</v>
      </c>
      <c r="D2" s="548" t="s">
        <v>1298</v>
      </c>
      <c r="E2" s="548" t="s">
        <v>1295</v>
      </c>
      <c r="F2" s="549" t="s">
        <v>1982</v>
      </c>
    </row>
    <row r="3" spans="1:11" ht="16.5" thickTop="1">
      <c r="A3" s="42">
        <v>1</v>
      </c>
      <c r="B3" s="43" t="s">
        <v>1048</v>
      </c>
      <c r="C3" s="196" t="str">
        <f>VLOOKUP(MID(B3,2,2),$A$16:$B$20,2,0)</f>
        <v>Nghĩa</v>
      </c>
      <c r="D3" s="69">
        <v>35</v>
      </c>
      <c r="E3" s="69">
        <v>1</v>
      </c>
      <c r="F3" s="583">
        <f>INDEX($E$17:$G$19,MATCH(E3,$D$17:$D$19,0),MATCH(D3,$E$16:$G$16,1))</f>
        <v>3000</v>
      </c>
    </row>
    <row r="4" spans="1:11">
      <c r="A4" s="48">
        <v>2</v>
      </c>
      <c r="B4" s="30" t="s">
        <v>1049</v>
      </c>
      <c r="C4" s="196" t="str">
        <f t="shared" ref="C4:C12" si="0">VLOOKUP(MID(B4,2,2),$A$16:$B$20,2,0)</f>
        <v>Bình</v>
      </c>
      <c r="D4" s="29">
        <v>25</v>
      </c>
      <c r="E4" s="29">
        <v>2</v>
      </c>
      <c r="F4" s="583">
        <f t="shared" ref="F4:F12" si="1">INDEX($E$17:$G$19,MATCH(E4,$D$17:$D$19,0),MATCH(D4,$E$16:$G$16,1))</f>
        <v>3000</v>
      </c>
    </row>
    <row r="5" spans="1:11">
      <c r="A5" s="48">
        <v>3</v>
      </c>
      <c r="B5" s="30" t="s">
        <v>1048</v>
      </c>
      <c r="C5" s="196" t="str">
        <f t="shared" si="0"/>
        <v>Nghĩa</v>
      </c>
      <c r="D5" s="29">
        <v>15</v>
      </c>
      <c r="E5" s="29">
        <v>3</v>
      </c>
      <c r="F5" s="583">
        <f t="shared" si="1"/>
        <v>4000</v>
      </c>
    </row>
    <row r="6" spans="1:11">
      <c r="A6" s="48">
        <v>4</v>
      </c>
      <c r="B6" s="30" t="s">
        <v>1049</v>
      </c>
      <c r="C6" s="196" t="str">
        <f t="shared" si="0"/>
        <v>Bình</v>
      </c>
      <c r="D6" s="29">
        <v>40</v>
      </c>
      <c r="E6" s="29">
        <v>2</v>
      </c>
      <c r="F6" s="583">
        <f t="shared" si="1"/>
        <v>4000</v>
      </c>
    </row>
    <row r="7" spans="1:11">
      <c r="A7" s="48">
        <v>5</v>
      </c>
      <c r="B7" s="30" t="s">
        <v>1050</v>
      </c>
      <c r="C7" s="196" t="str">
        <f t="shared" si="0"/>
        <v>Tùng</v>
      </c>
      <c r="D7" s="29">
        <v>70</v>
      </c>
      <c r="E7" s="29">
        <v>1</v>
      </c>
      <c r="F7" s="583">
        <f t="shared" si="1"/>
        <v>5000</v>
      </c>
    </row>
    <row r="8" spans="1:11">
      <c r="A8" s="48">
        <v>6</v>
      </c>
      <c r="B8" s="30" t="s">
        <v>1051</v>
      </c>
      <c r="C8" s="196" t="str">
        <f t="shared" si="0"/>
        <v>Bảo</v>
      </c>
      <c r="D8" s="29">
        <v>55</v>
      </c>
      <c r="E8" s="29">
        <v>1</v>
      </c>
      <c r="F8" s="583">
        <f t="shared" si="1"/>
        <v>3000</v>
      </c>
    </row>
    <row r="9" spans="1:11">
      <c r="A9" s="48">
        <v>7</v>
      </c>
      <c r="B9" s="30" t="s">
        <v>1048</v>
      </c>
      <c r="C9" s="196" t="str">
        <f t="shared" si="0"/>
        <v>Nghĩa</v>
      </c>
      <c r="D9" s="29">
        <v>80</v>
      </c>
      <c r="E9" s="29">
        <v>2</v>
      </c>
      <c r="F9" s="583">
        <f t="shared" si="1"/>
        <v>7000</v>
      </c>
    </row>
    <row r="10" spans="1:11">
      <c r="A10" s="48">
        <v>8</v>
      </c>
      <c r="B10" s="30" t="s">
        <v>1051</v>
      </c>
      <c r="C10" s="196" t="str">
        <f t="shared" si="0"/>
        <v>Bảo</v>
      </c>
      <c r="D10" s="29">
        <v>47</v>
      </c>
      <c r="E10" s="29">
        <v>3</v>
      </c>
      <c r="F10" s="583">
        <f t="shared" si="1"/>
        <v>5000</v>
      </c>
    </row>
    <row r="11" spans="1:11">
      <c r="A11" s="48">
        <v>9</v>
      </c>
      <c r="B11" s="30" t="s">
        <v>1048</v>
      </c>
      <c r="C11" s="196" t="str">
        <f t="shared" si="0"/>
        <v>Nghĩa</v>
      </c>
      <c r="D11" s="29">
        <v>60</v>
      </c>
      <c r="E11" s="29">
        <v>2</v>
      </c>
      <c r="F11" s="583">
        <f t="shared" si="1"/>
        <v>7000</v>
      </c>
    </row>
    <row r="12" spans="1:11" ht="16.5" thickBot="1">
      <c r="A12" s="199">
        <v>10</v>
      </c>
      <c r="B12" s="200" t="s">
        <v>1049</v>
      </c>
      <c r="C12" s="196" t="str">
        <f t="shared" si="0"/>
        <v>Bình</v>
      </c>
      <c r="D12" s="202">
        <v>68</v>
      </c>
      <c r="E12" s="202">
        <v>2</v>
      </c>
      <c r="F12" s="583">
        <f t="shared" si="1"/>
        <v>7000</v>
      </c>
    </row>
    <row r="13" spans="1:11" ht="17.25" thickTop="1" thickBot="1">
      <c r="A13" s="1069" t="s">
        <v>2043</v>
      </c>
      <c r="B13" s="1070"/>
      <c r="C13" s="1070"/>
      <c r="D13" s="1070"/>
      <c r="E13" s="1070"/>
      <c r="F13" s="584"/>
    </row>
    <row r="14" spans="1:11" ht="16.5" thickTop="1"/>
    <row r="15" spans="1:11" ht="16.5" thickBot="1">
      <c r="A15" s="1067" t="s">
        <v>652</v>
      </c>
      <c r="B15" s="1067"/>
      <c r="D15" s="1071" t="s">
        <v>1301</v>
      </c>
      <c r="E15" s="1071"/>
      <c r="F15" s="1071"/>
      <c r="G15" s="1071"/>
    </row>
    <row r="16" spans="1:11" ht="17.25" thickTop="1" thickBot="1">
      <c r="A16" s="547" t="s">
        <v>2432</v>
      </c>
      <c r="B16" s="549" t="s">
        <v>1300</v>
      </c>
      <c r="D16" s="585" t="s">
        <v>1295</v>
      </c>
      <c r="E16" s="586">
        <v>0</v>
      </c>
      <c r="F16" s="586">
        <v>30</v>
      </c>
      <c r="G16" s="587">
        <v>60</v>
      </c>
      <c r="I16" s="920" t="s">
        <v>1052</v>
      </c>
      <c r="J16" s="920" t="s">
        <v>1053</v>
      </c>
      <c r="K16" s="920" t="s">
        <v>1054</v>
      </c>
    </row>
    <row r="17" spans="1:7" ht="16.5" thickTop="1">
      <c r="A17" s="588" t="s">
        <v>735</v>
      </c>
      <c r="B17" s="589" t="s">
        <v>1297</v>
      </c>
      <c r="D17" s="42">
        <v>1</v>
      </c>
      <c r="E17" s="69">
        <v>2000</v>
      </c>
      <c r="F17" s="69">
        <v>3000</v>
      </c>
      <c r="G17" s="370">
        <v>5000</v>
      </c>
    </row>
    <row r="18" spans="1:7">
      <c r="A18" s="590" t="s">
        <v>736</v>
      </c>
      <c r="B18" s="591" t="s">
        <v>630</v>
      </c>
      <c r="D18" s="48">
        <v>2</v>
      </c>
      <c r="E18" s="29">
        <v>3000</v>
      </c>
      <c r="F18" s="29">
        <v>4000</v>
      </c>
      <c r="G18" s="371">
        <v>7000</v>
      </c>
    </row>
    <row r="19" spans="1:7" ht="16.5" thickBot="1">
      <c r="A19" s="590" t="s">
        <v>1055</v>
      </c>
      <c r="B19" s="591" t="s">
        <v>1303</v>
      </c>
      <c r="D19" s="50">
        <v>3</v>
      </c>
      <c r="E19" s="72">
        <v>4000</v>
      </c>
      <c r="F19" s="72">
        <v>5000</v>
      </c>
      <c r="G19" s="372">
        <v>9000</v>
      </c>
    </row>
    <row r="20" spans="1:7" ht="17.25" thickTop="1" thickBot="1">
      <c r="A20" s="592" t="s">
        <v>1056</v>
      </c>
      <c r="B20" s="593" t="s">
        <v>170</v>
      </c>
    </row>
    <row r="21" spans="1:7" ht="16.5" thickTop="1"/>
    <row r="22" spans="1:7">
      <c r="A22" s="33" t="s">
        <v>1304</v>
      </c>
    </row>
    <row r="23" spans="1:7">
      <c r="A23" s="33" t="s">
        <v>1302</v>
      </c>
    </row>
    <row r="24" spans="1:7">
      <c r="A24" s="33" t="s">
        <v>1296</v>
      </c>
    </row>
  </sheetData>
  <mergeCells count="4">
    <mergeCell ref="A1:F1"/>
    <mergeCell ref="A13:E13"/>
    <mergeCell ref="D15:G15"/>
    <mergeCell ref="A15:B15"/>
  </mergeCells>
  <phoneticPr fontId="0" type="noConversion"/>
  <pageMargins left="0.75" right="0.75" top="1" bottom="1" header="0.5" footer="0.5"/>
  <pageSetup paperSize="9" orientation="portrait" r:id="rId1"/>
  <headerFooter alignWithMargins="0">
    <oddFooter>&amp;A</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L29"/>
  <sheetViews>
    <sheetView showGridLines="0" workbookViewId="0">
      <selection activeCell="E4" sqref="E4"/>
    </sheetView>
  </sheetViews>
  <sheetFormatPr defaultRowHeight="15.75"/>
  <cols>
    <col min="1" max="1" width="6.625" style="27" customWidth="1"/>
    <col min="2" max="2" width="10.125" style="27" customWidth="1"/>
    <col min="3" max="3" width="9.625" style="27" customWidth="1"/>
    <col min="4" max="4" width="11.375" style="27" customWidth="1"/>
    <col min="5" max="5" width="12" style="27" customWidth="1"/>
    <col min="6" max="6" width="9.375" style="27" customWidth="1"/>
    <col min="7" max="8" width="9" style="27" customWidth="1"/>
    <col min="9" max="9" width="9.375" style="27" customWidth="1"/>
    <col min="10" max="16384" width="9" style="27"/>
  </cols>
  <sheetData>
    <row r="1" spans="1:12" ht="30" customHeight="1" thickBot="1">
      <c r="A1" s="926" t="s">
        <v>1343</v>
      </c>
      <c r="B1" s="926"/>
      <c r="C1" s="926"/>
      <c r="D1" s="926"/>
      <c r="E1" s="926"/>
      <c r="F1" s="926"/>
      <c r="G1" s="926"/>
      <c r="H1" s="926"/>
      <c r="I1" s="926"/>
    </row>
    <row r="2" spans="1:12" ht="32.25" thickTop="1">
      <c r="A2" s="126" t="s">
        <v>1017</v>
      </c>
      <c r="B2" s="127" t="s">
        <v>1415</v>
      </c>
      <c r="C2" s="127" t="s">
        <v>1306</v>
      </c>
      <c r="D2" s="127" t="s">
        <v>1310</v>
      </c>
      <c r="E2" s="127" t="s">
        <v>1345</v>
      </c>
      <c r="F2" s="127" t="s">
        <v>1352</v>
      </c>
      <c r="G2" s="127" t="s">
        <v>1309</v>
      </c>
      <c r="H2" s="127" t="s">
        <v>1353</v>
      </c>
      <c r="I2" s="594" t="s">
        <v>254</v>
      </c>
    </row>
    <row r="3" spans="1:12" ht="16.5" thickBot="1">
      <c r="A3" s="543">
        <v>-1</v>
      </c>
      <c r="B3" s="544">
        <v>-2</v>
      </c>
      <c r="C3" s="544">
        <v>-3</v>
      </c>
      <c r="D3" s="544">
        <v>-4</v>
      </c>
      <c r="E3" s="544">
        <v>-5</v>
      </c>
      <c r="F3" s="544">
        <v>-6</v>
      </c>
      <c r="G3" s="544">
        <v>-7</v>
      </c>
      <c r="H3" s="544">
        <v>-8</v>
      </c>
      <c r="I3" s="545">
        <v>-9</v>
      </c>
    </row>
    <row r="4" spans="1:12" ht="16.5" thickTop="1">
      <c r="A4" s="42">
        <v>2</v>
      </c>
      <c r="B4" s="43" t="s">
        <v>852</v>
      </c>
      <c r="C4" s="196" t="str">
        <f>VLOOKUP(LEFT(B4,3),$A$13:$B$16,2,0)</f>
        <v>Vũng Tàu</v>
      </c>
      <c r="D4" s="265">
        <v>35797</v>
      </c>
      <c r="E4" s="265">
        <v>35799</v>
      </c>
      <c r="F4" s="595">
        <f>VLOOKUP(LEFT(B4,3),$A$13:$F$16,6,0)*(E4-D4)</f>
        <v>120000</v>
      </c>
      <c r="G4" s="595" t="str">
        <f>IF(RIGHT(B4,1)="A",$C$12,IF(RIGHT(B4,1)="B",$D$12,$E$12))</f>
        <v>Xe</v>
      </c>
      <c r="H4" s="595">
        <f>VLOOKUP(LEFT($B$4,3),$A$13:$F$16,IF(RIGHT($B$4,1)="A",3,IF(RIGHT($B$4,1)="B",4,5)),0)</f>
        <v>15000</v>
      </c>
      <c r="I4" s="596">
        <f>SUM(F4,H4)</f>
        <v>135000</v>
      </c>
    </row>
    <row r="5" spans="1:12">
      <c r="A5" s="42">
        <v>1</v>
      </c>
      <c r="B5" s="43" t="s">
        <v>854</v>
      </c>
      <c r="C5" s="196" t="str">
        <f>VLOOKUP(LEFT(B5,3),$A$13:$B$16,2,0)</f>
        <v>Huế</v>
      </c>
      <c r="D5" s="265">
        <v>35798</v>
      </c>
      <c r="E5" s="265">
        <v>35806</v>
      </c>
      <c r="F5" s="595">
        <f>VLOOKUP(LEFT(B5,3),$A$13:$F$16,6,0)*(E5-D5)</f>
        <v>400000</v>
      </c>
      <c r="G5" s="595" t="str">
        <f>IF(RIGHT(B5,1)="A",$C$12,IF(RIGHT(B5,1)="B",$D$12,$E$12))</f>
        <v>Máy bay</v>
      </c>
      <c r="H5" s="595">
        <f>VLOOKUP(LEFT($B$4,3),$A$13:$F$16,IF(RIGHT($B$4,1)="A",3,IF(RIGHT($B$4,1)="B",4,5)),0)</f>
        <v>15000</v>
      </c>
      <c r="I5" s="596">
        <f>SUM(F5,H5)</f>
        <v>415000</v>
      </c>
    </row>
    <row r="6" spans="1:12">
      <c r="A6" s="48">
        <v>4</v>
      </c>
      <c r="B6" s="30" t="s">
        <v>853</v>
      </c>
      <c r="C6" s="196" t="str">
        <f>VLOOKUP(LEFT(B6,3),$A$13:$B$16,2,0)</f>
        <v>Đà Lạt</v>
      </c>
      <c r="D6" s="53">
        <v>35798</v>
      </c>
      <c r="E6" s="53">
        <v>35802</v>
      </c>
      <c r="F6" s="595">
        <f>VLOOKUP(LEFT(B6,3),$A$13:$F$16,6,0)*(E6-D6)</f>
        <v>320000</v>
      </c>
      <c r="G6" s="595" t="str">
        <f>IF(RIGHT(B6,1)="A",$C$12,IF(RIGHT(B6,1)="B",$D$12,$E$12))</f>
        <v>Xe</v>
      </c>
      <c r="H6" s="595">
        <f>VLOOKUP(LEFT($B$4,3),$A$13:$F$16,IF(RIGHT($B$4,1)="A",3,IF(RIGHT($B$4,1)="B",4,5)),0)</f>
        <v>15000</v>
      </c>
      <c r="I6" s="596">
        <f>SUM(F6,H6)</f>
        <v>335000</v>
      </c>
    </row>
    <row r="7" spans="1:12">
      <c r="A7" s="48">
        <v>3</v>
      </c>
      <c r="B7" s="30" t="s">
        <v>855</v>
      </c>
      <c r="C7" s="196" t="str">
        <f>VLOOKUP(LEFT(B7,3),$A$13:$B$16,2,0)</f>
        <v>Nha Trang</v>
      </c>
      <c r="D7" s="53">
        <v>35800</v>
      </c>
      <c r="E7" s="53">
        <v>35804</v>
      </c>
      <c r="F7" s="595">
        <f>VLOOKUP(LEFT(B7,3),$A$13:$F$16,6,0)*(E7-D7)</f>
        <v>280000</v>
      </c>
      <c r="G7" s="595" t="str">
        <f>IF(RIGHT(B7,1)="A",$C$12,IF(RIGHT(B7,1)="B",$D$12,$E$12))</f>
        <v>Tàu</v>
      </c>
      <c r="H7" s="595">
        <f>VLOOKUP(LEFT($B$4,3),$A$13:$F$16,IF(RIGHT($B$4,1)="A",3,IF(RIGHT($B$4,1)="B",4,5)),0)</f>
        <v>15000</v>
      </c>
      <c r="I7" s="596">
        <f>SUM(F7,H7)</f>
        <v>295000</v>
      </c>
    </row>
    <row r="8" spans="1:12" ht="16.5" thickBot="1">
      <c r="A8" s="50">
        <v>5</v>
      </c>
      <c r="B8" s="51" t="s">
        <v>856</v>
      </c>
      <c r="C8" s="196" t="str">
        <f>VLOOKUP(LEFT(B8,3),$A$13:$B$16,2,0)</f>
        <v>Huế</v>
      </c>
      <c r="D8" s="271">
        <v>35805</v>
      </c>
      <c r="E8" s="271">
        <v>35813</v>
      </c>
      <c r="F8" s="595">
        <f>VLOOKUP(LEFT(B8,3),$A$13:$F$16,6,0)*(E8-D8)</f>
        <v>400000</v>
      </c>
      <c r="G8" s="595" t="str">
        <f>IF(RIGHT(B8,1)="A",$C$12,IF(RIGHT(B8,1)="B",$D$12,$E$12))</f>
        <v>Xe</v>
      </c>
      <c r="H8" s="595">
        <f>VLOOKUP(LEFT($B$4,3),$A$13:$F$16,IF(RIGHT($B$4,1)="A",3,IF(RIGHT($B$4,1)="B",4,5)),0)</f>
        <v>15000</v>
      </c>
      <c r="I8" s="596">
        <f>SUM(F8,H8)</f>
        <v>415000</v>
      </c>
    </row>
    <row r="9" spans="1:12" ht="16.5" thickTop="1"/>
    <row r="10" spans="1:12" ht="16.5" thickBot="1">
      <c r="A10" s="1067" t="s">
        <v>1513</v>
      </c>
      <c r="B10" s="1067"/>
      <c r="C10" s="1067"/>
      <c r="D10" s="1067"/>
      <c r="E10" s="1067"/>
      <c r="F10" s="1067"/>
    </row>
    <row r="11" spans="1:12" ht="16.5" thickTop="1">
      <c r="A11" s="1063" t="s">
        <v>1346</v>
      </c>
      <c r="B11" s="1052" t="s">
        <v>1307</v>
      </c>
      <c r="C11" s="1052" t="s">
        <v>1354</v>
      </c>
      <c r="D11" s="1052"/>
      <c r="E11" s="1052"/>
      <c r="F11" s="1072" t="s">
        <v>1355</v>
      </c>
    </row>
    <row r="12" spans="1:12" ht="16.5" thickBot="1">
      <c r="A12" s="1064"/>
      <c r="B12" s="1065"/>
      <c r="C12" s="153" t="s">
        <v>1344</v>
      </c>
      <c r="D12" s="153" t="s">
        <v>1311</v>
      </c>
      <c r="E12" s="153" t="s">
        <v>1015</v>
      </c>
      <c r="F12" s="1073"/>
    </row>
    <row r="13" spans="1:12" ht="16.5" thickTop="1">
      <c r="A13" s="68" t="s">
        <v>857</v>
      </c>
      <c r="B13" s="43" t="s">
        <v>203</v>
      </c>
      <c r="C13" s="44">
        <v>500000</v>
      </c>
      <c r="D13" s="44">
        <v>300000</v>
      </c>
      <c r="E13" s="44">
        <v>120000</v>
      </c>
      <c r="F13" s="597">
        <v>50000</v>
      </c>
      <c r="L13" s="595"/>
    </row>
    <row r="14" spans="1:12">
      <c r="A14" s="70" t="s">
        <v>858</v>
      </c>
      <c r="B14" s="30" t="s">
        <v>1128</v>
      </c>
      <c r="C14" s="49">
        <v>200000</v>
      </c>
      <c r="D14" s="49">
        <v>100000</v>
      </c>
      <c r="E14" s="49">
        <v>50000</v>
      </c>
      <c r="F14" s="598">
        <v>70000</v>
      </c>
    </row>
    <row r="15" spans="1:12">
      <c r="A15" s="70" t="s">
        <v>859</v>
      </c>
      <c r="B15" s="30" t="s">
        <v>205</v>
      </c>
      <c r="C15" s="49">
        <v>180000</v>
      </c>
      <c r="D15" s="49"/>
      <c r="E15" s="49">
        <v>30000</v>
      </c>
      <c r="F15" s="598">
        <v>80000</v>
      </c>
    </row>
    <row r="16" spans="1:12" ht="16.5" thickBot="1">
      <c r="A16" s="71" t="s">
        <v>860</v>
      </c>
      <c r="B16" s="51" t="s">
        <v>208</v>
      </c>
      <c r="C16" s="52"/>
      <c r="D16" s="52"/>
      <c r="E16" s="52">
        <v>15000</v>
      </c>
      <c r="F16" s="599">
        <v>60000</v>
      </c>
    </row>
    <row r="17" spans="1:1" ht="16.5" thickTop="1"/>
    <row r="18" spans="1:1">
      <c r="A18" s="33" t="s">
        <v>1312</v>
      </c>
    </row>
    <row r="19" spans="1:1">
      <c r="A19" s="33" t="s">
        <v>1347</v>
      </c>
    </row>
    <row r="20" spans="1:1">
      <c r="A20" s="33" t="s">
        <v>1308</v>
      </c>
    </row>
    <row r="21" spans="1:1">
      <c r="A21" s="33" t="s">
        <v>1348</v>
      </c>
    </row>
    <row r="22" spans="1:1">
      <c r="A22" s="33" t="s">
        <v>1349</v>
      </c>
    </row>
    <row r="23" spans="1:1">
      <c r="A23" s="33" t="s">
        <v>1356</v>
      </c>
    </row>
    <row r="24" spans="1:1">
      <c r="A24" s="33" t="s">
        <v>1357</v>
      </c>
    </row>
    <row r="25" spans="1:1">
      <c r="A25" s="33" t="s">
        <v>1350</v>
      </c>
    </row>
    <row r="26" spans="1:1">
      <c r="A26" s="33" t="s">
        <v>1358</v>
      </c>
    </row>
    <row r="27" spans="1:1">
      <c r="A27" s="33" t="s">
        <v>1359</v>
      </c>
    </row>
    <row r="28" spans="1:1">
      <c r="A28" s="33" t="s">
        <v>1360</v>
      </c>
    </row>
    <row r="29" spans="1:1">
      <c r="A29" s="33" t="s">
        <v>1351</v>
      </c>
    </row>
  </sheetData>
  <sortState ref="A3:I8">
    <sortCondition ref="D3:D8"/>
  </sortState>
  <mergeCells count="6">
    <mergeCell ref="A1:I1"/>
    <mergeCell ref="A10:F10"/>
    <mergeCell ref="A11:A12"/>
    <mergeCell ref="B11:B12"/>
    <mergeCell ref="C11:E11"/>
    <mergeCell ref="F11:F12"/>
  </mergeCells>
  <phoneticPr fontId="0" type="noConversion"/>
  <pageMargins left="0.75" right="0.75" top="1" bottom="1" header="0.5" footer="0.5"/>
  <pageSetup paperSize="9" orientation="portrait" r:id="rId1"/>
  <headerFooter alignWithMargins="0">
    <oddFooter>&amp;A</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election activeCell="G13" sqref="G13"/>
    </sheetView>
  </sheetViews>
  <sheetFormatPr defaultRowHeight="15.75"/>
  <cols>
    <col min="1" max="1" width="9" style="12" customWidth="1"/>
    <col min="2" max="2" width="12.375" style="12" customWidth="1"/>
    <col min="3" max="3" width="9" style="12" customWidth="1"/>
    <col min="4" max="4" width="12.25" style="12" customWidth="1"/>
    <col min="5" max="5" width="9" style="12" customWidth="1"/>
    <col min="6" max="6" width="10.25" style="12" customWidth="1"/>
    <col min="7" max="16384" width="9" style="12"/>
  </cols>
  <sheetData>
    <row r="1" spans="1:6" ht="24" customHeight="1" thickBot="1">
      <c r="A1" s="926" t="s">
        <v>1364</v>
      </c>
      <c r="B1" s="926"/>
      <c r="C1" s="926"/>
      <c r="D1" s="926"/>
      <c r="E1" s="926"/>
      <c r="F1" s="926"/>
    </row>
    <row r="2" spans="1:6" ht="17.25" thickTop="1" thickBot="1">
      <c r="A2" s="14" t="s">
        <v>1017</v>
      </c>
      <c r="B2" s="15" t="s">
        <v>1368</v>
      </c>
      <c r="C2" s="15" t="s">
        <v>1369</v>
      </c>
      <c r="D2" s="15" t="s">
        <v>1372</v>
      </c>
      <c r="E2" s="15" t="s">
        <v>1366</v>
      </c>
      <c r="F2" s="16" t="s">
        <v>151</v>
      </c>
    </row>
    <row r="3" spans="1:6" ht="16.5" thickTop="1">
      <c r="A3" s="17">
        <v>1</v>
      </c>
      <c r="B3" s="18" t="s">
        <v>1362</v>
      </c>
      <c r="C3" s="19" t="s">
        <v>1013</v>
      </c>
      <c r="D3" s="77" t="str">
        <f>VLOOKUP(C3,$A$12:$C$14,2,0)</f>
        <v>Vina Taxi</v>
      </c>
      <c r="E3" s="18">
        <v>5.5</v>
      </c>
      <c r="F3" s="77">
        <f>E3*VLOOKUP(C3,$A$11:$C$14,3,0)</f>
        <v>35750</v>
      </c>
    </row>
    <row r="4" spans="1:6">
      <c r="A4" s="23">
        <v>2</v>
      </c>
      <c r="B4" s="24" t="s">
        <v>1363</v>
      </c>
      <c r="C4" s="25" t="s">
        <v>457</v>
      </c>
      <c r="D4" s="77" t="str">
        <f t="shared" ref="D4:D8" si="0">VLOOKUP(C4,$A$12:$C$14,2,0)</f>
        <v>Airport Taxi</v>
      </c>
      <c r="E4" s="24">
        <v>20</v>
      </c>
      <c r="F4" s="77">
        <f t="shared" ref="F4:F8" si="1">E4*VLOOKUP(C4,$A$11:$C$14,3,0)</f>
        <v>120000</v>
      </c>
    </row>
    <row r="5" spans="1:6">
      <c r="A5" s="23">
        <v>3</v>
      </c>
      <c r="B5" s="24" t="s">
        <v>2042</v>
      </c>
      <c r="C5" s="25" t="s">
        <v>1013</v>
      </c>
      <c r="D5" s="77" t="str">
        <f t="shared" si="0"/>
        <v>Vina Taxi</v>
      </c>
      <c r="E5" s="24">
        <v>1</v>
      </c>
      <c r="F5" s="77">
        <f t="shared" si="1"/>
        <v>6500</v>
      </c>
    </row>
    <row r="6" spans="1:6">
      <c r="A6" s="23">
        <v>4</v>
      </c>
      <c r="B6" s="24" t="s">
        <v>1373</v>
      </c>
      <c r="C6" s="25" t="s">
        <v>458</v>
      </c>
      <c r="D6" s="77" t="str">
        <f t="shared" si="0"/>
        <v>Mai Linh Taxi</v>
      </c>
      <c r="E6" s="24">
        <v>3.25</v>
      </c>
      <c r="F6" s="77">
        <f t="shared" si="1"/>
        <v>17875</v>
      </c>
    </row>
    <row r="7" spans="1:6">
      <c r="A7" s="23">
        <v>5</v>
      </c>
      <c r="B7" s="24" t="s">
        <v>1375</v>
      </c>
      <c r="C7" s="25" t="s">
        <v>457</v>
      </c>
      <c r="D7" s="77" t="str">
        <f t="shared" si="0"/>
        <v>Airport Taxi</v>
      </c>
      <c r="E7" s="24">
        <v>2</v>
      </c>
      <c r="F7" s="77">
        <f t="shared" si="1"/>
        <v>12000</v>
      </c>
    </row>
    <row r="8" spans="1:6" ht="16.5" thickBot="1">
      <c r="A8" s="79">
        <v>6</v>
      </c>
      <c r="B8" s="80" t="s">
        <v>1367</v>
      </c>
      <c r="C8" s="153" t="s">
        <v>1013</v>
      </c>
      <c r="D8" s="77" t="str">
        <f t="shared" si="0"/>
        <v>Vina Taxi</v>
      </c>
      <c r="E8" s="80">
        <v>3.2</v>
      </c>
      <c r="F8" s="77">
        <f t="shared" si="1"/>
        <v>20800</v>
      </c>
    </row>
    <row r="9" spans="1:6" ht="16.5" thickTop="1"/>
    <row r="10" spans="1:6" ht="16.5" thickBot="1">
      <c r="A10" s="1004" t="s">
        <v>1361</v>
      </c>
      <c r="B10" s="1004"/>
      <c r="C10" s="1004"/>
    </row>
    <row r="11" spans="1:6" ht="17.25" thickTop="1" thickBot="1">
      <c r="A11" s="14" t="s">
        <v>1369</v>
      </c>
      <c r="B11" s="15" t="s">
        <v>1372</v>
      </c>
      <c r="C11" s="16" t="s">
        <v>687</v>
      </c>
    </row>
    <row r="12" spans="1:6" ht="16.5" thickTop="1">
      <c r="A12" s="17" t="s">
        <v>1013</v>
      </c>
      <c r="B12" s="18" t="s">
        <v>459</v>
      </c>
      <c r="C12" s="459">
        <v>6500</v>
      </c>
    </row>
    <row r="13" spans="1:6">
      <c r="A13" s="23" t="s">
        <v>457</v>
      </c>
      <c r="B13" s="24" t="s">
        <v>460</v>
      </c>
      <c r="C13" s="460">
        <v>6000</v>
      </c>
    </row>
    <row r="14" spans="1:6" ht="16.5" thickBot="1">
      <c r="A14" s="79" t="s">
        <v>458</v>
      </c>
      <c r="B14" s="80" t="s">
        <v>461</v>
      </c>
      <c r="C14" s="233">
        <v>5500</v>
      </c>
    </row>
    <row r="15" spans="1:6" ht="16.5" thickTop="1"/>
    <row r="16" spans="1:6" ht="16.5" thickBot="1">
      <c r="A16" s="1004" t="s">
        <v>1554</v>
      </c>
      <c r="B16" s="1004"/>
      <c r="C16" s="1004"/>
    </row>
    <row r="17" spans="1:7" ht="17.25" thickTop="1" thickBot="1">
      <c r="A17" s="14" t="s">
        <v>1369</v>
      </c>
      <c r="B17" s="15" t="s">
        <v>1372</v>
      </c>
      <c r="C17" s="16" t="s">
        <v>1365</v>
      </c>
    </row>
    <row r="18" spans="1:7" ht="16.5" thickTop="1">
      <c r="A18" s="17" t="s">
        <v>1013</v>
      </c>
      <c r="B18" s="18" t="str">
        <f>VLOOKUP(A18,$A$12:$C$14,2,0)</f>
        <v>Vina Taxi</v>
      </c>
      <c r="C18" s="78">
        <f>SUMIF($D$3:$D$8,$B$18,$F$3:$F$8)</f>
        <v>63050</v>
      </c>
    </row>
    <row r="19" spans="1:7">
      <c r="A19" s="23" t="s">
        <v>457</v>
      </c>
      <c r="B19" s="24" t="str">
        <f>VLOOKUP(A19,$A$12:$C$14,2,0)</f>
        <v>Airport Taxi</v>
      </c>
      <c r="C19" s="212">
        <f>SUMIF($D$3:$D$8,$B$19,$F$3:$F$8)</f>
        <v>132000</v>
      </c>
      <c r="E19" s="354" t="s">
        <v>661</v>
      </c>
      <c r="F19" s="354" t="s">
        <v>661</v>
      </c>
      <c r="G19" s="354" t="s">
        <v>661</v>
      </c>
    </row>
    <row r="20" spans="1:7" ht="16.5" thickBot="1">
      <c r="A20" s="79" t="s">
        <v>458</v>
      </c>
      <c r="B20" s="80" t="str">
        <f>VLOOKUP(A20,$A$12:$C$14,2,0)</f>
        <v>Mai Linh Taxi</v>
      </c>
      <c r="C20" s="248">
        <f>SUMIF($D$3:$D$8,$B$20,$F$3:$F$8)</f>
        <v>17875</v>
      </c>
      <c r="E20" s="448" t="b">
        <f>(C3="VT")</f>
        <v>1</v>
      </c>
      <c r="F20" s="448" t="b">
        <f>(C3="ET")</f>
        <v>0</v>
      </c>
      <c r="G20" s="448" t="b">
        <f>(C3="MT")</f>
        <v>0</v>
      </c>
    </row>
    <row r="21" spans="1:7" ht="16.5" thickTop="1"/>
    <row r="22" spans="1:7">
      <c r="A22" s="26" t="s">
        <v>1374</v>
      </c>
    </row>
    <row r="23" spans="1:7">
      <c r="A23" s="26" t="s">
        <v>1371</v>
      </c>
    </row>
    <row r="24" spans="1:7">
      <c r="A24" s="26" t="s">
        <v>1377</v>
      </c>
    </row>
    <row r="25" spans="1:7">
      <c r="A25" s="26" t="s">
        <v>1376</v>
      </c>
    </row>
    <row r="26" spans="1:7">
      <c r="A26" s="26" t="s">
        <v>1567</v>
      </c>
    </row>
    <row r="27" spans="1:7">
      <c r="A27" s="26" t="s">
        <v>1370</v>
      </c>
    </row>
  </sheetData>
  <mergeCells count="3">
    <mergeCell ref="A1:F1"/>
    <mergeCell ref="A10:C10"/>
    <mergeCell ref="A16:C16"/>
  </mergeCells>
  <phoneticPr fontId="0" type="noConversion"/>
  <pageMargins left="0.75" right="0.75" top="1" bottom="1" header="0.5" footer="0.5"/>
  <pageSetup paperSize="9" orientation="portrait" r:id="rId1"/>
  <headerFooter alignWithMargins="0">
    <oddFooter>&amp;A</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topLeftCell="A7" workbookViewId="0">
      <selection activeCell="H23" sqref="H23"/>
    </sheetView>
  </sheetViews>
  <sheetFormatPr defaultRowHeight="15.75"/>
  <cols>
    <col min="1" max="1" width="7.375" style="12" customWidth="1"/>
    <col min="2" max="2" width="9" style="12" customWidth="1"/>
    <col min="3" max="3" width="10.75" style="12" customWidth="1"/>
    <col min="4" max="5" width="9" style="12" customWidth="1"/>
    <col min="6" max="6" width="10.375" style="12" customWidth="1"/>
    <col min="7" max="7" width="13.875" style="12" customWidth="1"/>
    <col min="8" max="16384" width="9" style="12"/>
  </cols>
  <sheetData>
    <row r="1" spans="1:8" ht="24" customHeight="1" thickBot="1">
      <c r="A1" s="931" t="s">
        <v>1385</v>
      </c>
      <c r="B1" s="931"/>
      <c r="C1" s="931"/>
      <c r="D1" s="931"/>
      <c r="E1" s="931"/>
      <c r="F1" s="931"/>
      <c r="G1" s="931"/>
      <c r="H1" s="13"/>
    </row>
    <row r="2" spans="1:8" ht="17.25" thickTop="1" thickBot="1">
      <c r="A2" s="14" t="s">
        <v>1017</v>
      </c>
      <c r="B2" s="15" t="s">
        <v>660</v>
      </c>
      <c r="C2" s="15" t="s">
        <v>663</v>
      </c>
      <c r="D2" s="15" t="s">
        <v>687</v>
      </c>
      <c r="E2" s="15" t="s">
        <v>681</v>
      </c>
      <c r="F2" s="15" t="s">
        <v>1089</v>
      </c>
      <c r="G2" s="16" t="s">
        <v>1379</v>
      </c>
    </row>
    <row r="3" spans="1:8" ht="16.5" thickTop="1">
      <c r="A3" s="17">
        <v>1</v>
      </c>
      <c r="B3" s="19" t="s">
        <v>1070</v>
      </c>
      <c r="C3" s="219" t="str">
        <f>VLOOKUP(LEFT(B3,1),$A$15:$C$20,2,0)</f>
        <v>Gạo</v>
      </c>
      <c r="D3" s="219">
        <f>IF(E3&gt;100,VLOOKUP(LEFT(B3,1),$A$15:$C$20,3,0)-10%*VLOOKUP(LEFT(B3,1),$A$15:$C$20,3,0),VLOOKUP(LEFT(B3,1),$A$15:$C$20,3,0))</f>
        <v>5000</v>
      </c>
      <c r="E3" s="115">
        <v>20</v>
      </c>
      <c r="F3" s="20">
        <f>E3*D3</f>
        <v>100000</v>
      </c>
      <c r="G3" s="20">
        <f>HLOOKUP(LEFT(B3,1),$A$23:$F$24,2,0)*F3</f>
        <v>5000</v>
      </c>
    </row>
    <row r="4" spans="1:8">
      <c r="A4" s="23">
        <v>2</v>
      </c>
      <c r="B4" s="25" t="s">
        <v>519</v>
      </c>
      <c r="C4" s="219" t="str">
        <f t="shared" ref="C4:C12" si="0">VLOOKUP(LEFT(B4,1),$A$15:$C$20,2,0)</f>
        <v>Bánh</v>
      </c>
      <c r="D4" s="219">
        <f t="shared" ref="D4:D12" si="1">IF(E4&gt;100,VLOOKUP(LEFT(B4,1),$A$15:$C$20,3,0)-10%*VLOOKUP(LEFT(B4,1),$A$15:$C$20,3,0),VLOOKUP(LEFT(B4,1),$A$15:$C$20,3,0))</f>
        <v>15000</v>
      </c>
      <c r="E4" s="119">
        <v>30</v>
      </c>
      <c r="F4" s="20">
        <f t="shared" ref="F4:F12" si="2">E4*D4</f>
        <v>450000</v>
      </c>
      <c r="G4" s="20">
        <f t="shared" ref="G4:G12" si="3">HLOOKUP(LEFT(B4,1),$A$23:$F$24,2,0)*F4</f>
        <v>31500.000000000004</v>
      </c>
    </row>
    <row r="5" spans="1:8">
      <c r="A5" s="23">
        <v>3</v>
      </c>
      <c r="B5" s="25" t="s">
        <v>715</v>
      </c>
      <c r="C5" s="219" t="str">
        <f t="shared" si="0"/>
        <v>Đường</v>
      </c>
      <c r="D5" s="219">
        <f t="shared" si="1"/>
        <v>10000</v>
      </c>
      <c r="E5" s="119">
        <v>11</v>
      </c>
      <c r="F5" s="20">
        <f t="shared" si="2"/>
        <v>110000</v>
      </c>
      <c r="G5" s="20">
        <f t="shared" si="3"/>
        <v>11000</v>
      </c>
    </row>
    <row r="6" spans="1:8">
      <c r="A6" s="23">
        <v>4</v>
      </c>
      <c r="B6" s="25" t="s">
        <v>716</v>
      </c>
      <c r="C6" s="219" t="str">
        <f t="shared" si="0"/>
        <v>Muối</v>
      </c>
      <c r="D6" s="219">
        <f t="shared" si="1"/>
        <v>2700</v>
      </c>
      <c r="E6" s="119">
        <v>200</v>
      </c>
      <c r="F6" s="20">
        <f t="shared" si="2"/>
        <v>540000</v>
      </c>
      <c r="G6" s="20">
        <f t="shared" si="3"/>
        <v>21600</v>
      </c>
    </row>
    <row r="7" spans="1:8">
      <c r="A7" s="23">
        <v>5</v>
      </c>
      <c r="B7" s="25" t="s">
        <v>717</v>
      </c>
      <c r="C7" s="219" t="str">
        <f t="shared" si="0"/>
        <v>Sữa</v>
      </c>
      <c r="D7" s="219">
        <f t="shared" si="1"/>
        <v>7000</v>
      </c>
      <c r="E7" s="119">
        <v>50</v>
      </c>
      <c r="F7" s="20">
        <f t="shared" si="2"/>
        <v>350000</v>
      </c>
      <c r="G7" s="20">
        <f t="shared" si="3"/>
        <v>17500</v>
      </c>
    </row>
    <row r="8" spans="1:8">
      <c r="A8" s="23">
        <v>6</v>
      </c>
      <c r="B8" s="25" t="s">
        <v>1132</v>
      </c>
      <c r="C8" s="219" t="str">
        <f t="shared" si="0"/>
        <v>Bánh</v>
      </c>
      <c r="D8" s="219">
        <f t="shared" si="1"/>
        <v>13500</v>
      </c>
      <c r="E8" s="119">
        <v>200</v>
      </c>
      <c r="F8" s="20">
        <f t="shared" si="2"/>
        <v>2700000</v>
      </c>
      <c r="G8" s="20">
        <f t="shared" si="3"/>
        <v>189000.00000000003</v>
      </c>
    </row>
    <row r="9" spans="1:8">
      <c r="A9" s="23">
        <v>7</v>
      </c>
      <c r="B9" s="25" t="s">
        <v>718</v>
      </c>
      <c r="C9" s="219" t="str">
        <f t="shared" si="0"/>
        <v>Gạo</v>
      </c>
      <c r="D9" s="219">
        <f t="shared" si="1"/>
        <v>4500</v>
      </c>
      <c r="E9" s="119">
        <v>150</v>
      </c>
      <c r="F9" s="20">
        <f t="shared" si="2"/>
        <v>675000</v>
      </c>
      <c r="G9" s="20">
        <f t="shared" si="3"/>
        <v>33750</v>
      </c>
    </row>
    <row r="10" spans="1:8">
      <c r="A10" s="23">
        <v>8</v>
      </c>
      <c r="B10" s="25" t="s">
        <v>719</v>
      </c>
      <c r="C10" s="219" t="str">
        <f t="shared" si="0"/>
        <v>Đường</v>
      </c>
      <c r="D10" s="219">
        <f t="shared" si="1"/>
        <v>10000</v>
      </c>
      <c r="E10" s="119">
        <v>90</v>
      </c>
      <c r="F10" s="20">
        <f t="shared" si="2"/>
        <v>900000</v>
      </c>
      <c r="G10" s="20">
        <f t="shared" si="3"/>
        <v>90000</v>
      </c>
    </row>
    <row r="11" spans="1:8">
      <c r="A11" s="23">
        <v>9</v>
      </c>
      <c r="B11" s="25" t="s">
        <v>720</v>
      </c>
      <c r="C11" s="219" t="str">
        <f t="shared" si="0"/>
        <v>Đường</v>
      </c>
      <c r="D11" s="219">
        <f t="shared" si="1"/>
        <v>9000</v>
      </c>
      <c r="E11" s="119">
        <v>120</v>
      </c>
      <c r="F11" s="20">
        <f t="shared" si="2"/>
        <v>1080000</v>
      </c>
      <c r="G11" s="20">
        <f t="shared" si="3"/>
        <v>108000</v>
      </c>
    </row>
    <row r="12" spans="1:8" ht="16.5" thickBot="1">
      <c r="A12" s="79">
        <v>10</v>
      </c>
      <c r="B12" s="153" t="s">
        <v>717</v>
      </c>
      <c r="C12" s="219" t="str">
        <f t="shared" si="0"/>
        <v>Sữa</v>
      </c>
      <c r="D12" s="219">
        <f t="shared" si="1"/>
        <v>6300</v>
      </c>
      <c r="E12" s="167">
        <v>300</v>
      </c>
      <c r="F12" s="20">
        <f t="shared" si="2"/>
        <v>1890000</v>
      </c>
      <c r="G12" s="20">
        <f t="shared" si="3"/>
        <v>94500</v>
      </c>
    </row>
    <row r="13" spans="1:8" ht="16.5" thickTop="1"/>
    <row r="14" spans="1:8" ht="16.5" thickBot="1">
      <c r="A14" s="1074" t="s">
        <v>1513</v>
      </c>
      <c r="B14" s="1074"/>
      <c r="C14" s="1074"/>
    </row>
    <row r="15" spans="1:8" ht="17.25" thickTop="1" thickBot="1">
      <c r="A15" s="600" t="s">
        <v>661</v>
      </c>
      <c r="B15" s="601" t="s">
        <v>663</v>
      </c>
      <c r="C15" s="602" t="s">
        <v>687</v>
      </c>
    </row>
    <row r="16" spans="1:8" ht="16.5" thickTop="1">
      <c r="A16" s="17" t="s">
        <v>1105</v>
      </c>
      <c r="B16" s="19" t="s">
        <v>2404</v>
      </c>
      <c r="C16" s="459">
        <v>7000</v>
      </c>
    </row>
    <row r="17" spans="1:8">
      <c r="A17" s="23" t="s">
        <v>711</v>
      </c>
      <c r="B17" s="25" t="s">
        <v>1378</v>
      </c>
      <c r="C17" s="460">
        <v>3000</v>
      </c>
    </row>
    <row r="18" spans="1:8">
      <c r="A18" s="23" t="s">
        <v>1023</v>
      </c>
      <c r="B18" s="25" t="s">
        <v>2393</v>
      </c>
      <c r="C18" s="460">
        <v>15000</v>
      </c>
    </row>
    <row r="19" spans="1:8">
      <c r="A19" s="23" t="s">
        <v>1025</v>
      </c>
      <c r="B19" s="25" t="s">
        <v>2406</v>
      </c>
      <c r="C19" s="460">
        <v>10000</v>
      </c>
    </row>
    <row r="20" spans="1:8" ht="16.5" thickBot="1">
      <c r="A20" s="79" t="s">
        <v>1102</v>
      </c>
      <c r="B20" s="153" t="s">
        <v>422</v>
      </c>
      <c r="C20" s="233">
        <v>5000</v>
      </c>
    </row>
    <row r="21" spans="1:8" ht="16.5" thickTop="1"/>
    <row r="22" spans="1:8" ht="16.5" thickBot="1">
      <c r="A22" s="1074" t="s">
        <v>1380</v>
      </c>
      <c r="B22" s="1074"/>
      <c r="C22" s="1074"/>
      <c r="D22" s="1074"/>
      <c r="E22" s="1074"/>
      <c r="F22" s="1074"/>
    </row>
    <row r="23" spans="1:8" ht="17.25" thickTop="1" thickBot="1">
      <c r="A23" s="600" t="s">
        <v>385</v>
      </c>
      <c r="B23" s="601" t="s">
        <v>1023</v>
      </c>
      <c r="C23" s="601" t="s">
        <v>1025</v>
      </c>
      <c r="D23" s="601" t="s">
        <v>1102</v>
      </c>
      <c r="E23" s="601" t="s">
        <v>711</v>
      </c>
      <c r="F23" s="602" t="s">
        <v>1105</v>
      </c>
      <c r="H23" s="12">
        <f>INDEX($B$24:$F$24,1,MATCH(LEFT(B3,1),$B$23:$F$23,0))</f>
        <v>0.05</v>
      </c>
    </row>
    <row r="24" spans="1:8" ht="17.25" thickTop="1" thickBot="1">
      <c r="A24" s="352" t="s">
        <v>1381</v>
      </c>
      <c r="B24" s="603">
        <v>7.0000000000000007E-2</v>
      </c>
      <c r="C24" s="603">
        <v>0.1</v>
      </c>
      <c r="D24" s="603">
        <v>0.05</v>
      </c>
      <c r="E24" s="603">
        <v>0.04</v>
      </c>
      <c r="F24" s="604">
        <v>0.05</v>
      </c>
    </row>
    <row r="25" spans="1:8" ht="16.5" thickTop="1"/>
    <row r="26" spans="1:8">
      <c r="A26" s="26" t="s">
        <v>1386</v>
      </c>
    </row>
    <row r="27" spans="1:8">
      <c r="A27" s="26" t="s">
        <v>1387</v>
      </c>
    </row>
    <row r="28" spans="1:8">
      <c r="A28" s="26" t="s">
        <v>1383</v>
      </c>
    </row>
    <row r="29" spans="1:8">
      <c r="A29" s="26" t="s">
        <v>1384</v>
      </c>
    </row>
    <row r="30" spans="1:8">
      <c r="A30" s="26" t="s">
        <v>1382</v>
      </c>
    </row>
    <row r="31" spans="1:8">
      <c r="A31" s="26"/>
    </row>
  </sheetData>
  <mergeCells count="3">
    <mergeCell ref="A14:C14"/>
    <mergeCell ref="A22:F22"/>
    <mergeCell ref="A1:G1"/>
  </mergeCells>
  <phoneticPr fontId="0" type="noConversion"/>
  <pageMargins left="0.75" right="0.75" top="1" bottom="1" header="0.5" footer="0.5"/>
  <pageSetup paperSize="9" orientation="portrait" r:id="rId1"/>
  <headerFooter alignWithMargins="0">
    <oddFooter>&amp;A</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topLeftCell="A16" workbookViewId="0">
      <selection activeCell="B26" sqref="B26"/>
    </sheetView>
  </sheetViews>
  <sheetFormatPr defaultRowHeight="15.75"/>
  <cols>
    <col min="1" max="1" width="6.875" style="12" customWidth="1"/>
    <col min="2" max="2" width="13.875" style="12" customWidth="1"/>
    <col min="3" max="3" width="6.25" style="12" customWidth="1"/>
    <col min="4" max="4" width="9.75" style="12" customWidth="1"/>
    <col min="5" max="5" width="9.875" style="12" customWidth="1"/>
    <col min="6" max="6" width="12.25" style="22" customWidth="1"/>
    <col min="7" max="7" width="10.375" style="12" customWidth="1"/>
    <col min="8" max="8" width="10.5" style="12" customWidth="1"/>
    <col min="9" max="9" width="12.125" style="322" bestFit="1" customWidth="1"/>
    <col min="10" max="10" width="12.75" style="12" customWidth="1"/>
    <col min="11" max="16384" width="9" style="12"/>
  </cols>
  <sheetData>
    <row r="1" spans="1:10" ht="24" customHeight="1" thickBot="1">
      <c r="A1" s="926" t="s">
        <v>1172</v>
      </c>
      <c r="B1" s="926"/>
      <c r="C1" s="926"/>
      <c r="D1" s="926"/>
      <c r="E1" s="926"/>
      <c r="F1" s="926"/>
      <c r="G1" s="926"/>
      <c r="H1" s="926"/>
      <c r="I1" s="926"/>
      <c r="J1" s="926"/>
    </row>
    <row r="2" spans="1:10" ht="64.5" thickTop="1" thickBot="1">
      <c r="A2" s="605" t="s">
        <v>1180</v>
      </c>
      <c r="B2" s="606" t="s">
        <v>1176</v>
      </c>
      <c r="C2" s="606" t="s">
        <v>1166</v>
      </c>
      <c r="D2" s="606" t="s">
        <v>1861</v>
      </c>
      <c r="E2" s="606" t="s">
        <v>1392</v>
      </c>
      <c r="F2" s="854" t="s">
        <v>1390</v>
      </c>
      <c r="G2" s="606" t="s">
        <v>1177</v>
      </c>
      <c r="H2" s="606" t="s">
        <v>1178</v>
      </c>
      <c r="I2" s="856" t="s">
        <v>1389</v>
      </c>
      <c r="J2" s="607" t="s">
        <v>1393</v>
      </c>
    </row>
    <row r="3" spans="1:10" ht="16.5" thickTop="1">
      <c r="A3" s="83" t="s">
        <v>1072</v>
      </c>
      <c r="B3" s="77" t="str">
        <f>VLOOKUP(RIGHT(A3,2),$A$14:$B$19,2,0)</f>
        <v>Đa Kao</v>
      </c>
      <c r="C3" s="285" t="s">
        <v>1073</v>
      </c>
      <c r="D3" s="77" t="str">
        <f>VLOOKUP(C3,$D$14:$F$19,2,0)</f>
        <v>Vải Kate</v>
      </c>
      <c r="E3" s="154">
        <v>10000000</v>
      </c>
      <c r="F3" s="20">
        <f>E3*VLOOKUP(C3,$D$14:$F$19,3,0)</f>
        <v>90000000</v>
      </c>
      <c r="G3" s="255">
        <v>35796</v>
      </c>
      <c r="H3" s="255">
        <v>35796</v>
      </c>
      <c r="I3" s="20">
        <f>IF((H3-G3)&gt;3,(H3-G3)*2%*F3,0)</f>
        <v>0</v>
      </c>
      <c r="J3" s="78">
        <f>SUM(F3,I3)</f>
        <v>90000000</v>
      </c>
    </row>
    <row r="4" spans="1:10" ht="16.5" thickTop="1">
      <c r="A4" s="87" t="s">
        <v>1074</v>
      </c>
      <c r="B4" s="77" t="str">
        <f t="shared" ref="B4:B12" si="0">VLOOKUP(RIGHT(A4,2),$A$14:$B$19,2,0)</f>
        <v>Bến Thành</v>
      </c>
      <c r="C4" s="287" t="s">
        <v>1075</v>
      </c>
      <c r="D4" s="77" t="str">
        <f t="shared" ref="D4:D12" si="1">VLOOKUP(C4,$D$14:$F$19,2,0)</f>
        <v>Quần áo</v>
      </c>
      <c r="E4" s="146">
        <v>2000000</v>
      </c>
      <c r="F4" s="20">
        <f t="shared" ref="F4:F12" si="2">E4*VLOOKUP(C4,$D$14:$F$19,3,0)</f>
        <v>16000000</v>
      </c>
      <c r="G4" s="256">
        <v>35810</v>
      </c>
      <c r="H4" s="256">
        <v>35814</v>
      </c>
      <c r="I4" s="20">
        <f t="shared" ref="I4:I12" si="3">IF((H4-G4)&gt;3,(H4-G4)*2%*F4,0)</f>
        <v>1280000</v>
      </c>
      <c r="J4" s="78">
        <f t="shared" ref="J4:J12" si="4">SUM(F4,I4)</f>
        <v>17280000</v>
      </c>
    </row>
    <row r="5" spans="1:10">
      <c r="A5" s="87" t="s">
        <v>1076</v>
      </c>
      <c r="B5" s="77" t="str">
        <f t="shared" si="0"/>
        <v>Bà Chiểu</v>
      </c>
      <c r="C5" s="287" t="s">
        <v>845</v>
      </c>
      <c r="D5" s="77" t="str">
        <f t="shared" si="1"/>
        <v>Thực phẩm</v>
      </c>
      <c r="E5" s="146">
        <v>5000000</v>
      </c>
      <c r="F5" s="20">
        <f t="shared" si="2"/>
        <v>25000000</v>
      </c>
      <c r="G5" s="256">
        <v>35808</v>
      </c>
      <c r="H5" s="256">
        <v>35810</v>
      </c>
      <c r="I5" s="20">
        <f t="shared" si="3"/>
        <v>0</v>
      </c>
      <c r="J5" s="78">
        <f t="shared" si="4"/>
        <v>25000000</v>
      </c>
    </row>
    <row r="6" spans="1:10">
      <c r="A6" s="87" t="s">
        <v>1077</v>
      </c>
      <c r="B6" s="77" t="str">
        <f t="shared" si="0"/>
        <v>Tân Định</v>
      </c>
      <c r="C6" s="287" t="s">
        <v>1078</v>
      </c>
      <c r="D6" s="77" t="str">
        <f t="shared" si="1"/>
        <v>Mỹ phẩm</v>
      </c>
      <c r="E6" s="146">
        <v>15000000</v>
      </c>
      <c r="F6" s="20">
        <f t="shared" si="2"/>
        <v>150000000</v>
      </c>
      <c r="G6" s="256">
        <v>35815</v>
      </c>
      <c r="H6" s="256">
        <v>35820</v>
      </c>
      <c r="I6" s="20">
        <f t="shared" si="3"/>
        <v>15000000</v>
      </c>
      <c r="J6" s="78">
        <f t="shared" si="4"/>
        <v>165000000</v>
      </c>
    </row>
    <row r="7" spans="1:10">
      <c r="A7" s="87" t="s">
        <v>1079</v>
      </c>
      <c r="B7" s="77" t="str">
        <f t="shared" si="0"/>
        <v>Phú Nhuận</v>
      </c>
      <c r="C7" s="287" t="s">
        <v>843</v>
      </c>
      <c r="D7" s="77" t="str">
        <f t="shared" si="1"/>
        <v>Giầy dép</v>
      </c>
      <c r="E7" s="146">
        <v>2000000</v>
      </c>
      <c r="F7" s="20">
        <f t="shared" si="2"/>
        <v>6000000</v>
      </c>
      <c r="G7" s="256">
        <v>35815</v>
      </c>
      <c r="H7" s="256">
        <v>35824</v>
      </c>
      <c r="I7" s="20">
        <f t="shared" si="3"/>
        <v>1080000</v>
      </c>
      <c r="J7" s="78">
        <f t="shared" si="4"/>
        <v>7080000</v>
      </c>
    </row>
    <row r="8" spans="1:10">
      <c r="A8" s="87" t="s">
        <v>1080</v>
      </c>
      <c r="B8" s="77" t="str">
        <f t="shared" si="0"/>
        <v>Đa Kao</v>
      </c>
      <c r="C8" s="287" t="s">
        <v>1075</v>
      </c>
      <c r="D8" s="77" t="str">
        <f t="shared" si="1"/>
        <v>Quần áo</v>
      </c>
      <c r="E8" s="146">
        <v>10000000</v>
      </c>
      <c r="F8" s="20">
        <f t="shared" si="2"/>
        <v>80000000</v>
      </c>
      <c r="G8" s="256">
        <v>35813</v>
      </c>
      <c r="H8" s="256">
        <v>35812</v>
      </c>
      <c r="I8" s="20">
        <f t="shared" si="3"/>
        <v>0</v>
      </c>
      <c r="J8" s="78">
        <f t="shared" si="4"/>
        <v>80000000</v>
      </c>
    </row>
    <row r="9" spans="1:10">
      <c r="A9" s="87" t="s">
        <v>1081</v>
      </c>
      <c r="B9" s="77" t="str">
        <f t="shared" si="0"/>
        <v>Tân Định</v>
      </c>
      <c r="C9" s="287" t="s">
        <v>843</v>
      </c>
      <c r="D9" s="77" t="str">
        <f t="shared" si="1"/>
        <v>Giầy dép</v>
      </c>
      <c r="E9" s="146">
        <v>1500000</v>
      </c>
      <c r="F9" s="20">
        <f t="shared" si="2"/>
        <v>4500000</v>
      </c>
      <c r="G9" s="256">
        <v>35797</v>
      </c>
      <c r="H9" s="256">
        <v>35804</v>
      </c>
      <c r="I9" s="20">
        <f t="shared" si="3"/>
        <v>630000.00000000012</v>
      </c>
      <c r="J9" s="78">
        <f t="shared" si="4"/>
        <v>5130000</v>
      </c>
    </row>
    <row r="10" spans="1:10">
      <c r="A10" s="87" t="s">
        <v>1082</v>
      </c>
      <c r="B10" s="77" t="str">
        <f t="shared" si="0"/>
        <v>Bà Chiểu</v>
      </c>
      <c r="C10" s="287" t="s">
        <v>1078</v>
      </c>
      <c r="D10" s="77" t="str">
        <f t="shared" si="1"/>
        <v>Mỹ phẩm</v>
      </c>
      <c r="E10" s="146">
        <v>9000000</v>
      </c>
      <c r="F10" s="20">
        <f t="shared" si="2"/>
        <v>90000000</v>
      </c>
      <c r="G10" s="256">
        <v>35805</v>
      </c>
      <c r="H10" s="256">
        <v>35805</v>
      </c>
      <c r="I10" s="20">
        <f t="shared" si="3"/>
        <v>0</v>
      </c>
      <c r="J10" s="78">
        <f t="shared" si="4"/>
        <v>90000000</v>
      </c>
    </row>
    <row r="11" spans="1:10">
      <c r="A11" s="87" t="s">
        <v>1083</v>
      </c>
      <c r="B11" s="77" t="str">
        <f t="shared" si="0"/>
        <v>Bến Thành</v>
      </c>
      <c r="C11" s="287" t="s">
        <v>1073</v>
      </c>
      <c r="D11" s="77" t="str">
        <f t="shared" si="1"/>
        <v>Vải Kate</v>
      </c>
      <c r="E11" s="146">
        <v>8000000</v>
      </c>
      <c r="F11" s="20">
        <f t="shared" si="2"/>
        <v>72000000</v>
      </c>
      <c r="G11" s="256">
        <v>35807</v>
      </c>
      <c r="H11" s="256">
        <v>35810</v>
      </c>
      <c r="I11" s="20">
        <f t="shared" si="3"/>
        <v>0</v>
      </c>
      <c r="J11" s="78">
        <f t="shared" si="4"/>
        <v>72000000</v>
      </c>
    </row>
    <row r="12" spans="1:10" ht="16.5" thickBot="1">
      <c r="A12" s="89" t="s">
        <v>1084</v>
      </c>
      <c r="B12" s="77" t="str">
        <f t="shared" si="0"/>
        <v>Tân Định</v>
      </c>
      <c r="C12" s="289" t="s">
        <v>845</v>
      </c>
      <c r="D12" s="77" t="str">
        <f t="shared" si="1"/>
        <v>Thực phẩm</v>
      </c>
      <c r="E12" s="351">
        <v>900000</v>
      </c>
      <c r="F12" s="20">
        <f t="shared" si="2"/>
        <v>4500000</v>
      </c>
      <c r="G12" s="257">
        <v>35820</v>
      </c>
      <c r="H12" s="257">
        <v>35821</v>
      </c>
      <c r="I12" s="20">
        <f t="shared" si="3"/>
        <v>0</v>
      </c>
      <c r="J12" s="78">
        <f t="shared" si="4"/>
        <v>4500000</v>
      </c>
    </row>
    <row r="13" spans="1:10" ht="17.25" thickTop="1" thickBot="1">
      <c r="A13" s="946" t="s">
        <v>652</v>
      </c>
      <c r="B13" s="946"/>
      <c r="D13" s="945" t="s">
        <v>653</v>
      </c>
      <c r="E13" s="945"/>
      <c r="F13" s="945"/>
    </row>
    <row r="14" spans="1:10" ht="17.25" thickTop="1" thickBot="1">
      <c r="A14" s="14" t="s">
        <v>1170</v>
      </c>
      <c r="B14" s="16" t="s">
        <v>1176</v>
      </c>
      <c r="D14" s="14" t="s">
        <v>1167</v>
      </c>
      <c r="E14" s="15" t="s">
        <v>663</v>
      </c>
      <c r="F14" s="855" t="s">
        <v>1397</v>
      </c>
    </row>
    <row r="15" spans="1:10" ht="16.5" thickTop="1">
      <c r="A15" s="83" t="s">
        <v>1085</v>
      </c>
      <c r="B15" s="84" t="s">
        <v>1174</v>
      </c>
      <c r="D15" s="437" t="s">
        <v>845</v>
      </c>
      <c r="E15" s="285" t="s">
        <v>1396</v>
      </c>
      <c r="F15" s="512">
        <v>5</v>
      </c>
    </row>
    <row r="16" spans="1:10">
      <c r="A16" s="87" t="s">
        <v>1086</v>
      </c>
      <c r="B16" s="88" t="s">
        <v>1168</v>
      </c>
      <c r="D16" s="438" t="s">
        <v>843</v>
      </c>
      <c r="E16" s="287" t="s">
        <v>1175</v>
      </c>
      <c r="F16" s="513">
        <v>3</v>
      </c>
    </row>
    <row r="17" spans="1:8">
      <c r="A17" s="87" t="s">
        <v>1087</v>
      </c>
      <c r="B17" s="88" t="s">
        <v>1169</v>
      </c>
      <c r="D17" s="438" t="s">
        <v>1078</v>
      </c>
      <c r="E17" s="287" t="s">
        <v>1399</v>
      </c>
      <c r="F17" s="513">
        <v>10</v>
      </c>
    </row>
    <row r="18" spans="1:8">
      <c r="A18" s="87" t="s">
        <v>1088</v>
      </c>
      <c r="B18" s="88" t="s">
        <v>1165</v>
      </c>
      <c r="D18" s="438" t="s">
        <v>1073</v>
      </c>
      <c r="E18" s="287" t="s">
        <v>1388</v>
      </c>
      <c r="F18" s="513">
        <v>9</v>
      </c>
    </row>
    <row r="19" spans="1:8" ht="16.5" thickBot="1">
      <c r="A19" s="89" t="s">
        <v>567</v>
      </c>
      <c r="B19" s="90" t="s">
        <v>1179</v>
      </c>
      <c r="D19" s="439" t="s">
        <v>1075</v>
      </c>
      <c r="E19" s="289" t="s">
        <v>1173</v>
      </c>
      <c r="F19" s="514">
        <v>8</v>
      </c>
    </row>
    <row r="20" spans="1:8">
      <c r="A20" s="946" t="s">
        <v>2360</v>
      </c>
      <c r="B20" s="946"/>
    </row>
    <row r="21" spans="1:8" ht="17.25" thickTop="1" thickBot="1">
      <c r="A21" s="14" t="s">
        <v>1395</v>
      </c>
      <c r="B21" s="16" t="s">
        <v>1391</v>
      </c>
      <c r="D21" s="354" t="s">
        <v>1395</v>
      </c>
      <c r="E21" s="354" t="s">
        <v>1395</v>
      </c>
      <c r="F21" s="225" t="s">
        <v>1395</v>
      </c>
      <c r="G21" s="354" t="s">
        <v>1395</v>
      </c>
      <c r="H21" s="354" t="s">
        <v>1395</v>
      </c>
    </row>
    <row r="22" spans="1:8" ht="16.5" thickTop="1">
      <c r="A22" s="437" t="s">
        <v>1085</v>
      </c>
      <c r="B22" s="98">
        <f>DSUM($A$2:$J$12,$J$2,$D$21:$D$22)</f>
        <v>174630000</v>
      </c>
      <c r="D22" s="354" t="b">
        <f>(RIGHT(A3,2)="TD")</f>
        <v>0</v>
      </c>
      <c r="E22" s="354" t="b">
        <f>(RIGHT(A3,2)="BT")</f>
        <v>0</v>
      </c>
      <c r="F22" s="225" t="b">
        <f>(RIGHT(A3,2)="BC")</f>
        <v>0</v>
      </c>
      <c r="G22" s="354" t="b">
        <f>(RIGHT(A3,2)="DK")</f>
        <v>1</v>
      </c>
      <c r="H22" s="354" t="b">
        <f>(RIGHT(A3,2)="PN")</f>
        <v>0</v>
      </c>
    </row>
    <row r="23" spans="1:8">
      <c r="A23" s="438" t="s">
        <v>1086</v>
      </c>
      <c r="B23" s="98">
        <f>DSUM($A$2:$J$12,$J$2,$E$21:$E$22)</f>
        <v>89280000</v>
      </c>
    </row>
    <row r="24" spans="1:8">
      <c r="A24" s="438" t="s">
        <v>1087</v>
      </c>
      <c r="B24" s="98">
        <f>DSUM($A$2:$J$12,$J$2,$F$21:$F$22)</f>
        <v>115000000</v>
      </c>
    </row>
    <row r="25" spans="1:8">
      <c r="A25" s="438" t="s">
        <v>1088</v>
      </c>
      <c r="B25" s="98">
        <f>DSUM($A$2:$J$12,$J$2,$G$21:$G$22)</f>
        <v>170000000</v>
      </c>
    </row>
    <row r="26" spans="1:8" ht="16.5" thickBot="1">
      <c r="A26" s="439" t="s">
        <v>567</v>
      </c>
      <c r="B26" s="98">
        <f>DSUM($A$2:$J$12,$J$2,$H$21:$H$22)</f>
        <v>7080000</v>
      </c>
    </row>
    <row r="27" spans="1:8" ht="16.5" thickTop="1"/>
    <row r="28" spans="1:8">
      <c r="A28" s="26" t="s">
        <v>1181</v>
      </c>
    </row>
    <row r="29" spans="1:8">
      <c r="A29" s="26" t="s">
        <v>1171</v>
      </c>
    </row>
    <row r="30" spans="1:8">
      <c r="A30" s="26" t="s">
        <v>1398</v>
      </c>
    </row>
    <row r="31" spans="1:8">
      <c r="A31" s="26" t="s">
        <v>1182</v>
      </c>
    </row>
    <row r="32" spans="1:8">
      <c r="A32" s="26" t="s">
        <v>1394</v>
      </c>
    </row>
    <row r="33" spans="1:1">
      <c r="A33" s="26" t="s">
        <v>1183</v>
      </c>
    </row>
  </sheetData>
  <mergeCells count="4">
    <mergeCell ref="A1:J1"/>
    <mergeCell ref="A13:B13"/>
    <mergeCell ref="D13:F13"/>
    <mergeCell ref="A20:B20"/>
  </mergeCells>
  <phoneticPr fontId="0" type="noConversion"/>
  <pageMargins left="0.49" right="0.48" top="1" bottom="1" header="0.5" footer="0.5"/>
  <pageSetup paperSize="9" orientation="portrait" r:id="rId1"/>
  <headerFooter alignWithMargins="0">
    <oddFooter>&amp;A</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election activeCell="A12" sqref="A12"/>
    </sheetView>
  </sheetViews>
  <sheetFormatPr defaultRowHeight="15.75"/>
  <cols>
    <col min="1" max="1" width="7.625" style="12" customWidth="1"/>
    <col min="2" max="4" width="9" style="12" customWidth="1"/>
    <col min="5" max="5" width="10.375" style="12" customWidth="1"/>
    <col min="6" max="6" width="9" style="12" customWidth="1"/>
    <col min="7" max="7" width="12.75" style="12" customWidth="1"/>
    <col min="8" max="16384" width="9" style="12"/>
  </cols>
  <sheetData>
    <row r="1" spans="1:7" ht="24" customHeight="1">
      <c r="A1" s="927" t="s">
        <v>1196</v>
      </c>
      <c r="B1" s="927"/>
      <c r="C1" s="927"/>
      <c r="D1" s="927"/>
      <c r="E1" s="927"/>
      <c r="F1" s="927"/>
      <c r="G1" s="927"/>
    </row>
    <row r="2" spans="1:7" ht="19.5" thickBot="1">
      <c r="A2" s="927" t="s">
        <v>1194</v>
      </c>
      <c r="B2" s="927"/>
      <c r="C2" s="927"/>
      <c r="D2" s="927"/>
      <c r="E2" s="927"/>
      <c r="F2" s="927"/>
      <c r="G2" s="927"/>
    </row>
    <row r="3" spans="1:7" ht="32.25" thickTop="1">
      <c r="A3" s="35" t="s">
        <v>1184</v>
      </c>
      <c r="B3" s="36" t="s">
        <v>1187</v>
      </c>
      <c r="C3" s="36" t="s">
        <v>1188</v>
      </c>
      <c r="D3" s="36" t="s">
        <v>2422</v>
      </c>
      <c r="E3" s="36" t="s">
        <v>151</v>
      </c>
      <c r="F3" s="36" t="s">
        <v>1185</v>
      </c>
      <c r="G3" s="37" t="s">
        <v>671</v>
      </c>
    </row>
    <row r="4" spans="1:7">
      <c r="A4" s="23" t="s">
        <v>842</v>
      </c>
      <c r="B4" s="25">
        <v>190</v>
      </c>
      <c r="C4" s="25">
        <v>230</v>
      </c>
      <c r="D4" s="284">
        <f t="shared" ref="D4:D9" si="0">IF(A4="NN",500,IF(A4="KD",300,IF(A4="TT",250,200)))</f>
        <v>250</v>
      </c>
      <c r="E4" s="144">
        <f t="shared" ref="E4:E9" si="1">(C4-B4)*D4</f>
        <v>10000</v>
      </c>
      <c r="F4" s="144">
        <f t="shared" ref="F4:F9" si="2">IF(C4-B4&lt;=50,0,IF(C4-B4&lt;=100,E4*35%,E4*100%))</f>
        <v>0</v>
      </c>
      <c r="G4" s="608">
        <f t="shared" ref="G4:G9" si="3">SUM(F4+E4)</f>
        <v>10000</v>
      </c>
    </row>
    <row r="5" spans="1:7">
      <c r="A5" s="23" t="s">
        <v>803</v>
      </c>
      <c r="B5" s="25">
        <v>150</v>
      </c>
      <c r="C5" s="25">
        <v>370</v>
      </c>
      <c r="D5" s="284">
        <f t="shared" si="0"/>
        <v>200</v>
      </c>
      <c r="E5" s="144">
        <f t="shared" si="1"/>
        <v>44000</v>
      </c>
      <c r="F5" s="144">
        <f t="shared" si="2"/>
        <v>44000</v>
      </c>
      <c r="G5" s="608">
        <f t="shared" si="3"/>
        <v>88000</v>
      </c>
    </row>
    <row r="6" spans="1:7">
      <c r="A6" s="23" t="s">
        <v>804</v>
      </c>
      <c r="B6" s="25">
        <v>240</v>
      </c>
      <c r="C6" s="25">
        <v>387</v>
      </c>
      <c r="D6" s="284">
        <f t="shared" si="0"/>
        <v>300</v>
      </c>
      <c r="E6" s="144">
        <f t="shared" si="1"/>
        <v>44100</v>
      </c>
      <c r="F6" s="144">
        <f t="shared" si="2"/>
        <v>44100</v>
      </c>
      <c r="G6" s="608">
        <f t="shared" si="3"/>
        <v>88200</v>
      </c>
    </row>
    <row r="7" spans="1:7">
      <c r="A7" s="23" t="s">
        <v>805</v>
      </c>
      <c r="B7" s="25">
        <v>150</v>
      </c>
      <c r="C7" s="25">
        <v>290</v>
      </c>
      <c r="D7" s="284">
        <f t="shared" si="0"/>
        <v>500</v>
      </c>
      <c r="E7" s="144">
        <f t="shared" si="1"/>
        <v>70000</v>
      </c>
      <c r="F7" s="144">
        <f t="shared" si="2"/>
        <v>70000</v>
      </c>
      <c r="G7" s="608">
        <f t="shared" si="3"/>
        <v>140000</v>
      </c>
    </row>
    <row r="8" spans="1:7">
      <c r="A8" s="23" t="s">
        <v>805</v>
      </c>
      <c r="B8" s="25">
        <v>58</v>
      </c>
      <c r="C8" s="25">
        <v>400</v>
      </c>
      <c r="D8" s="284">
        <f t="shared" si="0"/>
        <v>500</v>
      </c>
      <c r="E8" s="144">
        <f t="shared" si="1"/>
        <v>171000</v>
      </c>
      <c r="F8" s="144">
        <f t="shared" si="2"/>
        <v>171000</v>
      </c>
      <c r="G8" s="608">
        <f t="shared" si="3"/>
        <v>342000</v>
      </c>
    </row>
    <row r="9" spans="1:7" ht="16.5" thickBot="1">
      <c r="A9" s="79" t="s">
        <v>804</v>
      </c>
      <c r="B9" s="153">
        <v>400</v>
      </c>
      <c r="C9" s="153">
        <v>1500</v>
      </c>
      <c r="D9" s="284">
        <f t="shared" si="0"/>
        <v>300</v>
      </c>
      <c r="E9" s="144">
        <f t="shared" si="1"/>
        <v>330000</v>
      </c>
      <c r="F9" s="144">
        <f t="shared" si="2"/>
        <v>330000</v>
      </c>
      <c r="G9" s="608">
        <f t="shared" si="3"/>
        <v>660000</v>
      </c>
    </row>
    <row r="10" spans="1:7" ht="16.5" thickTop="1"/>
    <row r="11" spans="1:7">
      <c r="A11" s="609" t="s">
        <v>1184</v>
      </c>
    </row>
    <row r="12" spans="1:7">
      <c r="A12" s="354" t="s">
        <v>804</v>
      </c>
    </row>
    <row r="14" spans="1:7">
      <c r="A14" s="26" t="s">
        <v>1197</v>
      </c>
    </row>
    <row r="15" spans="1:7">
      <c r="A15" s="26" t="s">
        <v>1195</v>
      </c>
    </row>
    <row r="16" spans="1:7">
      <c r="A16" s="26" t="s">
        <v>1190</v>
      </c>
    </row>
    <row r="17" spans="1:1">
      <c r="A17" s="26" t="s">
        <v>1186</v>
      </c>
    </row>
    <row r="18" spans="1:1">
      <c r="A18" s="26" t="s">
        <v>1189</v>
      </c>
    </row>
    <row r="19" spans="1:1">
      <c r="A19" s="26" t="s">
        <v>1191</v>
      </c>
    </row>
    <row r="20" spans="1:1">
      <c r="A20" s="26" t="s">
        <v>1192</v>
      </c>
    </row>
    <row r="21" spans="1:1">
      <c r="A21" s="26" t="s">
        <v>1193</v>
      </c>
    </row>
    <row r="22" spans="1:1">
      <c r="A22" s="26" t="s">
        <v>1198</v>
      </c>
    </row>
    <row r="23" spans="1:1">
      <c r="A23" s="26" t="s">
        <v>1199</v>
      </c>
    </row>
  </sheetData>
  <sortState ref="A4:G9">
    <sortCondition ref="G4:G9"/>
  </sortState>
  <mergeCells count="2">
    <mergeCell ref="A1:G1"/>
    <mergeCell ref="A2:G2"/>
  </mergeCells>
  <phoneticPr fontId="0" type="noConversion"/>
  <pageMargins left="0.75" right="0.75" top="1" bottom="1" header="0.5" footer="0.5"/>
  <pageSetup paperSize="9" orientation="portrait" r:id="rId1"/>
  <headerFooter alignWithMargins="0">
    <oddFooter>&amp;A</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41"/>
  <sheetViews>
    <sheetView showGridLines="0" workbookViewId="0">
      <selection activeCell="F26" sqref="F26"/>
    </sheetView>
  </sheetViews>
  <sheetFormatPr defaultRowHeight="15.75"/>
  <cols>
    <col min="1" max="1" width="6.25" style="12" customWidth="1"/>
    <col min="2" max="2" width="10.75" style="12" customWidth="1"/>
    <col min="3" max="3" width="10.25" style="12" customWidth="1"/>
    <col min="4" max="4" width="8.875" style="12" customWidth="1"/>
    <col min="5" max="5" width="10" style="12" customWidth="1"/>
    <col min="6" max="6" width="10.375" style="12" customWidth="1"/>
    <col min="7" max="16384" width="9" style="12"/>
  </cols>
  <sheetData>
    <row r="1" spans="1:6" ht="24" customHeight="1" thickBot="1">
      <c r="A1" s="927" t="s">
        <v>1207</v>
      </c>
      <c r="B1" s="927"/>
      <c r="C1" s="927"/>
      <c r="D1" s="927"/>
      <c r="E1" s="927"/>
      <c r="F1" s="927"/>
    </row>
    <row r="2" spans="1:6" ht="17.25" thickTop="1" thickBot="1">
      <c r="A2" s="237" t="s">
        <v>1017</v>
      </c>
      <c r="B2" s="238" t="s">
        <v>146</v>
      </c>
      <c r="C2" s="238" t="s">
        <v>1209</v>
      </c>
      <c r="D2" s="238" t="s">
        <v>681</v>
      </c>
      <c r="E2" s="238" t="s">
        <v>687</v>
      </c>
      <c r="F2" s="239" t="s">
        <v>151</v>
      </c>
    </row>
    <row r="3" spans="1:6" ht="16.5" thickTop="1">
      <c r="A3" s="17">
        <v>1</v>
      </c>
      <c r="B3" s="18" t="s">
        <v>774</v>
      </c>
      <c r="C3" s="77" t="str">
        <f>VLOOKUP(LEFT(B3,1),$B$14:$D$17,2,0)</f>
        <v>Xăng A92</v>
      </c>
      <c r="D3" s="154">
        <v>50</v>
      </c>
      <c r="E3" s="77">
        <f>IF(RIGHT(B3,1)="C",VLOOKUP(C3,$C$15:$D$17,2,0)-VLOOKUP(C3,$C$15:$D$17,2,0)*10%,VLOOKUP(C3,$C$15:$D$17,2,0))</f>
        <v>5040</v>
      </c>
      <c r="F3" s="78">
        <f>E3*D3</f>
        <v>252000</v>
      </c>
    </row>
    <row r="4" spans="1:6">
      <c r="A4" s="23">
        <v>2</v>
      </c>
      <c r="B4" s="24" t="s">
        <v>775</v>
      </c>
      <c r="C4" s="77" t="str">
        <f t="shared" ref="C4:C12" si="0">VLOOKUP(LEFT(B4,1),$B$14:$D$17,2,0)</f>
        <v>Dầu Diesel</v>
      </c>
      <c r="D4" s="146">
        <v>3150</v>
      </c>
      <c r="E4" s="77">
        <f t="shared" ref="E4:E12" si="1">IF(RIGHT(B4,1)="C",VLOOKUP(C4,$C$15:$D$17,2,0)-VLOOKUP(C4,$C$15:$D$17,2,0)*10%,VLOOKUP(C4,$C$15:$D$17,2,0))</f>
        <v>5300</v>
      </c>
      <c r="F4" s="78">
        <f t="shared" ref="F4:F17" si="2">E4*D4</f>
        <v>16695000</v>
      </c>
    </row>
    <row r="5" spans="1:6">
      <c r="A5" s="23">
        <v>3</v>
      </c>
      <c r="B5" s="24" t="s">
        <v>776</v>
      </c>
      <c r="C5" s="77" t="str">
        <f t="shared" si="0"/>
        <v>Nhớt</v>
      </c>
      <c r="D5" s="146">
        <v>100</v>
      </c>
      <c r="E5" s="77">
        <f t="shared" si="1"/>
        <v>13500</v>
      </c>
      <c r="F5" s="78">
        <f t="shared" si="2"/>
        <v>1350000</v>
      </c>
    </row>
    <row r="6" spans="1:6">
      <c r="A6" s="23">
        <v>4</v>
      </c>
      <c r="B6" s="24" t="s">
        <v>777</v>
      </c>
      <c r="C6" s="77" t="str">
        <f t="shared" si="0"/>
        <v>Xăng A92</v>
      </c>
      <c r="D6" s="146">
        <v>2500</v>
      </c>
      <c r="E6" s="77">
        <f t="shared" si="1"/>
        <v>5040</v>
      </c>
      <c r="F6" s="78">
        <f t="shared" si="2"/>
        <v>12600000</v>
      </c>
    </row>
    <row r="7" spans="1:6">
      <c r="A7" s="23">
        <v>5</v>
      </c>
      <c r="B7" s="24" t="s">
        <v>778</v>
      </c>
      <c r="C7" s="77" t="str">
        <f t="shared" si="0"/>
        <v>Dầu Diesel</v>
      </c>
      <c r="D7" s="146">
        <v>600</v>
      </c>
      <c r="E7" s="77">
        <f t="shared" si="1"/>
        <v>5300</v>
      </c>
      <c r="F7" s="78">
        <f t="shared" si="2"/>
        <v>3180000</v>
      </c>
    </row>
    <row r="8" spans="1:6">
      <c r="A8" s="23">
        <v>6</v>
      </c>
      <c r="B8" s="24" t="s">
        <v>779</v>
      </c>
      <c r="C8" s="77" t="str">
        <f t="shared" si="0"/>
        <v>Nhớt</v>
      </c>
      <c r="D8" s="146">
        <v>250</v>
      </c>
      <c r="E8" s="77">
        <f t="shared" si="1"/>
        <v>13500</v>
      </c>
      <c r="F8" s="78">
        <f t="shared" si="2"/>
        <v>3375000</v>
      </c>
    </row>
    <row r="9" spans="1:6">
      <c r="A9" s="23">
        <v>7</v>
      </c>
      <c r="B9" s="24" t="s">
        <v>780</v>
      </c>
      <c r="C9" s="77" t="str">
        <f t="shared" si="0"/>
        <v>Xăng A92</v>
      </c>
      <c r="D9" s="146">
        <v>1500</v>
      </c>
      <c r="E9" s="77">
        <f t="shared" si="1"/>
        <v>5040</v>
      </c>
      <c r="F9" s="78">
        <f t="shared" si="2"/>
        <v>7560000</v>
      </c>
    </row>
    <row r="10" spans="1:6">
      <c r="A10" s="23">
        <v>8</v>
      </c>
      <c r="B10" s="24" t="s">
        <v>781</v>
      </c>
      <c r="C10" s="77" t="str">
        <f t="shared" si="0"/>
        <v>Dầu Diesel</v>
      </c>
      <c r="D10" s="146">
        <v>300</v>
      </c>
      <c r="E10" s="77">
        <f t="shared" si="1"/>
        <v>5300</v>
      </c>
      <c r="F10" s="78">
        <f t="shared" si="2"/>
        <v>1590000</v>
      </c>
    </row>
    <row r="11" spans="1:6">
      <c r="A11" s="23">
        <v>9</v>
      </c>
      <c r="B11" s="24" t="s">
        <v>782</v>
      </c>
      <c r="C11" s="77" t="str">
        <f t="shared" si="0"/>
        <v>Nhớt</v>
      </c>
      <c r="D11" s="146">
        <v>30</v>
      </c>
      <c r="E11" s="77">
        <f t="shared" si="1"/>
        <v>13500</v>
      </c>
      <c r="F11" s="78">
        <f t="shared" si="2"/>
        <v>405000</v>
      </c>
    </row>
    <row r="12" spans="1:6" ht="16.5" thickBot="1">
      <c r="A12" s="79">
        <v>10</v>
      </c>
      <c r="B12" s="80" t="s">
        <v>783</v>
      </c>
      <c r="C12" s="77" t="str">
        <f t="shared" si="0"/>
        <v>Xăng A92</v>
      </c>
      <c r="D12" s="351">
        <v>800</v>
      </c>
      <c r="E12" s="77">
        <f t="shared" si="1"/>
        <v>5600</v>
      </c>
      <c r="F12" s="78">
        <f t="shared" si="2"/>
        <v>4480000</v>
      </c>
    </row>
    <row r="13" spans="1:6" ht="17.25" thickTop="1" thickBot="1">
      <c r="B13" s="1004" t="s">
        <v>1513</v>
      </c>
      <c r="C13" s="1004"/>
      <c r="D13" s="1004"/>
    </row>
    <row r="14" spans="1:6" ht="17.25" thickTop="1" thickBot="1">
      <c r="B14" s="14" t="s">
        <v>1206</v>
      </c>
      <c r="C14" s="15" t="s">
        <v>1209</v>
      </c>
      <c r="D14" s="16" t="s">
        <v>687</v>
      </c>
    </row>
    <row r="15" spans="1:6" ht="16.5" thickTop="1">
      <c r="B15" s="83" t="s">
        <v>752</v>
      </c>
      <c r="C15" s="18" t="s">
        <v>1200</v>
      </c>
      <c r="D15" s="459">
        <v>5600</v>
      </c>
    </row>
    <row r="16" spans="1:6">
      <c r="B16" s="87" t="s">
        <v>1025</v>
      </c>
      <c r="C16" s="24" t="s">
        <v>1201</v>
      </c>
      <c r="D16" s="460">
        <v>5300</v>
      </c>
    </row>
    <row r="17" spans="1:6" ht="16.5" thickBot="1">
      <c r="B17" s="89" t="s">
        <v>754</v>
      </c>
      <c r="C17" s="80" t="s">
        <v>2352</v>
      </c>
      <c r="D17" s="233">
        <v>15000</v>
      </c>
    </row>
    <row r="18" spans="1:6" ht="16.5" thickTop="1"/>
    <row r="19" spans="1:6">
      <c r="A19" s="969" t="s">
        <v>2360</v>
      </c>
      <c r="B19" s="969"/>
      <c r="C19" s="969"/>
    </row>
    <row r="20" spans="1:6">
      <c r="A20" s="1075" t="s">
        <v>1203</v>
      </c>
      <c r="B20" s="1075"/>
      <c r="C20" s="145">
        <f>DSUM($A$2:$F$12,$F$2,$E$20:$E$21)</f>
        <v>5130000</v>
      </c>
      <c r="E20" s="354" t="s">
        <v>2352</v>
      </c>
      <c r="F20" s="354" t="s">
        <v>17</v>
      </c>
    </row>
    <row r="21" spans="1:6">
      <c r="A21" s="1075" t="s">
        <v>1202</v>
      </c>
      <c r="B21" s="1075"/>
      <c r="C21" s="145">
        <f>DSUM($A$2:$F$12,$F$2,$F$20:$F$21)</f>
        <v>21465000</v>
      </c>
      <c r="E21" s="354" t="b">
        <f>LEFT(B3,1)="N"</f>
        <v>0</v>
      </c>
      <c r="F21" s="354" t="b">
        <f>LEFT(B3,1)="D"</f>
        <v>0</v>
      </c>
    </row>
    <row r="23" spans="1:6">
      <c r="E23" s="354" t="s">
        <v>1210</v>
      </c>
      <c r="F23" s="354" t="s">
        <v>1205</v>
      </c>
    </row>
    <row r="24" spans="1:6" ht="16.5" thickBot="1">
      <c r="A24" s="12" t="s">
        <v>1214</v>
      </c>
      <c r="E24" s="610" t="b">
        <f>LEFT(B3,1)="X"</f>
        <v>1</v>
      </c>
      <c r="F24" s="610" t="b">
        <f>RIGHT(B3,1)="C"</f>
        <v>1</v>
      </c>
    </row>
    <row r="25" spans="1:6" ht="17.25" thickTop="1" thickBot="1">
      <c r="A25" s="237" t="s">
        <v>1017</v>
      </c>
      <c r="B25" s="238" t="s">
        <v>146</v>
      </c>
      <c r="C25" s="238" t="s">
        <v>1209</v>
      </c>
      <c r="D25" s="238" t="s">
        <v>681</v>
      </c>
      <c r="E25" s="238" t="s">
        <v>687</v>
      </c>
      <c r="F25" s="239" t="s">
        <v>151</v>
      </c>
    </row>
    <row r="26" spans="1:6" ht="16.5" thickTop="1">
      <c r="A26" s="515">
        <v>1</v>
      </c>
      <c r="B26" s="207" t="s">
        <v>774</v>
      </c>
      <c r="C26" s="207" t="s">
        <v>1200</v>
      </c>
      <c r="D26" s="154">
        <v>50</v>
      </c>
      <c r="E26" s="20">
        <f>VLOOKUP(B26,$B$3:$F$12,4,0)</f>
        <v>5040</v>
      </c>
      <c r="F26" s="78">
        <f>E26*D26</f>
        <v>252000</v>
      </c>
    </row>
    <row r="27" spans="1:6">
      <c r="A27" s="519">
        <v>4</v>
      </c>
      <c r="B27" s="208" t="s">
        <v>777</v>
      </c>
      <c r="C27" s="208" t="s">
        <v>1200</v>
      </c>
      <c r="D27" s="146">
        <v>2500</v>
      </c>
      <c r="E27" s="20">
        <f t="shared" ref="E27:E28" si="3">VLOOKUP(B27,$B$3:$F$12,4,0)</f>
        <v>5040</v>
      </c>
      <c r="F27" s="212"/>
    </row>
    <row r="28" spans="1:6" ht="16.5" thickBot="1">
      <c r="A28" s="521">
        <v>7</v>
      </c>
      <c r="B28" s="524" t="s">
        <v>780</v>
      </c>
      <c r="C28" s="524" t="s">
        <v>1200</v>
      </c>
      <c r="D28" s="351">
        <v>1500</v>
      </c>
      <c r="E28" s="20">
        <f t="shared" si="3"/>
        <v>5040</v>
      </c>
      <c r="F28" s="248"/>
    </row>
    <row r="29" spans="1:6" ht="16.5" thickTop="1"/>
    <row r="30" spans="1:6">
      <c r="A30" s="26" t="s">
        <v>1211</v>
      </c>
    </row>
    <row r="31" spans="1:6">
      <c r="A31" s="26" t="s">
        <v>1212</v>
      </c>
    </row>
    <row r="32" spans="1:6">
      <c r="A32" s="26" t="s">
        <v>1213</v>
      </c>
    </row>
    <row r="33" spans="1:6">
      <c r="A33" s="26" t="s">
        <v>1208</v>
      </c>
    </row>
    <row r="34" spans="1:6">
      <c r="A34" s="26" t="s">
        <v>1204</v>
      </c>
    </row>
    <row r="35" spans="1:6">
      <c r="A35" s="26" t="s">
        <v>1215</v>
      </c>
    </row>
    <row r="36" spans="1:6">
      <c r="A36" s="26" t="s">
        <v>1216</v>
      </c>
    </row>
    <row r="38" spans="1:6">
      <c r="A38" s="611"/>
      <c r="B38" s="611"/>
      <c r="C38" s="611"/>
      <c r="D38" s="611"/>
      <c r="E38" s="611"/>
      <c r="F38" s="611"/>
    </row>
    <row r="39" spans="1:6">
      <c r="A39" s="258"/>
      <c r="B39" s="226"/>
      <c r="C39" s="226"/>
      <c r="D39" s="226"/>
      <c r="E39" s="226"/>
      <c r="F39" s="226"/>
    </row>
    <row r="40" spans="1:6">
      <c r="A40" s="258"/>
      <c r="B40" s="226"/>
      <c r="C40" s="226"/>
      <c r="D40" s="226"/>
      <c r="E40" s="226"/>
      <c r="F40" s="226"/>
    </row>
    <row r="41" spans="1:6">
      <c r="A41" s="258"/>
      <c r="B41" s="226"/>
      <c r="C41" s="226"/>
      <c r="D41" s="226"/>
      <c r="E41" s="226"/>
      <c r="F41" s="226"/>
    </row>
  </sheetData>
  <mergeCells count="5">
    <mergeCell ref="A21:B21"/>
    <mergeCell ref="A1:F1"/>
    <mergeCell ref="B13:D13"/>
    <mergeCell ref="A19:C19"/>
    <mergeCell ref="A20:B20"/>
  </mergeCells>
  <phoneticPr fontId="0" type="noConversion"/>
  <pageMargins left="0.75" right="0.75" top="1" bottom="1" header="0.5" footer="0.5"/>
  <pageSetup paperSize="9" orientation="portrait" r:id="rId1"/>
  <headerFooter alignWithMargins="0">
    <oddFooter>&amp;A</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election activeCell="I14" sqref="I14"/>
    </sheetView>
  </sheetViews>
  <sheetFormatPr defaultRowHeight="15.75"/>
  <cols>
    <col min="1" max="1" width="6.75" style="12" customWidth="1"/>
    <col min="2" max="2" width="7.375" style="12" customWidth="1"/>
    <col min="3" max="3" width="6.75" style="12" customWidth="1"/>
    <col min="4" max="5" width="5.875" style="12" customWidth="1"/>
    <col min="6" max="7" width="9" style="12" customWidth="1"/>
    <col min="8" max="8" width="8.375" style="12" customWidth="1"/>
    <col min="9" max="9" width="11.625" style="12" customWidth="1"/>
    <col min="10" max="10" width="7.125" style="12" customWidth="1"/>
    <col min="11" max="16384" width="9" style="12"/>
  </cols>
  <sheetData>
    <row r="1" spans="1:22" ht="24" customHeight="1" thickBot="1">
      <c r="A1" s="931" t="s">
        <v>1224</v>
      </c>
      <c r="B1" s="931"/>
      <c r="C1" s="931"/>
      <c r="D1" s="931"/>
      <c r="E1" s="931"/>
      <c r="F1" s="931"/>
      <c r="G1" s="931"/>
      <c r="H1" s="931"/>
      <c r="I1" s="931"/>
      <c r="J1" s="931"/>
    </row>
    <row r="2" spans="1:22" ht="33" thickTop="1" thickBot="1">
      <c r="A2" s="73" t="s">
        <v>1576</v>
      </c>
      <c r="B2" s="74" t="s">
        <v>2059</v>
      </c>
      <c r="C2" s="74" t="s">
        <v>976</v>
      </c>
      <c r="D2" s="74" t="s">
        <v>386</v>
      </c>
      <c r="E2" s="74" t="s">
        <v>600</v>
      </c>
      <c r="F2" s="74" t="s">
        <v>1225</v>
      </c>
      <c r="G2" s="74" t="s">
        <v>1219</v>
      </c>
      <c r="H2" s="74" t="s">
        <v>1226</v>
      </c>
      <c r="I2" s="74" t="s">
        <v>2043</v>
      </c>
      <c r="J2" s="75" t="s">
        <v>88</v>
      </c>
    </row>
    <row r="3" spans="1:22" ht="17.25" thickTop="1" thickBot="1">
      <c r="A3" s="17" t="s">
        <v>570</v>
      </c>
      <c r="B3" s="19" t="s">
        <v>409</v>
      </c>
      <c r="C3" s="19" t="s">
        <v>500</v>
      </c>
      <c r="D3" s="19">
        <v>4.5</v>
      </c>
      <c r="E3" s="19">
        <v>8</v>
      </c>
      <c r="F3" s="219">
        <f>IF(C3=$C$5,2,IF(C3=$C$4,1,0))</f>
        <v>0</v>
      </c>
      <c r="G3" s="77" t="str">
        <f>VLOOKUP(LEFT(A3,1),$F$11:$H$13,2,0)</f>
        <v>Diện 2</v>
      </c>
      <c r="H3" s="77">
        <f>VLOOKUP(LEFT(A3,1),$F$11:$H$13,3,0)</f>
        <v>1.5</v>
      </c>
      <c r="I3" s="77">
        <f>SUM(D3,E3,F3,H3)</f>
        <v>14</v>
      </c>
      <c r="J3" s="227" t="str">
        <f>IF(I3&gt;13.25,"Passed","Failed")</f>
        <v>Passed</v>
      </c>
      <c r="M3" s="73"/>
      <c r="N3" s="74"/>
      <c r="O3" s="74"/>
      <c r="P3" s="74"/>
      <c r="Q3" s="74"/>
      <c r="R3" s="74"/>
      <c r="S3" s="74"/>
      <c r="T3" s="74"/>
      <c r="U3" s="74" t="s">
        <v>2043</v>
      </c>
      <c r="V3" s="75" t="s">
        <v>88</v>
      </c>
    </row>
    <row r="4" spans="1:22" ht="16.5" thickTop="1">
      <c r="A4" s="23" t="s">
        <v>571</v>
      </c>
      <c r="B4" s="25" t="s">
        <v>1217</v>
      </c>
      <c r="C4" s="25" t="s">
        <v>2327</v>
      </c>
      <c r="D4" s="25">
        <v>3</v>
      </c>
      <c r="E4" s="25">
        <v>6</v>
      </c>
      <c r="F4" s="219">
        <f t="shared" ref="F4:F7" si="0">IF(C4=$C$5,2,IF(C4=$C$4,1,0))</f>
        <v>1</v>
      </c>
      <c r="G4" s="77" t="str">
        <f t="shared" ref="G4:G7" si="1">VLOOKUP(LEFT(A4,1),$F$11:$H$13,2,0)</f>
        <v>Diện 1</v>
      </c>
      <c r="H4" s="77">
        <f t="shared" ref="H4:H7" si="2">VLOOKUP(LEFT(A4,1),$F$11:$H$13,3,0)</f>
        <v>2</v>
      </c>
      <c r="I4" s="77">
        <f t="shared" ref="I4:I7" si="3">SUM(D4,E4,F4,H4)</f>
        <v>12</v>
      </c>
      <c r="J4" s="227" t="str">
        <f t="shared" ref="J4:J7" si="4">IF(I4&gt;13.25,"Passed","Failed")</f>
        <v>Failed</v>
      </c>
      <c r="M4" s="17" t="s">
        <v>570</v>
      </c>
      <c r="N4" s="19" t="s">
        <v>409</v>
      </c>
      <c r="O4" s="19" t="s">
        <v>500</v>
      </c>
      <c r="P4" s="19">
        <v>4.5</v>
      </c>
      <c r="Q4" s="19">
        <v>8</v>
      </c>
      <c r="R4" s="219" t="s">
        <v>1807</v>
      </c>
      <c r="S4" s="77" t="s">
        <v>1220</v>
      </c>
      <c r="T4" s="77">
        <v>1.5</v>
      </c>
      <c r="U4" s="77">
        <v>14</v>
      </c>
      <c r="V4" s="227" t="s">
        <v>2469</v>
      </c>
    </row>
    <row r="5" spans="1:22">
      <c r="A5" s="23" t="s">
        <v>572</v>
      </c>
      <c r="B5" s="25" t="s">
        <v>1223</v>
      </c>
      <c r="C5" s="25" t="s">
        <v>2144</v>
      </c>
      <c r="D5" s="25">
        <v>6</v>
      </c>
      <c r="E5" s="25">
        <v>7.5</v>
      </c>
      <c r="F5" s="219">
        <f t="shared" si="0"/>
        <v>2</v>
      </c>
      <c r="G5" s="77" t="str">
        <f t="shared" si="1"/>
        <v>Diện 3</v>
      </c>
      <c r="H5" s="77">
        <f t="shared" si="2"/>
        <v>1</v>
      </c>
      <c r="I5" s="77">
        <f t="shared" si="3"/>
        <v>16.5</v>
      </c>
      <c r="J5" s="227" t="str">
        <f t="shared" si="4"/>
        <v>Passed</v>
      </c>
      <c r="M5" s="23"/>
      <c r="N5" s="25"/>
      <c r="O5" s="25"/>
      <c r="P5" s="25"/>
      <c r="Q5" s="25"/>
      <c r="R5" s="219"/>
      <c r="S5" s="77"/>
      <c r="T5" s="77"/>
      <c r="U5" s="77">
        <v>16.5</v>
      </c>
      <c r="V5" s="227" t="s">
        <v>2469</v>
      </c>
    </row>
    <row r="6" spans="1:22">
      <c r="A6" s="23" t="s">
        <v>571</v>
      </c>
      <c r="B6" s="25" t="s">
        <v>573</v>
      </c>
      <c r="C6" s="25" t="s">
        <v>2327</v>
      </c>
      <c r="D6" s="25">
        <v>5</v>
      </c>
      <c r="E6" s="25">
        <v>3</v>
      </c>
      <c r="F6" s="219">
        <f t="shared" si="0"/>
        <v>1</v>
      </c>
      <c r="G6" s="77" t="str">
        <f t="shared" si="1"/>
        <v>Diện 1</v>
      </c>
      <c r="H6" s="77">
        <f t="shared" si="2"/>
        <v>2</v>
      </c>
      <c r="I6" s="77">
        <f t="shared" si="3"/>
        <v>11</v>
      </c>
      <c r="J6" s="227" t="str">
        <f t="shared" si="4"/>
        <v>Failed</v>
      </c>
    </row>
    <row r="7" spans="1:22" ht="16.5" thickBot="1">
      <c r="A7" s="79" t="s">
        <v>570</v>
      </c>
      <c r="B7" s="153" t="s">
        <v>1218</v>
      </c>
      <c r="C7" s="153" t="s">
        <v>500</v>
      </c>
      <c r="D7" s="153">
        <v>2.5</v>
      </c>
      <c r="E7" s="153">
        <v>4.5</v>
      </c>
      <c r="F7" s="219">
        <f t="shared" si="0"/>
        <v>0</v>
      </c>
      <c r="G7" s="77" t="str">
        <f t="shared" si="1"/>
        <v>Diện 2</v>
      </c>
      <c r="H7" s="77">
        <f t="shared" si="2"/>
        <v>1.5</v>
      </c>
      <c r="I7" s="77">
        <f t="shared" si="3"/>
        <v>8.5</v>
      </c>
      <c r="J7" s="227" t="str">
        <f t="shared" si="4"/>
        <v>Failed</v>
      </c>
    </row>
    <row r="8" spans="1:22" ht="16.5" thickTop="1"/>
    <row r="9" spans="1:22" ht="16.5" thickBot="1">
      <c r="A9" s="946" t="s">
        <v>1267</v>
      </c>
      <c r="B9" s="946"/>
      <c r="C9" s="946"/>
      <c r="D9" s="946"/>
      <c r="F9" s="1012" t="s">
        <v>1513</v>
      </c>
      <c r="G9" s="1012"/>
      <c r="H9" s="1012"/>
    </row>
    <row r="10" spans="1:22" ht="17.25" thickTop="1" thickBot="1">
      <c r="A10" s="1079" t="s">
        <v>1227</v>
      </c>
      <c r="B10" s="1080"/>
      <c r="C10" s="1080"/>
      <c r="D10" s="612">
        <f>MAX(D3:D7)</f>
        <v>6</v>
      </c>
      <c r="F10" s="613" t="s">
        <v>1210</v>
      </c>
      <c r="G10" s="614" t="s">
        <v>1219</v>
      </c>
      <c r="H10" s="82" t="s">
        <v>1226</v>
      </c>
    </row>
    <row r="11" spans="1:22" ht="16.5" thickTop="1">
      <c r="A11" s="1076" t="s">
        <v>1228</v>
      </c>
      <c r="B11" s="1075"/>
      <c r="C11" s="1075"/>
      <c r="D11" s="311">
        <f>MAX(E3:E7)</f>
        <v>8</v>
      </c>
      <c r="F11" s="17" t="s">
        <v>1023</v>
      </c>
      <c r="G11" s="18" t="s">
        <v>1220</v>
      </c>
      <c r="H11" s="84">
        <v>1.5</v>
      </c>
    </row>
    <row r="12" spans="1:22">
      <c r="A12" s="1076" t="s">
        <v>1272</v>
      </c>
      <c r="B12" s="1075"/>
      <c r="C12" s="1075"/>
      <c r="D12" s="311">
        <f>COUNTA(B3:B7)</f>
        <v>5</v>
      </c>
      <c r="F12" s="23" t="s">
        <v>1022</v>
      </c>
      <c r="G12" s="24" t="s">
        <v>1221</v>
      </c>
      <c r="H12" s="88">
        <v>2</v>
      </c>
    </row>
    <row r="13" spans="1:22" ht="16.5" thickBot="1">
      <c r="A13" s="1076" t="s">
        <v>1273</v>
      </c>
      <c r="B13" s="1075"/>
      <c r="C13" s="1075"/>
      <c r="D13" s="311">
        <f>COUNTIF(J3:J7,"Passed")</f>
        <v>2</v>
      </c>
      <c r="F13" s="79" t="s">
        <v>1024</v>
      </c>
      <c r="G13" s="80" t="s">
        <v>1222</v>
      </c>
      <c r="H13" s="90">
        <v>1</v>
      </c>
    </row>
    <row r="14" spans="1:22" ht="17.25" thickTop="1" thickBot="1">
      <c r="A14" s="1077" t="s">
        <v>1274</v>
      </c>
      <c r="B14" s="1078"/>
      <c r="C14" s="1078"/>
      <c r="D14" s="311">
        <f>COUNTIF(J3:J7,"Failed")</f>
        <v>3</v>
      </c>
    </row>
    <row r="15" spans="1:22" ht="17.25" thickTop="1" thickBot="1">
      <c r="F15" s="75" t="s">
        <v>88</v>
      </c>
    </row>
    <row r="16" spans="1:22" ht="33" thickTop="1" thickBot="1">
      <c r="F16" s="354" t="s">
        <v>2494</v>
      </c>
      <c r="I16" s="922" t="s">
        <v>1576</v>
      </c>
      <c r="J16" s="923" t="s">
        <v>2059</v>
      </c>
      <c r="K16" s="923" t="s">
        <v>976</v>
      </c>
      <c r="L16" s="923" t="s">
        <v>386</v>
      </c>
      <c r="M16" s="923" t="s">
        <v>600</v>
      </c>
      <c r="N16" s="923" t="s">
        <v>1225</v>
      </c>
      <c r="O16" s="923" t="s">
        <v>1219</v>
      </c>
      <c r="P16" s="923" t="s">
        <v>1226</v>
      </c>
      <c r="Q16" s="923" t="s">
        <v>2043</v>
      </c>
      <c r="R16" s="75" t="s">
        <v>88</v>
      </c>
    </row>
    <row r="17" spans="1:18" ht="16.5" thickTop="1">
      <c r="I17" s="17" t="s">
        <v>570</v>
      </c>
      <c r="J17" s="19" t="s">
        <v>409</v>
      </c>
      <c r="K17" s="19" t="s">
        <v>500</v>
      </c>
      <c r="L17" s="19">
        <v>4.5</v>
      </c>
      <c r="M17" s="19">
        <v>8</v>
      </c>
      <c r="N17" s="219">
        <v>0</v>
      </c>
      <c r="O17" s="77" t="s">
        <v>1220</v>
      </c>
      <c r="P17" s="77">
        <v>1.5</v>
      </c>
      <c r="Q17" s="77">
        <v>14</v>
      </c>
      <c r="R17" s="227" t="s">
        <v>2494</v>
      </c>
    </row>
    <row r="18" spans="1:18">
      <c r="A18" s="26" t="s">
        <v>1270</v>
      </c>
      <c r="I18" s="23" t="s">
        <v>572</v>
      </c>
      <c r="J18" s="25" t="s">
        <v>1223</v>
      </c>
      <c r="K18" s="25" t="s">
        <v>2144</v>
      </c>
      <c r="L18" s="25">
        <v>6</v>
      </c>
      <c r="M18" s="25">
        <v>7.5</v>
      </c>
      <c r="N18" s="219">
        <v>2</v>
      </c>
      <c r="O18" s="77" t="s">
        <v>1222</v>
      </c>
      <c r="P18" s="77">
        <v>1</v>
      </c>
      <c r="Q18" s="77">
        <v>16.5</v>
      </c>
      <c r="R18" s="227" t="s">
        <v>2494</v>
      </c>
    </row>
    <row r="19" spans="1:18" ht="16.5" thickBot="1">
      <c r="A19" s="26" t="s">
        <v>1269</v>
      </c>
      <c r="I19" s="79"/>
      <c r="J19" s="924"/>
      <c r="K19" s="924"/>
      <c r="L19" s="924"/>
      <c r="M19" s="924"/>
      <c r="N19" s="219"/>
      <c r="O19" s="77"/>
      <c r="P19" s="77"/>
      <c r="Q19" s="77"/>
      <c r="R19" s="227"/>
    </row>
    <row r="20" spans="1:18" ht="16.5" thickTop="1">
      <c r="A20" s="26" t="s">
        <v>1229</v>
      </c>
    </row>
    <row r="21" spans="1:18">
      <c r="A21" s="26" t="s">
        <v>1271</v>
      </c>
    </row>
    <row r="22" spans="1:18">
      <c r="A22" s="26" t="s">
        <v>1268</v>
      </c>
    </row>
    <row r="23" spans="1:18">
      <c r="A23" s="26" t="s">
        <v>1275</v>
      </c>
    </row>
  </sheetData>
  <mergeCells count="8">
    <mergeCell ref="A1:J1"/>
    <mergeCell ref="A11:C11"/>
    <mergeCell ref="A12:C12"/>
    <mergeCell ref="A13:C13"/>
    <mergeCell ref="A14:C14"/>
    <mergeCell ref="A9:D9"/>
    <mergeCell ref="F9:H9"/>
    <mergeCell ref="A10:C10"/>
  </mergeCells>
  <phoneticPr fontId="0" type="noConversion"/>
  <pageMargins left="0.75" right="0.75" top="1" bottom="1" header="0.5" footer="0.5"/>
  <pageSetup paperSize="9" orientation="portrait" r:id="rId1"/>
  <headerFooter alignWithMargins="0">
    <oddFooter>&amp;A</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9"/>
  <sheetViews>
    <sheetView zoomScale="85" zoomScaleNormal="85" workbookViewId="0">
      <selection activeCell="T2" sqref="T2"/>
    </sheetView>
  </sheetViews>
  <sheetFormatPr defaultColWidth="8.875" defaultRowHeight="12.75"/>
  <cols>
    <col min="1" max="1" width="5.75" style="194" customWidth="1"/>
    <col min="2" max="2" width="8.875" style="194"/>
    <col min="3" max="3" width="10.5" style="194" customWidth="1"/>
    <col min="4" max="6" width="8.875" style="194"/>
    <col min="7" max="7" width="11.5" style="194" customWidth="1"/>
    <col min="8" max="8" width="9" style="668" customWidth="1"/>
    <col min="9" max="10" width="7.25" style="194" customWidth="1"/>
    <col min="11" max="11" width="9.125" style="668" bestFit="1" customWidth="1"/>
    <col min="12" max="12" width="8.375" style="668" bestFit="1" customWidth="1"/>
    <col min="13" max="14" width="7.875" style="668" bestFit="1" customWidth="1"/>
    <col min="15" max="15" width="8.125" style="668" bestFit="1" customWidth="1"/>
    <col min="16" max="16" width="7" style="668" bestFit="1" customWidth="1"/>
    <col min="17" max="17" width="8.25" style="668" bestFit="1" customWidth="1"/>
    <col min="18" max="18" width="8.125" style="668" bestFit="1" customWidth="1"/>
    <col min="19" max="19" width="9.125" style="194" bestFit="1" customWidth="1"/>
    <col min="20" max="20" width="21.875" style="194" bestFit="1" customWidth="1"/>
    <col min="21" max="21" width="8.875" style="194"/>
    <col min="22" max="22" width="9.25" style="194" customWidth="1"/>
    <col min="23" max="16384" width="8.875" style="194"/>
  </cols>
  <sheetData>
    <row r="1" spans="1:23" s="663" customFormat="1" ht="66.75" customHeight="1">
      <c r="A1" s="651" t="s">
        <v>294</v>
      </c>
      <c r="B1" s="652" t="s">
        <v>295</v>
      </c>
      <c r="C1" s="651" t="s">
        <v>296</v>
      </c>
      <c r="D1" s="653" t="s">
        <v>2385</v>
      </c>
      <c r="E1" s="654" t="s">
        <v>297</v>
      </c>
      <c r="F1" s="652" t="s">
        <v>298</v>
      </c>
      <c r="G1" s="651" t="s">
        <v>299</v>
      </c>
      <c r="H1" s="655" t="s">
        <v>300</v>
      </c>
      <c r="I1" s="656" t="s">
        <v>301</v>
      </c>
      <c r="J1" s="656" t="s">
        <v>302</v>
      </c>
      <c r="K1" s="655" t="s">
        <v>303</v>
      </c>
      <c r="L1" s="657" t="s">
        <v>304</v>
      </c>
      <c r="M1" s="657" t="s">
        <v>305</v>
      </c>
      <c r="N1" s="657" t="s">
        <v>306</v>
      </c>
      <c r="O1" s="657" t="s">
        <v>307</v>
      </c>
      <c r="P1" s="657" t="s">
        <v>308</v>
      </c>
      <c r="Q1" s="657" t="s">
        <v>309</v>
      </c>
      <c r="R1" s="658" t="s">
        <v>310</v>
      </c>
      <c r="S1" s="659" t="s">
        <v>311</v>
      </c>
      <c r="T1" s="660" t="s">
        <v>312</v>
      </c>
      <c r="U1" s="660" t="s">
        <v>649</v>
      </c>
      <c r="V1" s="661" t="s">
        <v>313</v>
      </c>
      <c r="W1" s="662"/>
    </row>
    <row r="2" spans="1:23" ht="24.95" customHeight="1">
      <c r="A2" s="664">
        <v>1</v>
      </c>
      <c r="B2" s="664"/>
      <c r="C2" s="664" t="s">
        <v>314</v>
      </c>
      <c r="D2" s="664" t="s">
        <v>315</v>
      </c>
      <c r="E2" s="664"/>
      <c r="F2" s="664" t="s">
        <v>316</v>
      </c>
      <c r="G2" s="664" t="s">
        <v>1249</v>
      </c>
      <c r="H2" s="665">
        <v>38858</v>
      </c>
      <c r="I2" s="664"/>
      <c r="J2" s="664"/>
      <c r="K2" s="665">
        <v>40664</v>
      </c>
      <c r="L2" s="665"/>
      <c r="M2" s="665"/>
      <c r="N2" s="665"/>
      <c r="O2" s="665"/>
      <c r="P2" s="665"/>
      <c r="Q2" s="665"/>
      <c r="R2" s="665"/>
      <c r="S2" s="664"/>
      <c r="T2" s="664" t="str">
        <f>IF(K2&lt;&gt;0,"Da co chu quyen","Chua co chu quyen")</f>
        <v>Da co chu quyen</v>
      </c>
      <c r="U2" s="664"/>
      <c r="V2" s="666"/>
      <c r="W2" s="664"/>
    </row>
    <row r="3" spans="1:23" ht="24.95" customHeight="1">
      <c r="A3" s="664">
        <f t="shared" ref="A3:A28" si="0">1+A2</f>
        <v>2</v>
      </c>
      <c r="B3" s="664" t="s">
        <v>317</v>
      </c>
      <c r="C3" s="664" t="s">
        <v>314</v>
      </c>
      <c r="D3" s="664" t="s">
        <v>318</v>
      </c>
      <c r="E3" s="664"/>
      <c r="F3" s="664" t="s">
        <v>316</v>
      </c>
      <c r="G3" s="664" t="s">
        <v>319</v>
      </c>
      <c r="H3" s="665">
        <v>39254</v>
      </c>
      <c r="I3" s="664"/>
      <c r="J3" s="664"/>
      <c r="K3" s="665"/>
      <c r="L3" s="665">
        <v>40695</v>
      </c>
      <c r="M3" s="665"/>
      <c r="N3" s="665"/>
      <c r="O3" s="665"/>
      <c r="P3" s="665"/>
      <c r="Q3" s="665"/>
      <c r="R3" s="665"/>
      <c r="S3" s="664"/>
      <c r="T3" s="664" t="str">
        <f t="shared" ref="T3:T28" si="1">IF(K3&lt;&gt;0,"Da co chu quyen","Chua co chu quyen")</f>
        <v>Chua co chu quyen</v>
      </c>
      <c r="U3" s="664"/>
      <c r="V3" s="666"/>
      <c r="W3" s="664"/>
    </row>
    <row r="4" spans="1:23" ht="24.95" customHeight="1">
      <c r="A4" s="664">
        <f t="shared" si="0"/>
        <v>3</v>
      </c>
      <c r="B4" s="664" t="s">
        <v>317</v>
      </c>
      <c r="C4" s="664" t="s">
        <v>314</v>
      </c>
      <c r="D4" s="664" t="s">
        <v>320</v>
      </c>
      <c r="E4" s="664"/>
      <c r="F4" s="664" t="s">
        <v>316</v>
      </c>
      <c r="G4" s="664" t="s">
        <v>321</v>
      </c>
      <c r="H4" s="665">
        <v>39670</v>
      </c>
      <c r="I4" s="664"/>
      <c r="J4" s="664"/>
      <c r="K4" s="665"/>
      <c r="L4" s="665"/>
      <c r="M4" s="665">
        <v>40634</v>
      </c>
      <c r="N4" s="665"/>
      <c r="O4" s="665"/>
      <c r="P4" s="665"/>
      <c r="Q4" s="665"/>
      <c r="R4" s="665"/>
      <c r="S4" s="664"/>
      <c r="T4" s="664" t="str">
        <f t="shared" si="1"/>
        <v>Chua co chu quyen</v>
      </c>
      <c r="U4" s="664"/>
      <c r="V4" s="664"/>
      <c r="W4" s="664"/>
    </row>
    <row r="5" spans="1:23" ht="24.95" customHeight="1">
      <c r="A5" s="664">
        <f t="shared" si="0"/>
        <v>4</v>
      </c>
      <c r="B5" s="664" t="s">
        <v>317</v>
      </c>
      <c r="C5" s="664" t="s">
        <v>322</v>
      </c>
      <c r="D5" s="664" t="s">
        <v>323</v>
      </c>
      <c r="E5" s="664"/>
      <c r="F5" s="664" t="s">
        <v>316</v>
      </c>
      <c r="G5" s="664" t="s">
        <v>324</v>
      </c>
      <c r="H5" s="665">
        <v>40098</v>
      </c>
      <c r="I5" s="664"/>
      <c r="J5" s="664"/>
      <c r="K5" s="665"/>
      <c r="L5" s="665"/>
      <c r="M5" s="665"/>
      <c r="N5" s="665">
        <v>40547</v>
      </c>
      <c r="O5" s="665"/>
      <c r="P5" s="665"/>
      <c r="Q5" s="665"/>
      <c r="R5" s="665"/>
      <c r="S5" s="664"/>
      <c r="T5" s="664" t="str">
        <f t="shared" si="1"/>
        <v>Chua co chu quyen</v>
      </c>
      <c r="U5" s="664"/>
      <c r="V5" s="664"/>
      <c r="W5" s="664"/>
    </row>
    <row r="6" spans="1:23" ht="24.95" customHeight="1">
      <c r="A6" s="664">
        <f t="shared" si="0"/>
        <v>5</v>
      </c>
      <c r="B6" s="664" t="s">
        <v>317</v>
      </c>
      <c r="C6" s="664" t="s">
        <v>322</v>
      </c>
      <c r="D6" s="664" t="s">
        <v>325</v>
      </c>
      <c r="E6" s="664"/>
      <c r="F6" s="664" t="s">
        <v>316</v>
      </c>
      <c r="G6" s="664" t="s">
        <v>326</v>
      </c>
      <c r="H6" s="665">
        <v>38082</v>
      </c>
      <c r="I6" s="664"/>
      <c r="J6" s="664"/>
      <c r="K6" s="665"/>
      <c r="L6" s="665"/>
      <c r="M6" s="665"/>
      <c r="N6" s="665"/>
      <c r="O6" s="665">
        <v>40431</v>
      </c>
      <c r="P6" s="665"/>
      <c r="Q6" s="665"/>
      <c r="R6" s="665"/>
      <c r="S6" s="664"/>
      <c r="T6" s="664" t="str">
        <f t="shared" si="1"/>
        <v>Chua co chu quyen</v>
      </c>
      <c r="U6" s="664"/>
      <c r="V6" s="664"/>
      <c r="W6" s="664"/>
    </row>
    <row r="7" spans="1:23" ht="24.95" customHeight="1">
      <c r="A7" s="664">
        <f t="shared" si="0"/>
        <v>6</v>
      </c>
      <c r="B7" s="664" t="s">
        <v>317</v>
      </c>
      <c r="C7" s="664" t="s">
        <v>327</v>
      </c>
      <c r="D7" s="664" t="s">
        <v>328</v>
      </c>
      <c r="E7" s="664"/>
      <c r="F7" s="664" t="s">
        <v>316</v>
      </c>
      <c r="G7" s="664" t="s">
        <v>329</v>
      </c>
      <c r="H7" s="665">
        <v>38082</v>
      </c>
      <c r="I7" s="664"/>
      <c r="J7" s="664"/>
      <c r="K7" s="665"/>
      <c r="L7" s="665"/>
      <c r="M7" s="665"/>
      <c r="N7" s="665"/>
      <c r="O7" s="665"/>
      <c r="P7" s="665">
        <v>40544</v>
      </c>
      <c r="Q7" s="665"/>
      <c r="R7" s="665"/>
      <c r="S7" s="664"/>
      <c r="T7" s="664" t="str">
        <f t="shared" si="1"/>
        <v>Chua co chu quyen</v>
      </c>
      <c r="U7" s="664"/>
      <c r="V7" s="664"/>
      <c r="W7" s="664"/>
    </row>
    <row r="8" spans="1:23" ht="24.95" customHeight="1">
      <c r="A8" s="664">
        <f t="shared" si="0"/>
        <v>7</v>
      </c>
      <c r="B8" s="664" t="s">
        <v>330</v>
      </c>
      <c r="C8" s="664" t="s">
        <v>331</v>
      </c>
      <c r="D8" s="664" t="s">
        <v>332</v>
      </c>
      <c r="E8" s="664"/>
      <c r="F8" s="664" t="s">
        <v>316</v>
      </c>
      <c r="G8" s="664" t="s">
        <v>333</v>
      </c>
      <c r="H8" s="665">
        <v>38082</v>
      </c>
      <c r="I8" s="664"/>
      <c r="J8" s="664"/>
      <c r="K8" s="665"/>
      <c r="L8" s="665"/>
      <c r="M8" s="665"/>
      <c r="N8" s="665"/>
      <c r="O8" s="665"/>
      <c r="P8" s="665"/>
      <c r="Q8" s="665">
        <v>40664</v>
      </c>
      <c r="R8" s="665"/>
      <c r="S8" s="664"/>
      <c r="T8" s="664" t="str">
        <f t="shared" si="1"/>
        <v>Chua co chu quyen</v>
      </c>
      <c r="U8" s="664"/>
      <c r="V8" s="664"/>
      <c r="W8" s="664"/>
    </row>
    <row r="9" spans="1:23" ht="24.95" customHeight="1">
      <c r="A9" s="664">
        <f t="shared" si="0"/>
        <v>8</v>
      </c>
      <c r="B9" s="664" t="s">
        <v>330</v>
      </c>
      <c r="C9" s="664" t="s">
        <v>334</v>
      </c>
      <c r="D9" s="664" t="s">
        <v>335</v>
      </c>
      <c r="E9" s="664"/>
      <c r="F9" s="664" t="s">
        <v>316</v>
      </c>
      <c r="G9" s="664" t="s">
        <v>1249</v>
      </c>
      <c r="H9" s="665">
        <v>38082</v>
      </c>
      <c r="I9" s="664"/>
      <c r="J9" s="664"/>
      <c r="K9" s="665"/>
      <c r="L9" s="665"/>
      <c r="M9" s="665"/>
      <c r="N9" s="665"/>
      <c r="O9" s="665"/>
      <c r="P9" s="665"/>
      <c r="Q9" s="665"/>
      <c r="R9" s="665">
        <v>40725</v>
      </c>
      <c r="S9" s="664"/>
      <c r="T9" s="664" t="str">
        <f t="shared" si="1"/>
        <v>Chua co chu quyen</v>
      </c>
      <c r="U9" s="664"/>
      <c r="V9" s="664"/>
      <c r="W9" s="664"/>
    </row>
    <row r="10" spans="1:23" ht="24.95" customHeight="1">
      <c r="A10" s="664">
        <f t="shared" si="0"/>
        <v>9</v>
      </c>
      <c r="B10" s="664" t="s">
        <v>330</v>
      </c>
      <c r="C10" s="664" t="s">
        <v>336</v>
      </c>
      <c r="D10" s="664" t="s">
        <v>337</v>
      </c>
      <c r="E10" s="664"/>
      <c r="F10" s="664" t="s">
        <v>338</v>
      </c>
      <c r="G10" s="664" t="s">
        <v>339</v>
      </c>
      <c r="H10" s="665">
        <v>38082</v>
      </c>
      <c r="I10" s="664"/>
      <c r="J10" s="664"/>
      <c r="K10" s="665"/>
      <c r="L10" s="665"/>
      <c r="M10" s="665"/>
      <c r="N10" s="665"/>
      <c r="O10" s="665"/>
      <c r="P10" s="665"/>
      <c r="Q10" s="665"/>
      <c r="R10" s="665"/>
      <c r="S10" s="667">
        <v>40795</v>
      </c>
      <c r="T10" s="664" t="str">
        <f t="shared" si="1"/>
        <v>Chua co chu quyen</v>
      </c>
      <c r="U10" s="664"/>
      <c r="V10" s="664"/>
      <c r="W10" s="664"/>
    </row>
    <row r="11" spans="1:23" ht="24.95" customHeight="1">
      <c r="A11" s="664">
        <f t="shared" si="0"/>
        <v>10</v>
      </c>
      <c r="B11" s="664" t="s">
        <v>330</v>
      </c>
      <c r="C11" s="664" t="s">
        <v>336</v>
      </c>
      <c r="D11" s="664" t="s">
        <v>340</v>
      </c>
      <c r="E11" s="664"/>
      <c r="F11" s="664" t="s">
        <v>338</v>
      </c>
      <c r="G11" s="664" t="s">
        <v>341</v>
      </c>
      <c r="H11" s="665">
        <v>38082</v>
      </c>
      <c r="I11" s="664"/>
      <c r="J11" s="664"/>
      <c r="K11" s="665">
        <v>40664</v>
      </c>
      <c r="L11" s="665"/>
      <c r="M11" s="665"/>
      <c r="N11" s="665"/>
      <c r="O11" s="665"/>
      <c r="P11" s="665"/>
      <c r="Q11" s="665"/>
      <c r="R11" s="665"/>
      <c r="S11" s="664"/>
      <c r="T11" s="664" t="str">
        <f t="shared" si="1"/>
        <v>Da co chu quyen</v>
      </c>
      <c r="U11" s="664"/>
      <c r="V11" s="664"/>
      <c r="W11" s="664"/>
    </row>
    <row r="12" spans="1:23" ht="24.95" customHeight="1">
      <c r="A12" s="664">
        <f t="shared" si="0"/>
        <v>11</v>
      </c>
      <c r="B12" s="664" t="s">
        <v>330</v>
      </c>
      <c r="C12" s="664" t="s">
        <v>336</v>
      </c>
      <c r="D12" s="664" t="s">
        <v>342</v>
      </c>
      <c r="E12" s="664"/>
      <c r="F12" s="664" t="s">
        <v>338</v>
      </c>
      <c r="G12" s="664" t="s">
        <v>343</v>
      </c>
      <c r="H12" s="665">
        <v>38082</v>
      </c>
      <c r="I12" s="664"/>
      <c r="J12" s="664"/>
      <c r="K12" s="665"/>
      <c r="L12" s="665">
        <v>40695</v>
      </c>
      <c r="M12" s="665"/>
      <c r="N12" s="665"/>
      <c r="O12" s="665"/>
      <c r="P12" s="665"/>
      <c r="Q12" s="665"/>
      <c r="R12" s="665"/>
      <c r="S12" s="664"/>
      <c r="T12" s="664" t="str">
        <f t="shared" si="1"/>
        <v>Chua co chu quyen</v>
      </c>
      <c r="U12" s="664"/>
      <c r="V12" s="664"/>
      <c r="W12" s="664"/>
    </row>
    <row r="13" spans="1:23" ht="24.95" customHeight="1">
      <c r="A13" s="664">
        <f t="shared" si="0"/>
        <v>12</v>
      </c>
      <c r="B13" s="664" t="s">
        <v>330</v>
      </c>
      <c r="C13" s="664" t="s">
        <v>336</v>
      </c>
      <c r="D13" s="664" t="s">
        <v>344</v>
      </c>
      <c r="E13" s="664"/>
      <c r="F13" s="664" t="s">
        <v>338</v>
      </c>
      <c r="G13" s="664" t="s">
        <v>343</v>
      </c>
      <c r="H13" s="665">
        <v>38082</v>
      </c>
      <c r="I13" s="664"/>
      <c r="J13" s="664"/>
      <c r="K13" s="665"/>
      <c r="L13" s="665"/>
      <c r="M13" s="665">
        <v>40634</v>
      </c>
      <c r="N13" s="665"/>
      <c r="O13" s="665"/>
      <c r="P13" s="665"/>
      <c r="Q13" s="665"/>
      <c r="R13" s="665"/>
      <c r="S13" s="664"/>
      <c r="T13" s="664" t="str">
        <f t="shared" si="1"/>
        <v>Chua co chu quyen</v>
      </c>
      <c r="U13" s="664"/>
      <c r="V13" s="664"/>
      <c r="W13" s="664"/>
    </row>
    <row r="14" spans="1:23" ht="24.95" customHeight="1">
      <c r="A14" s="664">
        <f t="shared" si="0"/>
        <v>13</v>
      </c>
      <c r="B14" s="664" t="s">
        <v>330</v>
      </c>
      <c r="C14" s="664" t="s">
        <v>336</v>
      </c>
      <c r="D14" s="664" t="s">
        <v>345</v>
      </c>
      <c r="E14" s="664"/>
      <c r="F14" s="664" t="s">
        <v>338</v>
      </c>
      <c r="G14" s="664" t="s">
        <v>343</v>
      </c>
      <c r="H14" s="665">
        <v>39669</v>
      </c>
      <c r="I14" s="664"/>
      <c r="J14" s="664"/>
      <c r="K14" s="665"/>
      <c r="L14" s="665"/>
      <c r="M14" s="665"/>
      <c r="N14" s="665">
        <v>40547</v>
      </c>
      <c r="O14" s="665"/>
      <c r="P14" s="665"/>
      <c r="Q14" s="665"/>
      <c r="R14" s="665"/>
      <c r="S14" s="664"/>
      <c r="T14" s="664" t="str">
        <f t="shared" si="1"/>
        <v>Chua co chu quyen</v>
      </c>
      <c r="U14" s="664"/>
      <c r="V14" s="664"/>
      <c r="W14" s="664"/>
    </row>
    <row r="15" spans="1:23" ht="24.95" customHeight="1">
      <c r="A15" s="664">
        <f t="shared" si="0"/>
        <v>14</v>
      </c>
      <c r="B15" s="664" t="s">
        <v>313</v>
      </c>
      <c r="C15" s="664" t="s">
        <v>346</v>
      </c>
      <c r="D15" s="664" t="s">
        <v>347</v>
      </c>
      <c r="E15" s="664"/>
      <c r="F15" s="664" t="s">
        <v>338</v>
      </c>
      <c r="G15" s="664" t="s">
        <v>343</v>
      </c>
      <c r="H15" s="665">
        <v>40399</v>
      </c>
      <c r="I15" s="664"/>
      <c r="J15" s="664"/>
      <c r="K15" s="665"/>
      <c r="L15" s="665"/>
      <c r="M15" s="665"/>
      <c r="N15" s="665"/>
      <c r="O15" s="665">
        <v>40431</v>
      </c>
      <c r="P15" s="665"/>
      <c r="Q15" s="665"/>
      <c r="R15" s="665"/>
      <c r="S15" s="664"/>
      <c r="T15" s="664" t="str">
        <f t="shared" si="1"/>
        <v>Chua co chu quyen</v>
      </c>
      <c r="U15" s="664"/>
      <c r="V15" s="664"/>
      <c r="W15" s="664"/>
    </row>
    <row r="16" spans="1:23" ht="24.95" customHeight="1">
      <c r="A16" s="664">
        <f t="shared" si="0"/>
        <v>15</v>
      </c>
      <c r="B16" s="664" t="s">
        <v>313</v>
      </c>
      <c r="C16" s="664" t="s">
        <v>346</v>
      </c>
      <c r="D16" s="664" t="s">
        <v>348</v>
      </c>
      <c r="E16" s="664"/>
      <c r="F16" s="664" t="s">
        <v>338</v>
      </c>
      <c r="G16" s="664" t="s">
        <v>349</v>
      </c>
      <c r="H16" s="665">
        <v>39699</v>
      </c>
      <c r="I16" s="664"/>
      <c r="J16" s="664"/>
      <c r="K16" s="665"/>
      <c r="L16" s="665"/>
      <c r="M16" s="665"/>
      <c r="N16" s="665"/>
      <c r="O16" s="665"/>
      <c r="P16" s="665">
        <v>40544</v>
      </c>
      <c r="Q16" s="665"/>
      <c r="R16" s="665"/>
      <c r="S16" s="664"/>
      <c r="T16" s="664" t="str">
        <f t="shared" si="1"/>
        <v>Chua co chu quyen</v>
      </c>
      <c r="U16" s="664"/>
      <c r="V16" s="664"/>
      <c r="W16" s="664"/>
    </row>
    <row r="17" spans="1:23" ht="24.95" customHeight="1">
      <c r="A17" s="664">
        <f t="shared" si="0"/>
        <v>16</v>
      </c>
      <c r="B17" s="664" t="s">
        <v>313</v>
      </c>
      <c r="C17" s="664" t="s">
        <v>346</v>
      </c>
      <c r="D17" s="664" t="s">
        <v>350</v>
      </c>
      <c r="E17" s="664"/>
      <c r="F17" s="664" t="s">
        <v>351</v>
      </c>
      <c r="G17" s="664" t="s">
        <v>352</v>
      </c>
      <c r="H17" s="665">
        <v>39604</v>
      </c>
      <c r="I17" s="664"/>
      <c r="J17" s="664"/>
      <c r="K17" s="665"/>
      <c r="L17" s="665"/>
      <c r="M17" s="665"/>
      <c r="N17" s="665"/>
      <c r="O17" s="665"/>
      <c r="P17" s="665"/>
      <c r="Q17" s="665">
        <v>40664</v>
      </c>
      <c r="R17" s="665"/>
      <c r="S17" s="664"/>
      <c r="T17" s="664" t="str">
        <f t="shared" si="1"/>
        <v>Chua co chu quyen</v>
      </c>
      <c r="U17" s="664"/>
      <c r="V17" s="664"/>
      <c r="W17" s="664"/>
    </row>
    <row r="18" spans="1:23" ht="24.95" customHeight="1">
      <c r="A18" s="664">
        <f t="shared" si="0"/>
        <v>17</v>
      </c>
      <c r="B18" s="664" t="s">
        <v>313</v>
      </c>
      <c r="C18" s="664" t="s">
        <v>353</v>
      </c>
      <c r="D18" s="664" t="s">
        <v>354</v>
      </c>
      <c r="E18" s="664"/>
      <c r="F18" s="664" t="s">
        <v>351</v>
      </c>
      <c r="G18" s="664" t="s">
        <v>1249</v>
      </c>
      <c r="H18" s="665">
        <v>39604</v>
      </c>
      <c r="I18" s="664"/>
      <c r="J18" s="664"/>
      <c r="K18" s="665"/>
      <c r="L18" s="665"/>
      <c r="M18" s="665"/>
      <c r="N18" s="665"/>
      <c r="O18" s="665"/>
      <c r="P18" s="665"/>
      <c r="Q18" s="665"/>
      <c r="R18" s="665">
        <v>40725</v>
      </c>
      <c r="S18" s="664"/>
      <c r="T18" s="664" t="str">
        <f t="shared" si="1"/>
        <v>Chua co chu quyen</v>
      </c>
      <c r="U18" s="664"/>
      <c r="V18" s="664"/>
      <c r="W18" s="664"/>
    </row>
    <row r="19" spans="1:23" ht="24.95" customHeight="1">
      <c r="A19" s="664">
        <f t="shared" si="0"/>
        <v>18</v>
      </c>
      <c r="B19" s="664" t="s">
        <v>313</v>
      </c>
      <c r="C19" s="664" t="s">
        <v>355</v>
      </c>
      <c r="D19" s="664" t="s">
        <v>356</v>
      </c>
      <c r="E19" s="664"/>
      <c r="F19" s="664" t="s">
        <v>351</v>
      </c>
      <c r="G19" s="664" t="s">
        <v>339</v>
      </c>
      <c r="H19" s="665">
        <v>39604</v>
      </c>
      <c r="I19" s="664"/>
      <c r="J19" s="664"/>
      <c r="K19" s="665"/>
      <c r="L19" s="665"/>
      <c r="M19" s="665"/>
      <c r="N19" s="665"/>
      <c r="O19" s="665"/>
      <c r="P19" s="665"/>
      <c r="Q19" s="665"/>
      <c r="R19" s="665"/>
      <c r="S19" s="667">
        <v>40795</v>
      </c>
      <c r="T19" s="664" t="str">
        <f t="shared" si="1"/>
        <v>Chua co chu quyen</v>
      </c>
      <c r="U19" s="664"/>
      <c r="V19" s="664"/>
      <c r="W19" s="664"/>
    </row>
    <row r="20" spans="1:23" ht="24.95" customHeight="1">
      <c r="A20" s="664">
        <f t="shared" si="0"/>
        <v>19</v>
      </c>
      <c r="B20" s="664" t="s">
        <v>313</v>
      </c>
      <c r="C20" s="664" t="s">
        <v>357</v>
      </c>
      <c r="D20" s="664" t="s">
        <v>358</v>
      </c>
      <c r="E20" s="664"/>
      <c r="F20" s="664" t="s">
        <v>351</v>
      </c>
      <c r="G20" s="664" t="s">
        <v>341</v>
      </c>
      <c r="H20" s="665">
        <v>39604</v>
      </c>
      <c r="I20" s="664"/>
      <c r="J20" s="664"/>
      <c r="K20" s="665">
        <v>40695</v>
      </c>
      <c r="L20" s="665"/>
      <c r="M20" s="665"/>
      <c r="N20" s="665"/>
      <c r="O20" s="665"/>
      <c r="P20" s="665"/>
      <c r="Q20" s="665"/>
      <c r="R20" s="665"/>
      <c r="S20" s="664"/>
      <c r="T20" s="664" t="str">
        <f t="shared" si="1"/>
        <v>Da co chu quyen</v>
      </c>
      <c r="U20" s="664"/>
      <c r="V20" s="664"/>
      <c r="W20" s="664"/>
    </row>
    <row r="21" spans="1:23" ht="24.95" customHeight="1">
      <c r="A21" s="664">
        <f t="shared" si="0"/>
        <v>20</v>
      </c>
      <c r="B21" s="664" t="s">
        <v>313</v>
      </c>
      <c r="C21" s="664" t="s">
        <v>359</v>
      </c>
      <c r="D21" s="664" t="s">
        <v>360</v>
      </c>
      <c r="E21" s="664"/>
      <c r="F21" s="664" t="s">
        <v>351</v>
      </c>
      <c r="G21" s="664" t="s">
        <v>343</v>
      </c>
      <c r="H21" s="665">
        <v>39604</v>
      </c>
      <c r="I21" s="664"/>
      <c r="J21" s="664"/>
      <c r="K21" s="665">
        <v>40756</v>
      </c>
      <c r="L21" s="665"/>
      <c r="M21" s="665"/>
      <c r="N21" s="665"/>
      <c r="O21" s="665"/>
      <c r="P21" s="665"/>
      <c r="Q21" s="665"/>
      <c r="R21" s="665"/>
      <c r="S21" s="664"/>
      <c r="T21" s="664" t="str">
        <f t="shared" si="1"/>
        <v>Da co chu quyen</v>
      </c>
      <c r="U21" s="664"/>
      <c r="V21" s="664"/>
      <c r="W21" s="664"/>
    </row>
    <row r="22" spans="1:23" ht="24.95" customHeight="1">
      <c r="A22" s="664">
        <f t="shared" si="0"/>
        <v>21</v>
      </c>
      <c r="B22" s="664" t="s">
        <v>361</v>
      </c>
      <c r="C22" s="664" t="s">
        <v>362</v>
      </c>
      <c r="D22" s="664" t="s">
        <v>363</v>
      </c>
      <c r="E22" s="664"/>
      <c r="F22" s="664" t="s">
        <v>351</v>
      </c>
      <c r="G22" s="664" t="s">
        <v>343</v>
      </c>
      <c r="H22" s="665">
        <v>40068</v>
      </c>
      <c r="I22" s="664"/>
      <c r="J22" s="664"/>
      <c r="K22" s="665"/>
      <c r="L22" s="665">
        <v>40756</v>
      </c>
      <c r="M22" s="665"/>
      <c r="N22" s="665"/>
      <c r="O22" s="665"/>
      <c r="P22" s="665"/>
      <c r="Q22" s="665"/>
      <c r="R22" s="665"/>
      <c r="S22" s="664"/>
      <c r="T22" s="664" t="str">
        <f t="shared" si="1"/>
        <v>Chua co chu quyen</v>
      </c>
      <c r="U22" s="664"/>
      <c r="V22" s="664"/>
      <c r="W22" s="664"/>
    </row>
    <row r="23" spans="1:23" ht="24.95" customHeight="1">
      <c r="A23" s="664">
        <f t="shared" si="0"/>
        <v>22</v>
      </c>
      <c r="B23" s="664" t="s">
        <v>361</v>
      </c>
      <c r="C23" s="664" t="s">
        <v>362</v>
      </c>
      <c r="D23" s="664" t="s">
        <v>364</v>
      </c>
      <c r="E23" s="664"/>
      <c r="F23" s="664" t="s">
        <v>351</v>
      </c>
      <c r="G23" s="664" t="s">
        <v>343</v>
      </c>
      <c r="H23" s="665">
        <v>40156</v>
      </c>
      <c r="I23" s="664"/>
      <c r="J23" s="664"/>
      <c r="K23" s="665"/>
      <c r="L23" s="665">
        <v>40756</v>
      </c>
      <c r="M23" s="665"/>
      <c r="N23" s="665"/>
      <c r="O23" s="665"/>
      <c r="P23" s="665"/>
      <c r="Q23" s="665"/>
      <c r="R23" s="665"/>
      <c r="S23" s="664"/>
      <c r="T23" s="664" t="str">
        <f t="shared" si="1"/>
        <v>Chua co chu quyen</v>
      </c>
      <c r="U23" s="664"/>
      <c r="V23" s="664"/>
      <c r="W23" s="664"/>
    </row>
    <row r="24" spans="1:23" ht="24.95" customHeight="1">
      <c r="A24" s="664">
        <f t="shared" si="0"/>
        <v>23</v>
      </c>
      <c r="B24" s="664" t="s">
        <v>361</v>
      </c>
      <c r="C24" s="664" t="s">
        <v>362</v>
      </c>
      <c r="D24" s="664" t="s">
        <v>365</v>
      </c>
      <c r="E24" s="664"/>
      <c r="F24" s="664" t="s">
        <v>351</v>
      </c>
      <c r="G24" s="664" t="s">
        <v>1249</v>
      </c>
      <c r="H24" s="665">
        <v>38899</v>
      </c>
      <c r="I24" s="664"/>
      <c r="J24" s="664"/>
      <c r="K24" s="665"/>
      <c r="L24" s="665"/>
      <c r="N24" s="665"/>
      <c r="O24" s="665"/>
      <c r="P24" s="665"/>
      <c r="Q24" s="665">
        <v>40756</v>
      </c>
      <c r="R24" s="665"/>
      <c r="S24" s="664"/>
      <c r="T24" s="664" t="str">
        <f t="shared" si="1"/>
        <v>Chua co chu quyen</v>
      </c>
      <c r="U24" s="664"/>
      <c r="V24" s="664"/>
      <c r="W24" s="664"/>
    </row>
    <row r="25" spans="1:23" ht="24.95" customHeight="1">
      <c r="A25" s="664">
        <f t="shared" si="0"/>
        <v>24</v>
      </c>
      <c r="B25" s="664" t="s">
        <v>361</v>
      </c>
      <c r="C25" s="664" t="s">
        <v>366</v>
      </c>
      <c r="D25" s="664" t="s">
        <v>367</v>
      </c>
      <c r="E25" s="664"/>
      <c r="F25" s="664" t="s">
        <v>351</v>
      </c>
      <c r="G25" s="664" t="s">
        <v>339</v>
      </c>
      <c r="H25" s="665">
        <v>38898</v>
      </c>
      <c r="I25" s="664"/>
      <c r="J25" s="664"/>
      <c r="K25" s="665"/>
      <c r="L25" s="665"/>
      <c r="M25" s="665">
        <v>40756</v>
      </c>
      <c r="N25" s="665"/>
      <c r="O25" s="665"/>
      <c r="P25" s="665"/>
      <c r="Q25" s="665"/>
      <c r="R25" s="665"/>
      <c r="S25" s="664"/>
      <c r="T25" s="664" t="str">
        <f t="shared" si="1"/>
        <v>Chua co chu quyen</v>
      </c>
      <c r="U25" s="664"/>
      <c r="V25" s="664"/>
      <c r="W25" s="664"/>
    </row>
    <row r="26" spans="1:23" ht="24.95" customHeight="1">
      <c r="A26" s="664">
        <f t="shared" si="0"/>
        <v>25</v>
      </c>
      <c r="B26" s="664" t="s">
        <v>361</v>
      </c>
      <c r="C26" s="664" t="s">
        <v>366</v>
      </c>
      <c r="D26" s="664" t="s">
        <v>368</v>
      </c>
      <c r="E26" s="664"/>
      <c r="F26" s="664" t="s">
        <v>351</v>
      </c>
      <c r="G26" s="664" t="s">
        <v>341</v>
      </c>
      <c r="H26" s="665">
        <v>39333</v>
      </c>
      <c r="I26" s="664"/>
      <c r="J26" s="664"/>
      <c r="K26" s="665"/>
      <c r="L26" s="665"/>
      <c r="M26" s="665"/>
      <c r="N26" s="665"/>
      <c r="P26" s="665"/>
      <c r="Q26" s="665"/>
      <c r="R26" s="665">
        <v>40794</v>
      </c>
      <c r="S26" s="664"/>
      <c r="T26" s="664" t="str">
        <f t="shared" si="1"/>
        <v>Chua co chu quyen</v>
      </c>
      <c r="U26" s="664"/>
      <c r="V26" s="664"/>
      <c r="W26" s="664"/>
    </row>
    <row r="27" spans="1:23" ht="24.95" customHeight="1">
      <c r="A27" s="664">
        <f t="shared" si="0"/>
        <v>26</v>
      </c>
      <c r="B27" s="664" t="s">
        <v>361</v>
      </c>
      <c r="C27" s="664" t="s">
        <v>366</v>
      </c>
      <c r="D27" s="664" t="s">
        <v>369</v>
      </c>
      <c r="E27" s="664"/>
      <c r="F27" s="664" t="s">
        <v>351</v>
      </c>
      <c r="G27" s="664" t="s">
        <v>343</v>
      </c>
      <c r="H27" s="665">
        <v>38899</v>
      </c>
      <c r="I27" s="664"/>
      <c r="J27" s="664"/>
      <c r="K27" s="665"/>
      <c r="L27" s="665"/>
      <c r="M27" s="665"/>
      <c r="N27" s="665"/>
      <c r="P27" s="665"/>
      <c r="Q27" s="665"/>
      <c r="R27" s="665">
        <v>40640</v>
      </c>
      <c r="S27" s="664"/>
      <c r="T27" s="664" t="str">
        <f t="shared" si="1"/>
        <v>Chua co chu quyen</v>
      </c>
      <c r="U27" s="664"/>
      <c r="V27" s="664"/>
      <c r="W27" s="664"/>
    </row>
    <row r="28" spans="1:23" ht="24.95" customHeight="1">
      <c r="A28" s="664">
        <f t="shared" si="0"/>
        <v>27</v>
      </c>
      <c r="B28" s="664"/>
      <c r="C28" s="664"/>
      <c r="D28" s="664"/>
      <c r="E28" s="664"/>
      <c r="F28" s="664"/>
      <c r="G28" s="664"/>
      <c r="H28" s="665"/>
      <c r="I28" s="664"/>
      <c r="J28" s="664"/>
      <c r="K28" s="665"/>
      <c r="L28" s="665"/>
      <c r="M28" s="665"/>
      <c r="N28" s="665"/>
      <c r="O28" s="665"/>
      <c r="P28" s="665"/>
      <c r="Q28" s="665"/>
      <c r="R28" s="665"/>
      <c r="S28" s="664"/>
      <c r="T28" s="664" t="str">
        <f t="shared" si="1"/>
        <v>Chua co chu quyen</v>
      </c>
      <c r="U28" s="664"/>
      <c r="V28" s="664"/>
      <c r="W28" s="664"/>
    </row>
    <row r="29" spans="1:23" ht="24.95" customHeight="1">
      <c r="A29" s="664"/>
      <c r="B29" s="664"/>
      <c r="C29" s="664"/>
      <c r="D29" s="664"/>
      <c r="E29" s="664"/>
      <c r="F29" s="664"/>
      <c r="G29" s="664"/>
      <c r="H29" s="665"/>
      <c r="I29" s="664"/>
      <c r="J29" s="664"/>
      <c r="K29" s="665"/>
      <c r="L29" s="665"/>
      <c r="M29" s="665"/>
      <c r="N29" s="665"/>
      <c r="O29" s="665"/>
      <c r="P29" s="665"/>
      <c r="Q29" s="665"/>
      <c r="R29" s="665"/>
      <c r="S29" s="664"/>
      <c r="T29" s="664"/>
      <c r="U29" s="664"/>
      <c r="V29" s="664"/>
      <c r="W29" s="664"/>
    </row>
    <row r="30" spans="1:23" ht="24.95" customHeight="1">
      <c r="A30" s="664"/>
      <c r="B30" s="664"/>
      <c r="C30" s="664"/>
      <c r="D30" s="664"/>
      <c r="E30" s="664"/>
      <c r="F30" s="664"/>
      <c r="G30" s="664"/>
      <c r="H30" s="665"/>
      <c r="I30" s="664"/>
      <c r="J30" s="664"/>
      <c r="K30" s="665"/>
      <c r="L30" s="665"/>
      <c r="M30" s="665"/>
      <c r="N30" s="665"/>
      <c r="O30" s="665"/>
      <c r="P30" s="665"/>
      <c r="Q30" s="665"/>
      <c r="R30" s="665"/>
      <c r="S30" s="664"/>
      <c r="T30" s="664"/>
      <c r="U30" s="664"/>
      <c r="V30" s="664"/>
      <c r="W30" s="664"/>
    </row>
    <row r="31" spans="1:23" ht="24.95" customHeight="1">
      <c r="A31" s="664"/>
      <c r="B31" s="664"/>
      <c r="C31" s="664"/>
      <c r="D31" s="664"/>
      <c r="E31" s="664"/>
      <c r="F31" s="664"/>
      <c r="G31" s="664"/>
      <c r="H31" s="665"/>
      <c r="I31" s="664"/>
      <c r="J31" s="664"/>
      <c r="K31" s="665"/>
      <c r="L31" s="665"/>
      <c r="M31" s="665"/>
      <c r="N31" s="665"/>
      <c r="O31" s="665"/>
      <c r="P31" s="665"/>
      <c r="Q31" s="665"/>
      <c r="R31" s="665"/>
      <c r="S31" s="664"/>
      <c r="T31" s="664"/>
      <c r="U31" s="664"/>
      <c r="V31" s="664"/>
      <c r="W31" s="664"/>
    </row>
    <row r="40" spans="1:1" ht="15">
      <c r="A40" s="669" t="s">
        <v>370</v>
      </c>
    </row>
    <row r="41" spans="1:1" ht="15.75">
      <c r="A41" s="857" t="s">
        <v>371</v>
      </c>
    </row>
    <row r="42" spans="1:1" ht="15.75">
      <c r="A42" s="857" t="s">
        <v>372</v>
      </c>
    </row>
    <row r="43" spans="1:1" ht="15.75">
      <c r="A43" s="857" t="s">
        <v>373</v>
      </c>
    </row>
    <row r="44" spans="1:1" ht="15.75">
      <c r="A44" s="857" t="s">
        <v>374</v>
      </c>
    </row>
    <row r="45" spans="1:1" ht="15.75">
      <c r="A45" s="857" t="s">
        <v>375</v>
      </c>
    </row>
    <row r="46" spans="1:1" ht="15.75">
      <c r="A46" s="857" t="s">
        <v>376</v>
      </c>
    </row>
    <row r="47" spans="1:1" ht="15.75">
      <c r="A47" s="857" t="s">
        <v>377</v>
      </c>
    </row>
    <row r="48" spans="1:1" ht="15.75">
      <c r="A48" s="857" t="s">
        <v>378</v>
      </c>
    </row>
    <row r="49" spans="1:3" ht="15.75">
      <c r="A49" s="857" t="s">
        <v>379</v>
      </c>
    </row>
    <row r="50" spans="1:3" ht="15.75">
      <c r="A50" s="857" t="s">
        <v>380</v>
      </c>
    </row>
    <row r="51" spans="1:3" ht="15.75">
      <c r="A51" s="857" t="s">
        <v>381</v>
      </c>
    </row>
    <row r="52" spans="1:3" ht="15">
      <c r="A52" s="669"/>
    </row>
    <row r="53" spans="1:3" ht="15">
      <c r="A53" s="669"/>
    </row>
    <row r="54" spans="1:3" ht="15">
      <c r="A54" s="669"/>
    </row>
    <row r="57" spans="1:3" ht="15">
      <c r="A57"/>
    </row>
    <row r="58" spans="1:3" ht="15">
      <c r="A58" s="669"/>
      <c r="C58" s="669"/>
    </row>
    <row r="59" spans="1:3" ht="15">
      <c r="A59" s="670"/>
      <c r="C59"/>
    </row>
  </sheetData>
  <phoneticPr fontId="41" type="noConversion"/>
  <pageMargins left="0.75" right="0.75" top="1" bottom="1" header="0.5" footer="0.5"/>
  <pageSetup paperSize="9" orientation="portrait" verticalDpi="0" r:id="rId1"/>
  <headerFooter alignWithMargins="0"/>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6" sqref="H6"/>
    </sheetView>
  </sheetViews>
  <sheetFormatPr defaultRowHeight="15"/>
  <cols>
    <col min="1" max="1" width="8.75" customWidth="1"/>
    <col min="2" max="2" width="9.875" bestFit="1" customWidth="1"/>
    <col min="3" max="3" width="11.375" bestFit="1" customWidth="1"/>
    <col min="4" max="4" width="12.5" customWidth="1"/>
    <col min="5" max="5" width="12.375" customWidth="1"/>
    <col min="6" max="6" width="13.375" customWidth="1"/>
    <col min="7" max="7" width="11.75" customWidth="1"/>
    <col min="8" max="8" width="13.25" customWidth="1"/>
    <col min="9" max="9" width="15.875" customWidth="1"/>
  </cols>
  <sheetData>
    <row r="1" spans="1:9">
      <c r="A1" s="1081" t="s">
        <v>2065</v>
      </c>
      <c r="B1" s="1081"/>
      <c r="C1" s="1081"/>
      <c r="D1" s="1081"/>
      <c r="E1" s="1081"/>
      <c r="F1" s="1081"/>
      <c r="G1" s="1081"/>
      <c r="H1" s="642"/>
      <c r="I1" s="642"/>
    </row>
    <row r="2" spans="1:9">
      <c r="A2" s="642" t="s">
        <v>2066</v>
      </c>
      <c r="B2" s="642" t="s">
        <v>2396</v>
      </c>
      <c r="C2" s="642" t="s">
        <v>2397</v>
      </c>
      <c r="D2" s="642" t="s">
        <v>2067</v>
      </c>
      <c r="E2" s="642" t="s">
        <v>2068</v>
      </c>
      <c r="F2" s="642" t="s">
        <v>2069</v>
      </c>
      <c r="G2" s="642" t="s">
        <v>2070</v>
      </c>
      <c r="H2" s="642" t="s">
        <v>2071</v>
      </c>
      <c r="I2" s="642"/>
    </row>
    <row r="3" spans="1:9">
      <c r="A3" s="647" t="s">
        <v>1162</v>
      </c>
      <c r="B3" s="647" t="str">
        <f>VLOOKUP(LEFT(A3),A14:B16,2,0)</f>
        <v>BIA</v>
      </c>
      <c r="C3" s="671">
        <v>150</v>
      </c>
      <c r="D3" s="672" t="s">
        <v>2072</v>
      </c>
      <c r="E3" s="672" t="s">
        <v>2073</v>
      </c>
      <c r="F3" s="673">
        <f t="shared" ref="F3:F8" si="0">C3*VLOOKUP(LEFT(A3,1),$A$14:$C$16,3,0)</f>
        <v>1500000</v>
      </c>
      <c r="G3" s="676">
        <f>INDEX($D$14:$F$16,MATCH(LEFT(A3,1),$A$14:$A$16,0),MATCH(VALUE(RIGHT(A3,1)),$D$13:$F$13,0))</f>
        <v>0.01</v>
      </c>
      <c r="H3" s="673">
        <f>F3-F3*G3</f>
        <v>1485000</v>
      </c>
      <c r="I3" s="642"/>
    </row>
    <row r="4" spans="1:9">
      <c r="A4" s="647" t="s">
        <v>1156</v>
      </c>
      <c r="B4" s="647" t="str">
        <f>VLOOKUP(LEFT(A4),A14:B16,2,0)</f>
        <v>RƯỢU</v>
      </c>
      <c r="C4" s="671">
        <v>220</v>
      </c>
      <c r="D4" s="672" t="s">
        <v>2074</v>
      </c>
      <c r="E4" s="672" t="s">
        <v>2075</v>
      </c>
      <c r="F4" s="673">
        <f t="shared" si="0"/>
        <v>11000000</v>
      </c>
      <c r="G4" s="676">
        <f t="shared" ref="G4:G8" si="1">INDEX($D$14:$F$16,MATCH(LEFT(A4,1),$A$14:$A$16,0),MATCH(VALUE(RIGHT(A4,1)),$D$13:$F$13,0))</f>
        <v>2.5000000000000001E-2</v>
      </c>
      <c r="H4" s="673">
        <f t="shared" ref="H4:H8" si="2">F4-F4*G4</f>
        <v>10725000</v>
      </c>
      <c r="I4" s="642"/>
    </row>
    <row r="5" spans="1:9">
      <c r="A5" s="647" t="s">
        <v>1163</v>
      </c>
      <c r="B5" s="647" t="str">
        <f>VLOOKUP(LEFT(A5),$A14:$B16,2,0)</f>
        <v>BIA</v>
      </c>
      <c r="C5" s="671">
        <v>1250</v>
      </c>
      <c r="D5" s="672" t="s">
        <v>2076</v>
      </c>
      <c r="E5" s="672" t="s">
        <v>2077</v>
      </c>
      <c r="F5" s="673">
        <f t="shared" si="0"/>
        <v>12500000</v>
      </c>
      <c r="G5" s="676">
        <f t="shared" si="1"/>
        <v>1.4999999999999999E-2</v>
      </c>
      <c r="H5" s="673">
        <f t="shared" si="2"/>
        <v>12312500</v>
      </c>
      <c r="I5" s="642"/>
    </row>
    <row r="6" spans="1:9">
      <c r="A6" s="647" t="s">
        <v>2078</v>
      </c>
      <c r="B6" s="647" t="str">
        <f>VLOOKUP(LEFT(A6),$A15:$B17,2,0)</f>
        <v>CỒN</v>
      </c>
      <c r="C6" s="671">
        <v>5000</v>
      </c>
      <c r="D6" s="672" t="s">
        <v>2079</v>
      </c>
      <c r="E6" s="672" t="s">
        <v>2080</v>
      </c>
      <c r="F6" s="673">
        <f t="shared" si="0"/>
        <v>125000000</v>
      </c>
      <c r="G6" s="676">
        <f t="shared" si="1"/>
        <v>0.04</v>
      </c>
      <c r="H6" s="673">
        <f t="shared" si="2"/>
        <v>120000000</v>
      </c>
      <c r="I6" s="642"/>
    </row>
    <row r="7" spans="1:9">
      <c r="A7" s="647" t="s">
        <v>1155</v>
      </c>
      <c r="B7" s="647" t="str">
        <f>VLOOKUP(LEFT(A7),$A14:$B16,2,0)</f>
        <v>RƯỢU</v>
      </c>
      <c r="C7" s="671">
        <v>500</v>
      </c>
      <c r="D7" s="672" t="s">
        <v>2081</v>
      </c>
      <c r="E7" s="672" t="s">
        <v>2082</v>
      </c>
      <c r="F7" s="673">
        <f t="shared" si="0"/>
        <v>25000000</v>
      </c>
      <c r="G7" s="676">
        <f t="shared" si="1"/>
        <v>0.02</v>
      </c>
      <c r="H7" s="673">
        <f t="shared" si="2"/>
        <v>24500000</v>
      </c>
      <c r="I7" s="642"/>
    </row>
    <row r="8" spans="1:9">
      <c r="A8" s="647" t="s">
        <v>514</v>
      </c>
      <c r="B8" s="647" t="str">
        <f>VLOOKUP(LEFT(A8),$A15:$B17,2,0)</f>
        <v>CỒN</v>
      </c>
      <c r="C8" s="671">
        <v>180</v>
      </c>
      <c r="D8" s="672" t="s">
        <v>2083</v>
      </c>
      <c r="E8" s="672" t="s">
        <v>2084</v>
      </c>
      <c r="F8" s="673">
        <f t="shared" si="0"/>
        <v>4500000</v>
      </c>
      <c r="G8" s="676">
        <f t="shared" si="1"/>
        <v>3.5000000000000003E-2</v>
      </c>
      <c r="H8" s="673">
        <f t="shared" si="2"/>
        <v>4342500</v>
      </c>
      <c r="I8" s="642"/>
    </row>
    <row r="9" spans="1:9">
      <c r="A9" s="642"/>
      <c r="B9" s="642"/>
      <c r="C9" s="642"/>
      <c r="D9" s="674"/>
      <c r="E9" s="674"/>
      <c r="F9" s="642"/>
      <c r="G9" s="642"/>
      <c r="H9" s="642"/>
      <c r="I9" s="642"/>
    </row>
    <row r="10" spans="1:9">
      <c r="A10" s="642"/>
      <c r="B10" s="642"/>
      <c r="C10" s="642"/>
      <c r="D10" s="642"/>
      <c r="E10" s="642"/>
      <c r="F10" s="642"/>
      <c r="G10" s="642"/>
      <c r="H10" s="642"/>
      <c r="I10" s="642"/>
    </row>
    <row r="11" spans="1:9">
      <c r="A11" s="1081" t="s">
        <v>2085</v>
      </c>
      <c r="B11" s="1081"/>
      <c r="C11" s="1081"/>
      <c r="D11" s="642"/>
      <c r="E11" s="642"/>
      <c r="F11" s="642"/>
      <c r="G11" s="675" t="s">
        <v>2086</v>
      </c>
      <c r="H11" s="642"/>
      <c r="I11" s="642"/>
    </row>
    <row r="12" spans="1:9">
      <c r="A12" s="1082" t="s">
        <v>2087</v>
      </c>
      <c r="B12" s="1082" t="s">
        <v>2396</v>
      </c>
      <c r="C12" s="1082" t="s">
        <v>2088</v>
      </c>
      <c r="D12" s="1083" t="s">
        <v>2070</v>
      </c>
      <c r="E12" s="1083"/>
      <c r="F12" s="1083"/>
      <c r="G12" s="642"/>
      <c r="H12" s="642"/>
      <c r="I12" s="642"/>
    </row>
    <row r="13" spans="1:9">
      <c r="A13" s="1082"/>
      <c r="B13" s="1082"/>
      <c r="C13" s="1082"/>
      <c r="D13" s="647">
        <v>1</v>
      </c>
      <c r="E13" s="647">
        <v>2</v>
      </c>
      <c r="F13" s="647">
        <v>3</v>
      </c>
      <c r="G13" s="647" t="s">
        <v>2396</v>
      </c>
      <c r="H13" s="647" t="s">
        <v>2397</v>
      </c>
      <c r="I13" s="647" t="s">
        <v>2089</v>
      </c>
    </row>
    <row r="14" spans="1:9">
      <c r="A14" s="647" t="s">
        <v>1022</v>
      </c>
      <c r="B14" s="647" t="s">
        <v>2090</v>
      </c>
      <c r="C14" s="671">
        <v>50000</v>
      </c>
      <c r="D14" s="676">
        <v>0.02</v>
      </c>
      <c r="E14" s="677">
        <v>2.5000000000000001E-2</v>
      </c>
      <c r="F14" s="676">
        <v>0.03</v>
      </c>
      <c r="G14" s="642" t="s">
        <v>2090</v>
      </c>
      <c r="H14" s="642">
        <f>SUMIF(B3:B8,"RƯỢU",C3:C8)</f>
        <v>720</v>
      </c>
      <c r="I14" s="673">
        <f>SUMIF(B3:B8,"RƯỢU",F3:F8)</f>
        <v>36000000</v>
      </c>
    </row>
    <row r="15" spans="1:9">
      <c r="A15" s="647" t="s">
        <v>1023</v>
      </c>
      <c r="B15" s="647" t="s">
        <v>2091</v>
      </c>
      <c r="C15" s="671">
        <v>10000</v>
      </c>
      <c r="D15" s="676">
        <v>0.01</v>
      </c>
      <c r="E15" s="676">
        <v>1.4999999999999999E-2</v>
      </c>
      <c r="F15" s="676">
        <v>0.02</v>
      </c>
      <c r="G15" s="642" t="s">
        <v>2091</v>
      </c>
      <c r="H15" s="642">
        <f>SUMIF(B4:B9,"BIA",C4:C9)</f>
        <v>1250</v>
      </c>
      <c r="I15" s="673">
        <f>SUMIF(B4:B9,"BIA",F4:F9)</f>
        <v>12500000</v>
      </c>
    </row>
    <row r="16" spans="1:9">
      <c r="A16" s="647" t="s">
        <v>1024</v>
      </c>
      <c r="B16" s="647" t="s">
        <v>2092</v>
      </c>
      <c r="C16" s="671">
        <v>25000</v>
      </c>
      <c r="D16" s="676">
        <v>0.03</v>
      </c>
      <c r="E16" s="676">
        <v>3.5000000000000003E-2</v>
      </c>
      <c r="F16" s="676">
        <v>0.04</v>
      </c>
      <c r="G16" s="642" t="s">
        <v>2092</v>
      </c>
      <c r="H16" s="642">
        <f>SUMIF(B5:B10,"CỒN",C5:C10)</f>
        <v>5180</v>
      </c>
      <c r="I16" s="673">
        <f>SUMIF(B5:B10,"CỒN",F5:F10)</f>
        <v>129500000</v>
      </c>
    </row>
    <row r="17" spans="1:9">
      <c r="A17" s="647"/>
      <c r="B17" s="647"/>
      <c r="C17" s="647"/>
      <c r="D17" s="647"/>
      <c r="E17" s="647"/>
      <c r="F17" s="647"/>
      <c r="G17" s="642"/>
      <c r="H17" s="642"/>
      <c r="I17" s="642"/>
    </row>
    <row r="18" spans="1:9">
      <c r="E18" s="678"/>
    </row>
    <row r="21" spans="1:9">
      <c r="D21" s="648"/>
      <c r="E21" s="648"/>
    </row>
  </sheetData>
  <mergeCells count="6">
    <mergeCell ref="A1:G1"/>
    <mergeCell ref="A11:C11"/>
    <mergeCell ref="A12:A13"/>
    <mergeCell ref="B12:B13"/>
    <mergeCell ref="C12:C13"/>
    <mergeCell ref="D12:F12"/>
  </mergeCells>
  <phoneticPr fontId="41" type="noConversion"/>
  <pageMargins left="0.75" right="0.75" top="1" bottom="1" header="0.5" footer="0.5"/>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topLeftCell="A22" workbookViewId="0">
      <selection activeCell="E30" sqref="E30"/>
    </sheetView>
  </sheetViews>
  <sheetFormatPr defaultColWidth="12.5" defaultRowHeight="15.75"/>
  <cols>
    <col min="1" max="16384" width="12.5" style="27"/>
  </cols>
  <sheetData>
    <row r="2" spans="1:10">
      <c r="A2" s="650" t="s">
        <v>865</v>
      </c>
      <c r="B2" s="1071" t="s">
        <v>1298</v>
      </c>
      <c r="C2" s="1071"/>
      <c r="D2" s="1071"/>
      <c r="E2" s="1071"/>
      <c r="F2" s="1071"/>
      <c r="G2" s="1071"/>
      <c r="H2" s="1071"/>
      <c r="I2" s="1071"/>
    </row>
    <row r="3" spans="1:10">
      <c r="A3" s="736"/>
      <c r="B3" s="736">
        <v>0</v>
      </c>
      <c r="C3" s="736">
        <v>51</v>
      </c>
      <c r="D3" s="736">
        <v>101</v>
      </c>
      <c r="E3" s="736">
        <v>251</v>
      </c>
      <c r="F3" s="736">
        <v>501</v>
      </c>
      <c r="G3" s="736">
        <v>1001</v>
      </c>
      <c r="H3" s="736">
        <v>1501</v>
      </c>
      <c r="I3" s="736">
        <v>2001</v>
      </c>
    </row>
    <row r="4" spans="1:10">
      <c r="A4" s="737" t="s">
        <v>866</v>
      </c>
      <c r="B4" s="738">
        <v>6600</v>
      </c>
      <c r="C4" s="738">
        <v>7700</v>
      </c>
      <c r="D4" s="738">
        <v>9350</v>
      </c>
      <c r="E4" s="738">
        <v>11000</v>
      </c>
      <c r="F4" s="738">
        <v>13530</v>
      </c>
      <c r="G4" s="738">
        <v>18920</v>
      </c>
      <c r="H4" s="738">
        <v>22550</v>
      </c>
      <c r="I4" s="738">
        <v>2640</v>
      </c>
      <c r="J4" s="739"/>
    </row>
    <row r="5" spans="1:10">
      <c r="A5" s="737" t="s">
        <v>867</v>
      </c>
      <c r="B5" s="738">
        <f>B4</f>
        <v>6600</v>
      </c>
      <c r="C5" s="738">
        <f t="shared" ref="C5:I5" si="0">C4</f>
        <v>7700</v>
      </c>
      <c r="D5" s="738">
        <f t="shared" si="0"/>
        <v>9350</v>
      </c>
      <c r="E5" s="738">
        <f t="shared" si="0"/>
        <v>11000</v>
      </c>
      <c r="F5" s="738">
        <f t="shared" si="0"/>
        <v>13530</v>
      </c>
      <c r="G5" s="738">
        <f t="shared" si="0"/>
        <v>18920</v>
      </c>
      <c r="H5" s="738">
        <f t="shared" si="0"/>
        <v>22550</v>
      </c>
      <c r="I5" s="738">
        <f t="shared" si="0"/>
        <v>2640</v>
      </c>
      <c r="J5" s="739"/>
    </row>
    <row r="6" spans="1:10">
      <c r="A6" s="737" t="s">
        <v>868</v>
      </c>
      <c r="B6" s="738">
        <f>B4</f>
        <v>6600</v>
      </c>
      <c r="C6" s="738">
        <f t="shared" ref="C6:I6" si="1">C4</f>
        <v>7700</v>
      </c>
      <c r="D6" s="738">
        <f t="shared" si="1"/>
        <v>9350</v>
      </c>
      <c r="E6" s="738">
        <f t="shared" si="1"/>
        <v>11000</v>
      </c>
      <c r="F6" s="738">
        <f t="shared" si="1"/>
        <v>13530</v>
      </c>
      <c r="G6" s="738">
        <f t="shared" si="1"/>
        <v>18920</v>
      </c>
      <c r="H6" s="738">
        <f t="shared" si="1"/>
        <v>22550</v>
      </c>
      <c r="I6" s="738">
        <f t="shared" si="1"/>
        <v>2640</v>
      </c>
      <c r="J6" s="739"/>
    </row>
    <row r="7" spans="1:10">
      <c r="A7" s="737" t="s">
        <v>869</v>
      </c>
      <c r="B7" s="738">
        <f>B4</f>
        <v>6600</v>
      </c>
      <c r="C7" s="738">
        <f t="shared" ref="C7:I7" si="2">C4</f>
        <v>7700</v>
      </c>
      <c r="D7" s="738">
        <f t="shared" si="2"/>
        <v>9350</v>
      </c>
      <c r="E7" s="738">
        <f t="shared" si="2"/>
        <v>11000</v>
      </c>
      <c r="F7" s="738">
        <f t="shared" si="2"/>
        <v>13530</v>
      </c>
      <c r="G7" s="738">
        <f t="shared" si="2"/>
        <v>18920</v>
      </c>
      <c r="H7" s="738">
        <f t="shared" si="2"/>
        <v>22550</v>
      </c>
      <c r="I7" s="738">
        <f t="shared" si="2"/>
        <v>2640</v>
      </c>
      <c r="J7" s="739"/>
    </row>
    <row r="8" spans="1:10">
      <c r="A8" s="737" t="s">
        <v>870</v>
      </c>
      <c r="B8" s="738">
        <f>B4</f>
        <v>6600</v>
      </c>
      <c r="C8" s="738">
        <f t="shared" ref="C8:I8" si="3">C4</f>
        <v>7700</v>
      </c>
      <c r="D8" s="738">
        <f t="shared" si="3"/>
        <v>9350</v>
      </c>
      <c r="E8" s="738">
        <f t="shared" si="3"/>
        <v>11000</v>
      </c>
      <c r="F8" s="738">
        <f t="shared" si="3"/>
        <v>13530</v>
      </c>
      <c r="G8" s="738">
        <f t="shared" si="3"/>
        <v>18920</v>
      </c>
      <c r="H8" s="738">
        <f t="shared" si="3"/>
        <v>22550</v>
      </c>
      <c r="I8" s="738">
        <f t="shared" si="3"/>
        <v>2640</v>
      </c>
      <c r="J8" s="739"/>
    </row>
    <row r="9" spans="1:10">
      <c r="A9" s="737" t="s">
        <v>871</v>
      </c>
      <c r="B9" s="738">
        <f>B4</f>
        <v>6600</v>
      </c>
      <c r="C9" s="738">
        <f t="shared" ref="C9:I9" si="4">C4</f>
        <v>7700</v>
      </c>
      <c r="D9" s="738">
        <f t="shared" si="4"/>
        <v>9350</v>
      </c>
      <c r="E9" s="738">
        <f t="shared" si="4"/>
        <v>11000</v>
      </c>
      <c r="F9" s="738">
        <f t="shared" si="4"/>
        <v>13530</v>
      </c>
      <c r="G9" s="738">
        <f t="shared" si="4"/>
        <v>18920</v>
      </c>
      <c r="H9" s="738">
        <f t="shared" si="4"/>
        <v>22550</v>
      </c>
      <c r="I9" s="738">
        <f t="shared" si="4"/>
        <v>2640</v>
      </c>
      <c r="J9" s="739"/>
    </row>
    <row r="10" spans="1:10">
      <c r="A10" s="737" t="s">
        <v>872</v>
      </c>
      <c r="B10" s="738">
        <f>B4</f>
        <v>6600</v>
      </c>
      <c r="C10" s="738">
        <f t="shared" ref="C10:I10" si="5">C4</f>
        <v>7700</v>
      </c>
      <c r="D10" s="738">
        <f t="shared" si="5"/>
        <v>9350</v>
      </c>
      <c r="E10" s="738">
        <f t="shared" si="5"/>
        <v>11000</v>
      </c>
      <c r="F10" s="738">
        <f t="shared" si="5"/>
        <v>13530</v>
      </c>
      <c r="G10" s="738">
        <f t="shared" si="5"/>
        <v>18920</v>
      </c>
      <c r="H10" s="738">
        <f t="shared" si="5"/>
        <v>22550</v>
      </c>
      <c r="I10" s="738">
        <f t="shared" si="5"/>
        <v>2640</v>
      </c>
      <c r="J10" s="739"/>
    </row>
    <row r="11" spans="1:10">
      <c r="A11" s="740" t="s">
        <v>873</v>
      </c>
      <c r="B11" s="741">
        <v>7920</v>
      </c>
      <c r="C11" s="741">
        <v>8800</v>
      </c>
      <c r="D11" s="741">
        <v>11000</v>
      </c>
      <c r="E11" s="741">
        <v>13200</v>
      </c>
      <c r="F11" s="741">
        <v>14850</v>
      </c>
      <c r="G11" s="741">
        <v>20350</v>
      </c>
      <c r="H11" s="741">
        <v>24200</v>
      </c>
      <c r="I11" s="741">
        <v>2860</v>
      </c>
      <c r="J11" s="739"/>
    </row>
    <row r="12" spans="1:10">
      <c r="A12" s="740" t="s">
        <v>874</v>
      </c>
      <c r="B12" s="741">
        <f>B11</f>
        <v>7920</v>
      </c>
      <c r="C12" s="741">
        <f t="shared" ref="C12:I12" si="6">C11</f>
        <v>8800</v>
      </c>
      <c r="D12" s="741">
        <f t="shared" si="6"/>
        <v>11000</v>
      </c>
      <c r="E12" s="741">
        <f t="shared" si="6"/>
        <v>13200</v>
      </c>
      <c r="F12" s="741">
        <f t="shared" si="6"/>
        <v>14850</v>
      </c>
      <c r="G12" s="741">
        <f t="shared" si="6"/>
        <v>20350</v>
      </c>
      <c r="H12" s="741">
        <f t="shared" si="6"/>
        <v>24200</v>
      </c>
      <c r="I12" s="741">
        <f t="shared" si="6"/>
        <v>2860</v>
      </c>
      <c r="J12" s="739"/>
    </row>
    <row r="13" spans="1:10">
      <c r="A13" s="740" t="s">
        <v>875</v>
      </c>
      <c r="B13" s="741">
        <f>B11</f>
        <v>7920</v>
      </c>
      <c r="C13" s="741">
        <f t="shared" ref="C13:I13" si="7">C11</f>
        <v>8800</v>
      </c>
      <c r="D13" s="741">
        <f t="shared" si="7"/>
        <v>11000</v>
      </c>
      <c r="E13" s="741">
        <f t="shared" si="7"/>
        <v>13200</v>
      </c>
      <c r="F13" s="741">
        <f t="shared" si="7"/>
        <v>14850</v>
      </c>
      <c r="G13" s="741">
        <f t="shared" si="7"/>
        <v>20350</v>
      </c>
      <c r="H13" s="741">
        <f t="shared" si="7"/>
        <v>24200</v>
      </c>
      <c r="I13" s="741">
        <f t="shared" si="7"/>
        <v>2860</v>
      </c>
      <c r="J13" s="739"/>
    </row>
    <row r="14" spans="1:10">
      <c r="A14" s="740" t="s">
        <v>876</v>
      </c>
      <c r="B14" s="741">
        <f>B11</f>
        <v>7920</v>
      </c>
      <c r="C14" s="741">
        <f t="shared" ref="C14:I14" si="8">C11</f>
        <v>8800</v>
      </c>
      <c r="D14" s="741">
        <f t="shared" si="8"/>
        <v>11000</v>
      </c>
      <c r="E14" s="741">
        <f t="shared" si="8"/>
        <v>13200</v>
      </c>
      <c r="F14" s="741">
        <f t="shared" si="8"/>
        <v>14850</v>
      </c>
      <c r="G14" s="741">
        <f t="shared" si="8"/>
        <v>20350</v>
      </c>
      <c r="H14" s="741">
        <f t="shared" si="8"/>
        <v>24200</v>
      </c>
      <c r="I14" s="741">
        <f t="shared" si="8"/>
        <v>2860</v>
      </c>
      <c r="J14" s="739"/>
    </row>
    <row r="15" spans="1:10">
      <c r="A15" s="740" t="s">
        <v>877</v>
      </c>
      <c r="B15" s="741">
        <f>B11</f>
        <v>7920</v>
      </c>
      <c r="C15" s="741">
        <f t="shared" ref="C15:I15" si="9">C11</f>
        <v>8800</v>
      </c>
      <c r="D15" s="741">
        <f t="shared" si="9"/>
        <v>11000</v>
      </c>
      <c r="E15" s="741">
        <f t="shared" si="9"/>
        <v>13200</v>
      </c>
      <c r="F15" s="741">
        <f t="shared" si="9"/>
        <v>14850</v>
      </c>
      <c r="G15" s="741">
        <f t="shared" si="9"/>
        <v>20350</v>
      </c>
      <c r="H15" s="741">
        <f t="shared" si="9"/>
        <v>24200</v>
      </c>
      <c r="I15" s="741">
        <f t="shared" si="9"/>
        <v>2860</v>
      </c>
      <c r="J15" s="739"/>
    </row>
    <row r="16" spans="1:10">
      <c r="A16" s="740" t="s">
        <v>878</v>
      </c>
      <c r="B16" s="741">
        <f>B11</f>
        <v>7920</v>
      </c>
      <c r="C16" s="741">
        <f t="shared" ref="C16:I16" si="10">C11</f>
        <v>8800</v>
      </c>
      <c r="D16" s="741">
        <f t="shared" si="10"/>
        <v>11000</v>
      </c>
      <c r="E16" s="741">
        <f t="shared" si="10"/>
        <v>13200</v>
      </c>
      <c r="F16" s="741">
        <f t="shared" si="10"/>
        <v>14850</v>
      </c>
      <c r="G16" s="741">
        <f t="shared" si="10"/>
        <v>20350</v>
      </c>
      <c r="H16" s="741">
        <f t="shared" si="10"/>
        <v>24200</v>
      </c>
      <c r="I16" s="741">
        <f t="shared" si="10"/>
        <v>2860</v>
      </c>
      <c r="J16" s="739"/>
    </row>
    <row r="17" spans="1:10">
      <c r="A17" s="740" t="s">
        <v>879</v>
      </c>
      <c r="B17" s="741">
        <f>B11</f>
        <v>7920</v>
      </c>
      <c r="C17" s="741">
        <f t="shared" ref="C17:I17" si="11">C11</f>
        <v>8800</v>
      </c>
      <c r="D17" s="741">
        <f t="shared" si="11"/>
        <v>11000</v>
      </c>
      <c r="E17" s="741">
        <f t="shared" si="11"/>
        <v>13200</v>
      </c>
      <c r="F17" s="741">
        <f t="shared" si="11"/>
        <v>14850</v>
      </c>
      <c r="G17" s="741">
        <f t="shared" si="11"/>
        <v>20350</v>
      </c>
      <c r="H17" s="741">
        <f t="shared" si="11"/>
        <v>24200</v>
      </c>
      <c r="I17" s="741">
        <f t="shared" si="11"/>
        <v>2860</v>
      </c>
      <c r="J17" s="739"/>
    </row>
    <row r="18" spans="1:10">
      <c r="A18" s="740" t="s">
        <v>880</v>
      </c>
      <c r="B18" s="741">
        <f>B11</f>
        <v>7920</v>
      </c>
      <c r="C18" s="741">
        <f t="shared" ref="C18:I18" si="12">C11</f>
        <v>8800</v>
      </c>
      <c r="D18" s="741">
        <f t="shared" si="12"/>
        <v>11000</v>
      </c>
      <c r="E18" s="741">
        <f t="shared" si="12"/>
        <v>13200</v>
      </c>
      <c r="F18" s="741">
        <f t="shared" si="12"/>
        <v>14850</v>
      </c>
      <c r="G18" s="741">
        <f t="shared" si="12"/>
        <v>20350</v>
      </c>
      <c r="H18" s="741">
        <f t="shared" si="12"/>
        <v>24200</v>
      </c>
      <c r="I18" s="741">
        <f t="shared" si="12"/>
        <v>2860</v>
      </c>
      <c r="J18" s="739"/>
    </row>
    <row r="19" spans="1:10">
      <c r="A19" s="740" t="s">
        <v>881</v>
      </c>
      <c r="B19" s="741">
        <f>B11</f>
        <v>7920</v>
      </c>
      <c r="C19" s="741">
        <f t="shared" ref="C19:I19" si="13">C11</f>
        <v>8800</v>
      </c>
      <c r="D19" s="741">
        <f t="shared" si="13"/>
        <v>11000</v>
      </c>
      <c r="E19" s="741">
        <f t="shared" si="13"/>
        <v>13200</v>
      </c>
      <c r="F19" s="741">
        <f t="shared" si="13"/>
        <v>14850</v>
      </c>
      <c r="G19" s="741">
        <f t="shared" si="13"/>
        <v>20350</v>
      </c>
      <c r="H19" s="741">
        <f t="shared" si="13"/>
        <v>24200</v>
      </c>
      <c r="I19" s="741">
        <f t="shared" si="13"/>
        <v>2860</v>
      </c>
      <c r="J19" s="739"/>
    </row>
    <row r="20" spans="1:10">
      <c r="A20" s="740" t="s">
        <v>882</v>
      </c>
      <c r="B20" s="741">
        <f>B11</f>
        <v>7920</v>
      </c>
      <c r="C20" s="741">
        <f t="shared" ref="C20:I20" si="14">C11</f>
        <v>8800</v>
      </c>
      <c r="D20" s="741">
        <f t="shared" si="14"/>
        <v>11000</v>
      </c>
      <c r="E20" s="741">
        <f t="shared" si="14"/>
        <v>13200</v>
      </c>
      <c r="F20" s="741">
        <f t="shared" si="14"/>
        <v>14850</v>
      </c>
      <c r="G20" s="741">
        <f t="shared" si="14"/>
        <v>20350</v>
      </c>
      <c r="H20" s="741">
        <f t="shared" si="14"/>
        <v>24200</v>
      </c>
      <c r="I20" s="741">
        <f t="shared" si="14"/>
        <v>2860</v>
      </c>
      <c r="J20" s="739"/>
    </row>
    <row r="21" spans="1:10">
      <c r="A21" s="742" t="s">
        <v>883</v>
      </c>
      <c r="B21" s="743">
        <v>9350</v>
      </c>
      <c r="C21" s="743">
        <v>12100</v>
      </c>
      <c r="D21" s="743">
        <v>15620</v>
      </c>
      <c r="E21" s="743">
        <v>21450</v>
      </c>
      <c r="F21" s="743">
        <v>24970</v>
      </c>
      <c r="G21" s="743">
        <v>37950</v>
      </c>
      <c r="H21" s="743">
        <v>44550</v>
      </c>
      <c r="I21" s="743">
        <v>3300</v>
      </c>
    </row>
    <row r="22" spans="1:10">
      <c r="A22" s="742" t="s">
        <v>884</v>
      </c>
      <c r="B22" s="743">
        <f>B21</f>
        <v>9350</v>
      </c>
      <c r="C22" s="743">
        <f t="shared" ref="C22:I22" si="15">C21</f>
        <v>12100</v>
      </c>
      <c r="D22" s="743">
        <f t="shared" si="15"/>
        <v>15620</v>
      </c>
      <c r="E22" s="743">
        <f t="shared" si="15"/>
        <v>21450</v>
      </c>
      <c r="F22" s="743">
        <f t="shared" si="15"/>
        <v>24970</v>
      </c>
      <c r="G22" s="743">
        <f t="shared" si="15"/>
        <v>37950</v>
      </c>
      <c r="H22" s="743">
        <f t="shared" si="15"/>
        <v>44550</v>
      </c>
      <c r="I22" s="743">
        <f t="shared" si="15"/>
        <v>3300</v>
      </c>
    </row>
    <row r="23" spans="1:10">
      <c r="A23" s="742" t="s">
        <v>885</v>
      </c>
      <c r="B23" s="743">
        <f>B21</f>
        <v>9350</v>
      </c>
      <c r="C23" s="743">
        <f t="shared" ref="C23:I23" si="16">C21</f>
        <v>12100</v>
      </c>
      <c r="D23" s="743">
        <f t="shared" si="16"/>
        <v>15620</v>
      </c>
      <c r="E23" s="743">
        <f t="shared" si="16"/>
        <v>21450</v>
      </c>
      <c r="F23" s="743">
        <f t="shared" si="16"/>
        <v>24970</v>
      </c>
      <c r="G23" s="743">
        <f t="shared" si="16"/>
        <v>37950</v>
      </c>
      <c r="H23" s="743">
        <f t="shared" si="16"/>
        <v>44550</v>
      </c>
      <c r="I23" s="743">
        <f t="shared" si="16"/>
        <v>3300</v>
      </c>
    </row>
    <row r="24" spans="1:10">
      <c r="A24" s="744" t="s">
        <v>886</v>
      </c>
      <c r="B24" s="745">
        <v>9350</v>
      </c>
      <c r="C24" s="745">
        <v>12650</v>
      </c>
      <c r="D24" s="745">
        <v>17050</v>
      </c>
      <c r="E24" s="745">
        <v>22000</v>
      </c>
      <c r="F24" s="745">
        <v>31350</v>
      </c>
      <c r="G24" s="745">
        <v>39600</v>
      </c>
      <c r="H24" s="745">
        <v>47300</v>
      </c>
      <c r="I24" s="745">
        <v>3630</v>
      </c>
    </row>
    <row r="25" spans="1:10">
      <c r="A25" s="744" t="s">
        <v>887</v>
      </c>
      <c r="B25" s="745">
        <f>B24</f>
        <v>9350</v>
      </c>
      <c r="C25" s="745">
        <f t="shared" ref="C25:I25" si="17">C24</f>
        <v>12650</v>
      </c>
      <c r="D25" s="745">
        <f t="shared" si="17"/>
        <v>17050</v>
      </c>
      <c r="E25" s="745">
        <f t="shared" si="17"/>
        <v>22000</v>
      </c>
      <c r="F25" s="745">
        <f t="shared" si="17"/>
        <v>31350</v>
      </c>
      <c r="G25" s="745">
        <f t="shared" si="17"/>
        <v>39600</v>
      </c>
      <c r="H25" s="745">
        <f t="shared" si="17"/>
        <v>47300</v>
      </c>
      <c r="I25" s="745">
        <f t="shared" si="17"/>
        <v>3630</v>
      </c>
    </row>
    <row r="26" spans="1:10">
      <c r="A26" s="746" t="s">
        <v>888</v>
      </c>
      <c r="B26" s="747">
        <v>12100</v>
      </c>
      <c r="C26" s="747">
        <v>15950</v>
      </c>
      <c r="D26" s="747">
        <v>20900</v>
      </c>
      <c r="E26" s="747">
        <v>28050</v>
      </c>
      <c r="F26" s="747">
        <v>42350</v>
      </c>
      <c r="G26" s="747">
        <v>54450</v>
      </c>
      <c r="H26" s="747">
        <v>65450</v>
      </c>
      <c r="I26" s="747">
        <v>4950</v>
      </c>
    </row>
    <row r="27" spans="1:10">
      <c r="A27" s="736"/>
    </row>
    <row r="28" spans="1:10">
      <c r="A28" s="736" t="s">
        <v>889</v>
      </c>
    </row>
    <row r="29" spans="1:10" ht="29.25" customHeight="1">
      <c r="A29" s="736"/>
      <c r="B29" s="108" t="s">
        <v>890</v>
      </c>
      <c r="C29" s="108" t="s">
        <v>891</v>
      </c>
      <c r="D29" s="108"/>
      <c r="E29" s="108" t="s">
        <v>892</v>
      </c>
      <c r="F29" s="108" t="s">
        <v>893</v>
      </c>
      <c r="G29" s="691"/>
    </row>
    <row r="30" spans="1:10">
      <c r="B30" s="736" t="s">
        <v>875</v>
      </c>
      <c r="C30" s="736">
        <v>251</v>
      </c>
      <c r="D30" s="736" t="s">
        <v>894</v>
      </c>
      <c r="E30" s="748">
        <f>INDEX($B$4:$I$26,MATCH(B30,$A$4:$A$26,0),MATCH(LOOKUP(C30,B3:I3),B3:I3,0))</f>
        <v>13200</v>
      </c>
      <c r="F30" s="27">
        <f>C30*E30</f>
        <v>3313200</v>
      </c>
    </row>
    <row r="33" spans="5:5">
      <c r="E33" s="27">
        <f>INDEX($B$4:$I$26,MATCH(B30,$A$4:$A$26,0),MATCH(VALUE(C30),$B$3:$I$3,0))</f>
        <v>13200</v>
      </c>
    </row>
  </sheetData>
  <mergeCells count="1">
    <mergeCell ref="B2:I2"/>
  </mergeCells>
  <phoneticPr fontId="41" type="noConversion"/>
  <pageMargins left="0.75" right="0.75" top="1" bottom="1" header="0.5" footer="0.5"/>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N2" sqref="N2"/>
    </sheetView>
  </sheetViews>
  <sheetFormatPr defaultColWidth="8.875" defaultRowHeight="15.75"/>
  <cols>
    <col min="1" max="16384" width="8.875" style="27"/>
  </cols>
  <sheetData>
    <row r="1" spans="1:14">
      <c r="A1" s="30" t="s">
        <v>897</v>
      </c>
      <c r="B1" s="30" t="s">
        <v>895</v>
      </c>
      <c r="D1" s="30" t="s">
        <v>898</v>
      </c>
      <c r="E1" s="30" t="s">
        <v>897</v>
      </c>
      <c r="F1" s="30" t="s">
        <v>896</v>
      </c>
      <c r="H1" s="30" t="s">
        <v>899</v>
      </c>
      <c r="I1" s="30" t="s">
        <v>898</v>
      </c>
      <c r="J1" s="30" t="s">
        <v>900</v>
      </c>
      <c r="M1" s="27" t="s">
        <v>1435</v>
      </c>
      <c r="N1" s="27" t="s">
        <v>901</v>
      </c>
    </row>
    <row r="2" spans="1:14">
      <c r="A2" s="30">
        <v>101</v>
      </c>
      <c r="B2" s="30" t="s">
        <v>1436</v>
      </c>
      <c r="D2" s="30">
        <v>10101</v>
      </c>
      <c r="E2" s="30">
        <v>101</v>
      </c>
      <c r="F2" s="30" t="s">
        <v>1437</v>
      </c>
      <c r="H2" s="30">
        <v>1010101</v>
      </c>
      <c r="I2" s="30">
        <v>10101</v>
      </c>
      <c r="J2" s="30" t="s">
        <v>902</v>
      </c>
      <c r="L2" s="27" t="s">
        <v>1438</v>
      </c>
      <c r="M2" s="749" t="s">
        <v>1436</v>
      </c>
      <c r="N2" s="749">
        <f>INDEX($A$2:$B$5,MATCH(M2,TenTinh,0),1)</f>
        <v>101</v>
      </c>
    </row>
    <row r="3" spans="1:14">
      <c r="A3" s="30">
        <v>102</v>
      </c>
      <c r="B3" s="30" t="s">
        <v>1439</v>
      </c>
      <c r="D3" s="30">
        <v>10102</v>
      </c>
      <c r="E3" s="30">
        <v>101</v>
      </c>
      <c r="F3" s="30" t="s">
        <v>1440</v>
      </c>
      <c r="H3" s="30">
        <v>1010102</v>
      </c>
      <c r="I3" s="30">
        <v>10101</v>
      </c>
      <c r="J3" s="30" t="s">
        <v>903</v>
      </c>
      <c r="L3" s="27" t="s">
        <v>1441</v>
      </c>
      <c r="M3" s="749" t="s">
        <v>1442</v>
      </c>
      <c r="N3" s="749">
        <f>INDEX($D$2:$F$14,MATCH(M3,TenHuyen,0),1)</f>
        <v>10203</v>
      </c>
    </row>
    <row r="4" spans="1:14">
      <c r="A4" s="30">
        <v>103</v>
      </c>
      <c r="B4" s="30" t="s">
        <v>1443</v>
      </c>
      <c r="D4" s="30">
        <v>10103</v>
      </c>
      <c r="E4" s="30">
        <v>101</v>
      </c>
      <c r="F4" s="30" t="s">
        <v>1444</v>
      </c>
      <c r="H4" s="30">
        <v>1010103</v>
      </c>
      <c r="I4" s="30">
        <v>10101</v>
      </c>
      <c r="J4" s="30" t="s">
        <v>904</v>
      </c>
      <c r="L4" s="27" t="s">
        <v>905</v>
      </c>
      <c r="M4" s="749" t="s">
        <v>909</v>
      </c>
      <c r="N4" s="749">
        <f>INDEX($H$2:$J$42,MATCH(M4,TenXa,0),1)</f>
        <v>1010203</v>
      </c>
    </row>
    <row r="5" spans="1:14">
      <c r="A5" s="30">
        <v>104</v>
      </c>
      <c r="B5" s="30" t="s">
        <v>1445</v>
      </c>
      <c r="D5" s="30">
        <v>10201</v>
      </c>
      <c r="E5" s="30">
        <v>102</v>
      </c>
      <c r="F5" s="30" t="s">
        <v>1446</v>
      </c>
      <c r="H5" s="30">
        <v>1010201</v>
      </c>
      <c r="I5" s="30">
        <v>10102</v>
      </c>
      <c r="J5" s="30" t="s">
        <v>906</v>
      </c>
    </row>
    <row r="6" spans="1:14">
      <c r="D6" s="30">
        <v>10202</v>
      </c>
      <c r="E6" s="30">
        <v>102</v>
      </c>
      <c r="F6" s="30" t="s">
        <v>1447</v>
      </c>
      <c r="H6" s="30">
        <v>1010202</v>
      </c>
      <c r="I6" s="30">
        <v>10102</v>
      </c>
      <c r="J6" s="30" t="s">
        <v>907</v>
      </c>
      <c r="M6" s="750" t="s">
        <v>908</v>
      </c>
    </row>
    <row r="7" spans="1:14">
      <c r="D7" s="30">
        <v>10203</v>
      </c>
      <c r="E7" s="30">
        <v>102</v>
      </c>
      <c r="F7" s="30" t="s">
        <v>1442</v>
      </c>
      <c r="H7" s="30">
        <v>1010203</v>
      </c>
      <c r="I7" s="30">
        <v>10102</v>
      </c>
      <c r="J7" s="30" t="s">
        <v>909</v>
      </c>
      <c r="M7" s="750" t="s">
        <v>945</v>
      </c>
    </row>
    <row r="8" spans="1:14">
      <c r="D8" s="30">
        <v>10204</v>
      </c>
      <c r="E8" s="30">
        <v>102</v>
      </c>
      <c r="F8" s="30" t="s">
        <v>1448</v>
      </c>
      <c r="H8" s="30">
        <v>1010301</v>
      </c>
      <c r="I8" s="30">
        <v>10103</v>
      </c>
      <c r="J8" s="30" t="s">
        <v>910</v>
      </c>
    </row>
    <row r="9" spans="1:14">
      <c r="D9" s="30">
        <v>10301</v>
      </c>
      <c r="E9" s="30">
        <v>103</v>
      </c>
      <c r="F9" s="30" t="s">
        <v>1452</v>
      </c>
      <c r="H9" s="30">
        <v>1010302</v>
      </c>
      <c r="I9" s="30">
        <v>10103</v>
      </c>
      <c r="J9" s="30" t="s">
        <v>911</v>
      </c>
    </row>
    <row r="10" spans="1:14">
      <c r="D10" s="30">
        <v>10302</v>
      </c>
      <c r="E10" s="30">
        <v>103</v>
      </c>
      <c r="F10" s="30" t="s">
        <v>1453</v>
      </c>
      <c r="H10" s="30">
        <v>1010303</v>
      </c>
      <c r="I10" s="30">
        <v>10103</v>
      </c>
      <c r="J10" s="30" t="s">
        <v>912</v>
      </c>
    </row>
    <row r="11" spans="1:14">
      <c r="D11" s="30">
        <v>10401</v>
      </c>
      <c r="E11" s="30">
        <v>104</v>
      </c>
      <c r="F11" s="30" t="s">
        <v>1454</v>
      </c>
      <c r="H11" s="30">
        <v>1020101</v>
      </c>
      <c r="I11" s="30">
        <v>10201</v>
      </c>
      <c r="J11" s="30" t="s">
        <v>913</v>
      </c>
    </row>
    <row r="12" spans="1:14">
      <c r="D12" s="30">
        <v>10402</v>
      </c>
      <c r="E12" s="30">
        <v>104</v>
      </c>
      <c r="F12" s="30" t="s">
        <v>1455</v>
      </c>
      <c r="H12" s="30">
        <v>1020102</v>
      </c>
      <c r="I12" s="30">
        <v>10201</v>
      </c>
      <c r="J12" s="30" t="s">
        <v>914</v>
      </c>
    </row>
    <row r="13" spans="1:14">
      <c r="D13" s="30">
        <v>10403</v>
      </c>
      <c r="E13" s="30">
        <v>104</v>
      </c>
      <c r="F13" s="30" t="s">
        <v>1456</v>
      </c>
      <c r="H13" s="30">
        <v>1020103</v>
      </c>
      <c r="I13" s="30">
        <v>10201</v>
      </c>
      <c r="J13" s="30" t="s">
        <v>915</v>
      </c>
    </row>
    <row r="14" spans="1:14">
      <c r="D14" s="30">
        <v>10404</v>
      </c>
      <c r="E14" s="30">
        <v>104</v>
      </c>
      <c r="F14" s="30" t="s">
        <v>1457</v>
      </c>
      <c r="H14" s="30">
        <v>1020201</v>
      </c>
      <c r="I14" s="30">
        <v>10202</v>
      </c>
      <c r="J14" s="30" t="s">
        <v>916</v>
      </c>
    </row>
    <row r="15" spans="1:14">
      <c r="H15" s="30">
        <v>1020202</v>
      </c>
      <c r="I15" s="30">
        <v>10202</v>
      </c>
      <c r="J15" s="30" t="s">
        <v>917</v>
      </c>
    </row>
    <row r="16" spans="1:14">
      <c r="H16" s="30">
        <v>1020203</v>
      </c>
      <c r="I16" s="30">
        <v>10202</v>
      </c>
      <c r="J16" s="30" t="s">
        <v>918</v>
      </c>
    </row>
    <row r="17" spans="8:10">
      <c r="H17" s="30">
        <v>1020301</v>
      </c>
      <c r="I17" s="30">
        <v>10203</v>
      </c>
      <c r="J17" s="30" t="s">
        <v>919</v>
      </c>
    </row>
    <row r="18" spans="8:10">
      <c r="H18" s="30">
        <v>1020302</v>
      </c>
      <c r="I18" s="30">
        <v>10203</v>
      </c>
      <c r="J18" s="30" t="s">
        <v>920</v>
      </c>
    </row>
    <row r="19" spans="8:10">
      <c r="H19" s="30">
        <v>1020303</v>
      </c>
      <c r="I19" s="30">
        <v>10203</v>
      </c>
      <c r="J19" s="30" t="s">
        <v>921</v>
      </c>
    </row>
    <row r="20" spans="8:10">
      <c r="H20" s="30">
        <v>1020401</v>
      </c>
      <c r="I20" s="30">
        <v>10204</v>
      </c>
      <c r="J20" s="30" t="s">
        <v>922</v>
      </c>
    </row>
    <row r="21" spans="8:10">
      <c r="H21" s="30">
        <v>1020402</v>
      </c>
      <c r="I21" s="30">
        <v>10204</v>
      </c>
      <c r="J21" s="30" t="s">
        <v>923</v>
      </c>
    </row>
    <row r="22" spans="8:10">
      <c r="H22" s="30">
        <v>1030101</v>
      </c>
      <c r="I22" s="30">
        <v>10301</v>
      </c>
      <c r="J22" s="30" t="s">
        <v>924</v>
      </c>
    </row>
    <row r="23" spans="8:10">
      <c r="H23" s="30">
        <v>1030102</v>
      </c>
      <c r="I23" s="30">
        <v>10301</v>
      </c>
      <c r="J23" s="30" t="s">
        <v>925</v>
      </c>
    </row>
    <row r="24" spans="8:10">
      <c r="H24" s="30">
        <v>1030103</v>
      </c>
      <c r="I24" s="30">
        <v>10301</v>
      </c>
      <c r="J24" s="30" t="s">
        <v>926</v>
      </c>
    </row>
    <row r="25" spans="8:10">
      <c r="H25" s="30">
        <v>1030201</v>
      </c>
      <c r="I25" s="30">
        <v>10302</v>
      </c>
      <c r="J25" s="30" t="s">
        <v>927</v>
      </c>
    </row>
    <row r="26" spans="8:10">
      <c r="H26" s="30">
        <v>1030202</v>
      </c>
      <c r="I26" s="30">
        <v>10302</v>
      </c>
      <c r="J26" s="30" t="s">
        <v>928</v>
      </c>
    </row>
    <row r="27" spans="8:10">
      <c r="H27" s="30">
        <v>1030203</v>
      </c>
      <c r="I27" s="30">
        <v>10302</v>
      </c>
      <c r="J27" s="30" t="s">
        <v>929</v>
      </c>
    </row>
    <row r="28" spans="8:10">
      <c r="H28" s="30">
        <v>1040101</v>
      </c>
      <c r="I28" s="30">
        <v>10401</v>
      </c>
      <c r="J28" s="30" t="s">
        <v>930</v>
      </c>
    </row>
    <row r="29" spans="8:10">
      <c r="H29" s="30">
        <v>1040102</v>
      </c>
      <c r="I29" s="30">
        <v>10401</v>
      </c>
      <c r="J29" s="30" t="s">
        <v>931</v>
      </c>
    </row>
    <row r="30" spans="8:10">
      <c r="H30" s="30">
        <v>1040103</v>
      </c>
      <c r="I30" s="30">
        <v>10401</v>
      </c>
      <c r="J30" s="30" t="s">
        <v>932</v>
      </c>
    </row>
    <row r="31" spans="8:10">
      <c r="H31" s="30">
        <v>1040201</v>
      </c>
      <c r="I31" s="30">
        <v>10402</v>
      </c>
      <c r="J31" s="30" t="s">
        <v>933</v>
      </c>
    </row>
    <row r="32" spans="8:10">
      <c r="H32" s="30">
        <v>1040202</v>
      </c>
      <c r="I32" s="30">
        <v>10402</v>
      </c>
      <c r="J32" s="30" t="s">
        <v>934</v>
      </c>
    </row>
    <row r="33" spans="8:10">
      <c r="H33" s="30">
        <v>1040203</v>
      </c>
      <c r="I33" s="30">
        <v>10402</v>
      </c>
      <c r="J33" s="30" t="s">
        <v>935</v>
      </c>
    </row>
    <row r="34" spans="8:10">
      <c r="H34" s="30">
        <v>1040204</v>
      </c>
      <c r="I34" s="30">
        <v>10402</v>
      </c>
      <c r="J34" s="30" t="s">
        <v>936</v>
      </c>
    </row>
    <row r="35" spans="8:10">
      <c r="H35" s="30">
        <v>1040301</v>
      </c>
      <c r="I35" s="30">
        <v>10403</v>
      </c>
      <c r="J35" s="30" t="s">
        <v>937</v>
      </c>
    </row>
    <row r="36" spans="8:10">
      <c r="H36" s="30">
        <v>1040302</v>
      </c>
      <c r="I36" s="30">
        <v>10403</v>
      </c>
      <c r="J36" s="30" t="s">
        <v>938</v>
      </c>
    </row>
    <row r="37" spans="8:10">
      <c r="H37" s="30">
        <v>1040303</v>
      </c>
      <c r="I37" s="30">
        <v>10403</v>
      </c>
      <c r="J37" s="30" t="s">
        <v>939</v>
      </c>
    </row>
    <row r="38" spans="8:10">
      <c r="H38" s="30">
        <v>1040304</v>
      </c>
      <c r="I38" s="30">
        <v>10403</v>
      </c>
      <c r="J38" s="30" t="s">
        <v>940</v>
      </c>
    </row>
    <row r="39" spans="8:10">
      <c r="H39" s="30">
        <v>1040401</v>
      </c>
      <c r="I39" s="30">
        <v>10404</v>
      </c>
      <c r="J39" s="30" t="s">
        <v>941</v>
      </c>
    </row>
    <row r="40" spans="8:10">
      <c r="H40" s="30">
        <v>1040402</v>
      </c>
      <c r="I40" s="30">
        <v>10404</v>
      </c>
      <c r="J40" s="30" t="s">
        <v>942</v>
      </c>
    </row>
    <row r="41" spans="8:10">
      <c r="H41" s="30">
        <v>1040403</v>
      </c>
      <c r="I41" s="30">
        <v>10404</v>
      </c>
      <c r="J41" s="30" t="s">
        <v>943</v>
      </c>
    </row>
    <row r="42" spans="8:10">
      <c r="H42" s="30">
        <v>1040404</v>
      </c>
      <c r="I42" s="30">
        <v>10404</v>
      </c>
      <c r="J42" s="30" t="s">
        <v>944</v>
      </c>
    </row>
  </sheetData>
  <phoneticPr fontId="41" type="noConversion"/>
  <dataValidations count="3">
    <dataValidation type="list" allowBlank="1" showInputMessage="1" showErrorMessage="1" sqref="M4">
      <formula1>TenXa</formula1>
    </dataValidation>
    <dataValidation type="list" allowBlank="1" showInputMessage="1" showErrorMessage="1" sqref="M3">
      <formula1>TenHuyen</formula1>
    </dataValidation>
    <dataValidation type="list" allowBlank="1" showInputMessage="1" showErrorMessage="1" sqref="M2">
      <formula1>TenTinh</formula1>
    </dataValidation>
  </dataValidations>
  <pageMargins left="0.75" right="0.75" top="1" bottom="1" header="0.5" footer="0.5"/>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L5" sqref="L5"/>
    </sheetView>
  </sheetViews>
  <sheetFormatPr defaultColWidth="8.875" defaultRowHeight="15.75"/>
  <cols>
    <col min="1" max="1" width="7.25" style="27" bestFit="1" customWidth="1"/>
    <col min="2" max="2" width="12.75" style="27" customWidth="1"/>
    <col min="3" max="3" width="9.125" style="27" customWidth="1"/>
    <col min="4" max="4" width="10.5" style="27" customWidth="1"/>
    <col min="5" max="5" width="9.875" style="27" bestFit="1" customWidth="1"/>
    <col min="6" max="6" width="10.625" style="27" customWidth="1"/>
    <col min="7" max="7" width="9.625" style="27" bestFit="1" customWidth="1"/>
    <col min="8" max="8" width="20.5" style="27" customWidth="1"/>
    <col min="9" max="9" width="8.625" style="27" customWidth="1"/>
    <col min="10" max="10" width="7.25" style="27" bestFit="1" customWidth="1"/>
    <col min="11" max="16384" width="8.875" style="27"/>
  </cols>
  <sheetData>
    <row r="1" spans="1:13" ht="19.5" thickBot="1">
      <c r="A1" s="1090" t="s">
        <v>960</v>
      </c>
      <c r="B1" s="1090"/>
      <c r="C1" s="1090"/>
      <c r="D1" s="1090"/>
      <c r="E1" s="1090"/>
      <c r="F1" s="1090"/>
      <c r="G1" s="1090"/>
      <c r="H1" s="1090"/>
      <c r="I1" s="1090"/>
    </row>
    <row r="2" spans="1:13" ht="16.5" thickBot="1">
      <c r="A2" s="1091" t="s">
        <v>957</v>
      </c>
      <c r="B2" s="1091"/>
      <c r="C2" s="1091"/>
      <c r="D2" s="1091"/>
      <c r="E2" s="1091"/>
      <c r="F2" s="736"/>
      <c r="G2" s="736"/>
      <c r="H2" s="736"/>
      <c r="I2" s="736"/>
    </row>
    <row r="3" spans="1:13" ht="16.5" thickBot="1">
      <c r="A3" s="1092" t="s">
        <v>385</v>
      </c>
      <c r="B3" s="1092"/>
      <c r="C3" s="751" t="s">
        <v>1022</v>
      </c>
      <c r="D3" s="751" t="s">
        <v>1023</v>
      </c>
      <c r="E3" s="751" t="s">
        <v>1024</v>
      </c>
      <c r="F3" s="736"/>
      <c r="G3" s="736"/>
      <c r="H3" s="736"/>
      <c r="I3" s="736"/>
    </row>
    <row r="4" spans="1:13" ht="16.5" thickBot="1">
      <c r="A4" s="1092" t="s">
        <v>952</v>
      </c>
      <c r="B4" s="1092"/>
      <c r="C4" s="752">
        <v>300</v>
      </c>
      <c r="D4" s="752">
        <v>100</v>
      </c>
      <c r="E4" s="752">
        <v>70</v>
      </c>
      <c r="F4" s="736"/>
      <c r="G4" s="736"/>
      <c r="H4" s="736"/>
      <c r="I4" s="736"/>
    </row>
    <row r="5" spans="1:13" ht="16.5" thickBot="1">
      <c r="A5" s="736"/>
      <c r="B5" s="736"/>
      <c r="C5" s="736"/>
      <c r="D5" s="736"/>
      <c r="E5" s="736"/>
      <c r="F5" s="736"/>
      <c r="G5" s="736"/>
      <c r="H5" s="736"/>
      <c r="I5" s="736"/>
      <c r="L5" s="27" t="b">
        <f>AND($D$7&gt;=DATE(1999,1,1),$E$7&lt;=DATE(1999,1,15))</f>
        <v>1</v>
      </c>
    </row>
    <row r="6" spans="1:13" s="104" customFormat="1" ht="24" customHeight="1" thickBot="1">
      <c r="A6" s="753" t="s">
        <v>1017</v>
      </c>
      <c r="B6" s="753" t="s">
        <v>953</v>
      </c>
      <c r="C6" s="753" t="s">
        <v>958</v>
      </c>
      <c r="D6" s="753" t="s">
        <v>949</v>
      </c>
      <c r="E6" s="753" t="s">
        <v>2495</v>
      </c>
      <c r="F6" s="753" t="s">
        <v>954</v>
      </c>
      <c r="G6" s="753" t="s">
        <v>946</v>
      </c>
      <c r="H6" s="753" t="s">
        <v>947</v>
      </c>
    </row>
    <row r="7" spans="1:13" ht="16.5" thickBot="1">
      <c r="A7" s="751">
        <v>1</v>
      </c>
      <c r="B7" s="751" t="s">
        <v>1137</v>
      </c>
      <c r="C7" s="751" t="s">
        <v>1129</v>
      </c>
      <c r="D7" s="754">
        <v>36161</v>
      </c>
      <c r="E7" s="754">
        <v>36170</v>
      </c>
      <c r="F7" s="755">
        <f>INDEX($C$4:$E$4,1,MATCH(LEFT(C7,1),$C$3:$E$3,0))*(E7-D7)</f>
        <v>2700</v>
      </c>
      <c r="G7" s="751">
        <f>IF(DAY(D7)=15,30%*INDEX($C$4:$E$4,1,MATCH(LEFT(C7,1),$C$3:$E$3,0)),0)</f>
        <v>0</v>
      </c>
      <c r="H7" s="1122">
        <f>F7-G7</f>
        <v>2700</v>
      </c>
      <c r="I7" s="756"/>
    </row>
    <row r="8" spans="1:13" ht="16.5" thickBot="1">
      <c r="A8" s="751">
        <v>2</v>
      </c>
      <c r="B8" s="751" t="s">
        <v>1659</v>
      </c>
      <c r="C8" s="751" t="s">
        <v>1132</v>
      </c>
      <c r="D8" s="754">
        <v>36175</v>
      </c>
      <c r="E8" s="754">
        <v>36176</v>
      </c>
      <c r="F8" s="755">
        <f t="shared" ref="F8:F12" si="0">INDEX($C$4:$E$4,1,MATCH(LEFT(C8,1),$C$3:$E$3,0))*(E8-D8)</f>
        <v>100</v>
      </c>
      <c r="G8" s="925">
        <f t="shared" ref="G8:G12" si="1">IF(DAY(D8)=15,30%*INDEX($C$4:$E$4,1,MATCH(LEFT(C8,1),$C$3:$E$3,0)),0)</f>
        <v>30</v>
      </c>
      <c r="H8" s="1122">
        <f t="shared" ref="H8:H12" si="2">F8-G8</f>
        <v>70</v>
      </c>
      <c r="I8" s="756"/>
    </row>
    <row r="9" spans="1:13" ht="16.5" thickBot="1">
      <c r="A9" s="751">
        <v>3</v>
      </c>
      <c r="B9" s="751" t="s">
        <v>2054</v>
      </c>
      <c r="C9" s="751" t="s">
        <v>1130</v>
      </c>
      <c r="D9" s="754">
        <v>36180</v>
      </c>
      <c r="E9" s="754">
        <v>36189</v>
      </c>
      <c r="F9" s="755">
        <f t="shared" si="0"/>
        <v>2700</v>
      </c>
      <c r="G9" s="925">
        <f t="shared" si="1"/>
        <v>0</v>
      </c>
      <c r="H9" s="1122">
        <f t="shared" si="2"/>
        <v>2700</v>
      </c>
      <c r="I9" s="736"/>
      <c r="J9" s="757"/>
    </row>
    <row r="10" spans="1:13" ht="16.5" thickBot="1">
      <c r="A10" s="751">
        <v>4</v>
      </c>
      <c r="B10" s="751" t="s">
        <v>1644</v>
      </c>
      <c r="C10" s="751" t="s">
        <v>1135</v>
      </c>
      <c r="D10" s="754">
        <v>36175</v>
      </c>
      <c r="E10" s="754">
        <v>36180</v>
      </c>
      <c r="F10" s="755">
        <f t="shared" si="0"/>
        <v>350</v>
      </c>
      <c r="G10" s="925">
        <f t="shared" si="1"/>
        <v>21</v>
      </c>
      <c r="H10" s="1122">
        <f t="shared" si="2"/>
        <v>329</v>
      </c>
      <c r="I10" s="736"/>
    </row>
    <row r="11" spans="1:13" ht="16.5" thickBot="1">
      <c r="A11" s="751">
        <v>5</v>
      </c>
      <c r="B11" s="751" t="s">
        <v>630</v>
      </c>
      <c r="C11" s="751" t="s">
        <v>1130</v>
      </c>
      <c r="D11" s="754">
        <v>36185</v>
      </c>
      <c r="E11" s="754">
        <v>36190</v>
      </c>
      <c r="F11" s="755">
        <f t="shared" si="0"/>
        <v>1500</v>
      </c>
      <c r="G11" s="925">
        <f t="shared" si="1"/>
        <v>0</v>
      </c>
      <c r="H11" s="1122">
        <f t="shared" si="2"/>
        <v>1500</v>
      </c>
      <c r="I11" s="736"/>
      <c r="L11" s="757"/>
      <c r="M11" s="757"/>
    </row>
    <row r="12" spans="1:13" ht="16.5" thickBot="1">
      <c r="A12" s="751">
        <v>6</v>
      </c>
      <c r="B12" s="751" t="s">
        <v>807</v>
      </c>
      <c r="C12" s="751" t="s">
        <v>519</v>
      </c>
      <c r="D12" s="754">
        <v>36170</v>
      </c>
      <c r="E12" s="754">
        <v>36190</v>
      </c>
      <c r="F12" s="755">
        <f t="shared" si="0"/>
        <v>2000</v>
      </c>
      <c r="G12" s="925">
        <f t="shared" si="1"/>
        <v>0</v>
      </c>
      <c r="H12" s="1122">
        <f t="shared" si="2"/>
        <v>2000</v>
      </c>
      <c r="I12" s="736"/>
      <c r="L12" s="1123"/>
      <c r="M12" s="757"/>
    </row>
    <row r="13" spans="1:13" ht="16.5" thickBot="1">
      <c r="A13" s="736"/>
      <c r="B13" s="736"/>
      <c r="C13" s="736"/>
      <c r="D13" s="736"/>
      <c r="E13" s="736"/>
      <c r="F13" s="736"/>
      <c r="G13" s="736"/>
      <c r="H13" s="736"/>
      <c r="I13" s="736"/>
      <c r="L13" s="757"/>
      <c r="M13" s="757"/>
    </row>
    <row r="14" spans="1:13" ht="16.5" thickBot="1">
      <c r="A14" s="200" t="s">
        <v>950</v>
      </c>
      <c r="B14" s="200"/>
      <c r="C14" s="200"/>
      <c r="D14" s="759">
        <f>COUNTIF($D$7:$D$12,$D$8)</f>
        <v>2</v>
      </c>
      <c r="H14" s="753" t="s">
        <v>949</v>
      </c>
      <c r="I14" s="753" t="s">
        <v>2495</v>
      </c>
      <c r="J14" s="1121"/>
      <c r="L14" s="757"/>
      <c r="M14" s="757"/>
    </row>
    <row r="15" spans="1:13">
      <c r="A15" s="1084" t="s">
        <v>951</v>
      </c>
      <c r="B15" s="1085"/>
      <c r="C15" s="1086"/>
      <c r="D15" s="759">
        <f>SUMIF($D$7:$D$12,"&lt;=1/15/1999",$H$7:$H$12)</f>
        <v>5099</v>
      </c>
      <c r="F15" s="736"/>
      <c r="H15" s="27" t="b">
        <f>D7&gt;="1/1/1999"</f>
        <v>0</v>
      </c>
      <c r="I15" s="27" t="b">
        <f>E7&lt;=1/15/1999</f>
        <v>0</v>
      </c>
      <c r="L15" s="757"/>
      <c r="M15" s="757"/>
    </row>
    <row r="16" spans="1:13">
      <c r="A16" s="1087" t="s">
        <v>948</v>
      </c>
      <c r="B16" s="1088"/>
      <c r="C16" s="1089"/>
      <c r="D16" s="43"/>
      <c r="L16" s="757"/>
      <c r="M16" s="757"/>
    </row>
    <row r="17" spans="1:9">
      <c r="A17" s="760"/>
    </row>
    <row r="18" spans="1:9">
      <c r="A18" s="761" t="s">
        <v>955</v>
      </c>
      <c r="B18" s="762"/>
      <c r="C18" s="762"/>
      <c r="D18" s="762"/>
      <c r="E18" s="762"/>
      <c r="F18" s="762"/>
      <c r="G18" s="762"/>
      <c r="H18" s="762"/>
      <c r="I18" s="763"/>
    </row>
    <row r="19" spans="1:9">
      <c r="A19" s="762" t="s">
        <v>961</v>
      </c>
      <c r="B19" s="762"/>
      <c r="C19" s="762"/>
      <c r="D19" s="762"/>
      <c r="E19" s="762"/>
      <c r="F19" s="762"/>
      <c r="G19" s="762"/>
      <c r="H19" s="762"/>
      <c r="I19" s="763"/>
    </row>
    <row r="20" spans="1:9">
      <c r="A20" s="762" t="s">
        <v>959</v>
      </c>
      <c r="B20" s="762"/>
      <c r="C20" s="762"/>
      <c r="D20" s="762"/>
      <c r="E20" s="762"/>
      <c r="F20" s="762"/>
      <c r="G20" s="762"/>
      <c r="H20" s="762"/>
      <c r="I20" s="763"/>
    </row>
    <row r="21" spans="1:9">
      <c r="A21" s="762" t="s">
        <v>956</v>
      </c>
      <c r="B21" s="762"/>
      <c r="C21" s="762"/>
      <c r="D21" s="762"/>
      <c r="E21" s="762"/>
      <c r="F21" s="762"/>
      <c r="G21" s="762"/>
      <c r="H21" s="762"/>
      <c r="I21" s="763"/>
    </row>
    <row r="22" spans="1:9">
      <c r="A22" s="762" t="s">
        <v>962</v>
      </c>
      <c r="B22" s="762"/>
      <c r="C22" s="762"/>
      <c r="D22" s="762"/>
      <c r="E22" s="762"/>
      <c r="F22" s="762"/>
      <c r="G22" s="762"/>
      <c r="H22" s="762"/>
      <c r="I22" s="763"/>
    </row>
    <row r="23" spans="1:9">
      <c r="A23" s="762" t="s">
        <v>963</v>
      </c>
      <c r="B23" s="762"/>
      <c r="C23" s="762"/>
      <c r="D23" s="762"/>
      <c r="E23" s="762"/>
      <c r="F23" s="762"/>
      <c r="G23" s="762"/>
      <c r="H23" s="762"/>
      <c r="I23" s="763"/>
    </row>
  </sheetData>
  <dataConsolidate topLabels="1">
    <dataRefs count="2">
      <dataRef ref="D6:D12" sheet="Tiền giảm"/>
      <dataRef ref="E6:E12" sheet="Tiền giảm"/>
    </dataRefs>
  </dataConsolidate>
  <mergeCells count="6">
    <mergeCell ref="A15:C15"/>
    <mergeCell ref="A16:C16"/>
    <mergeCell ref="A1:I1"/>
    <mergeCell ref="A2:E2"/>
    <mergeCell ref="A3:B3"/>
    <mergeCell ref="A4:B4"/>
  </mergeCells>
  <phoneticPr fontId="41" type="noConversion"/>
  <pageMargins left="0.75" right="0.75" top="1" bottom="1" header="0.5" footer="0.5"/>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H21" sqref="H21"/>
    </sheetView>
  </sheetViews>
  <sheetFormatPr defaultColWidth="8.875" defaultRowHeight="17.25"/>
  <cols>
    <col min="1" max="1" width="13" style="679" customWidth="1"/>
    <col min="2" max="2" width="16.625" style="679" customWidth="1"/>
    <col min="3" max="3" width="15.125" style="679" customWidth="1"/>
    <col min="4" max="4" width="10.375" style="679" customWidth="1"/>
    <col min="5" max="5" width="8.5" style="679" bestFit="1" customWidth="1"/>
    <col min="6" max="6" width="9.75" style="679" customWidth="1"/>
    <col min="7" max="7" width="12.75" style="679" bestFit="1" customWidth="1"/>
    <col min="8" max="8" width="9.75" style="679" bestFit="1" customWidth="1"/>
    <col min="9" max="16384" width="8.875" style="679"/>
  </cols>
  <sheetData>
    <row r="1" spans="1:9">
      <c r="A1" s="1094" t="s">
        <v>2283</v>
      </c>
      <c r="B1" s="1094"/>
      <c r="C1" s="1094"/>
      <c r="D1" s="1094"/>
      <c r="E1" s="1094"/>
      <c r="F1" s="1094"/>
      <c r="G1" s="1094"/>
    </row>
    <row r="2" spans="1:9">
      <c r="A2" s="817" t="s">
        <v>2267</v>
      </c>
      <c r="B2" s="817" t="s">
        <v>2271</v>
      </c>
      <c r="C2" s="817" t="s">
        <v>2277</v>
      </c>
      <c r="D2" s="817" t="s">
        <v>2266</v>
      </c>
      <c r="E2" s="817" t="s">
        <v>2272</v>
      </c>
      <c r="F2" s="817" t="s">
        <v>2259</v>
      </c>
      <c r="G2" s="817" t="s">
        <v>2268</v>
      </c>
    </row>
    <row r="3" spans="1:9">
      <c r="A3" s="818">
        <v>37169</v>
      </c>
      <c r="B3" s="817" t="s">
        <v>1665</v>
      </c>
      <c r="C3" s="819" t="str">
        <f>VLOOKUP(LEFT(B3,2),$A$13:$B$16,2,0)&amp;" "&amp;HLOOKUP(MID(B3,3,2),$F$13:$I$14,2,0)</f>
        <v>Tuyû Lauønh Toshiba</v>
      </c>
      <c r="D3" s="819">
        <f>VALUE(RIGHT(B3,3))</f>
        <v>12</v>
      </c>
      <c r="E3" s="819">
        <f>VLOOKUP(LEFT(B3,2),$A$12:$D$16,IF(D3&gt;10,3,4),0)</f>
        <v>400</v>
      </c>
      <c r="F3" s="819">
        <f>IF(AND(LEFT(B3,2)="MG",D3&gt;10),1.5%,0)*E3*D3</f>
        <v>0</v>
      </c>
      <c r="G3" s="820">
        <f>(D3*E3)-F3</f>
        <v>4800</v>
      </c>
      <c r="H3" s="821"/>
    </row>
    <row r="4" spans="1:9">
      <c r="A4" s="818">
        <v>37184</v>
      </c>
      <c r="B4" s="817" t="s">
        <v>1666</v>
      </c>
      <c r="C4" s="819" t="str">
        <f t="shared" ref="C4:C10" si="0">VLOOKUP(LEFT(B4,2),$A$13:$B$16,2,0)&amp;" "&amp;HLOOKUP(MID(B4,3,2),$F$13:$I$14,2,0)</f>
        <v>Tivi Sanyo</v>
      </c>
      <c r="D4" s="819">
        <f t="shared" ref="D4:D10" si="1">VALUE(RIGHT(B4,3))</f>
        <v>2</v>
      </c>
      <c r="E4" s="819">
        <f t="shared" ref="E4:E10" si="2">VLOOKUP(LEFT(B4,2),$A$12:$D$16,IF(D4&gt;10,3,4),0)</f>
        <v>340</v>
      </c>
      <c r="F4" s="819">
        <f t="shared" ref="F4:F10" si="3">IF(AND(LEFT(B4,2)="MG",D4&gt;10),1.5%,0)*E4*D4</f>
        <v>0</v>
      </c>
      <c r="G4" s="822">
        <f t="shared" ref="G4:G10" si="4">(D4*E4)-F4</f>
        <v>680</v>
      </c>
      <c r="H4" s="823"/>
    </row>
    <row r="5" spans="1:9">
      <c r="A5" s="818">
        <v>37189</v>
      </c>
      <c r="B5" s="817" t="s">
        <v>1667</v>
      </c>
      <c r="C5" s="819" t="str">
        <f t="shared" si="0"/>
        <v>Maöïy Giaôût Sanyo</v>
      </c>
      <c r="D5" s="819">
        <f t="shared" si="1"/>
        <v>3</v>
      </c>
      <c r="E5" s="819">
        <f t="shared" si="2"/>
        <v>530</v>
      </c>
      <c r="F5" s="819">
        <f t="shared" si="3"/>
        <v>0</v>
      </c>
      <c r="G5" s="822">
        <f t="shared" si="4"/>
        <v>1590</v>
      </c>
    </row>
    <row r="6" spans="1:9">
      <c r="A6" s="818">
        <v>37193</v>
      </c>
      <c r="B6" s="817" t="s">
        <v>1668</v>
      </c>
      <c r="C6" s="819" t="str">
        <f t="shared" si="0"/>
        <v>Tivi Sonny</v>
      </c>
      <c r="D6" s="819">
        <f t="shared" si="1"/>
        <v>14</v>
      </c>
      <c r="E6" s="819">
        <f t="shared" si="2"/>
        <v>320</v>
      </c>
      <c r="F6" s="819">
        <f t="shared" si="3"/>
        <v>0</v>
      </c>
      <c r="G6" s="822">
        <f t="shared" si="4"/>
        <v>4480</v>
      </c>
    </row>
    <row r="7" spans="1:9">
      <c r="A7" s="818">
        <v>37200</v>
      </c>
      <c r="B7" s="817" t="s">
        <v>1669</v>
      </c>
      <c r="C7" s="819" t="str">
        <f t="shared" si="0"/>
        <v>Maöïy Giaôût Sanyo</v>
      </c>
      <c r="D7" s="819">
        <f t="shared" si="1"/>
        <v>15</v>
      </c>
      <c r="E7" s="819">
        <f t="shared" si="2"/>
        <v>520</v>
      </c>
      <c r="F7" s="819">
        <f t="shared" si="3"/>
        <v>117</v>
      </c>
      <c r="G7" s="822">
        <f t="shared" si="4"/>
        <v>7683</v>
      </c>
    </row>
    <row r="8" spans="1:9">
      <c r="A8" s="818">
        <v>37214</v>
      </c>
      <c r="B8" s="817" t="s">
        <v>1670</v>
      </c>
      <c r="C8" s="824" t="str">
        <f t="shared" si="0"/>
        <v>Tuyû Lauønh Sanyo</v>
      </c>
      <c r="D8" s="819">
        <f>VALUE(RIGHT(B8,3))</f>
        <v>5</v>
      </c>
      <c r="E8" s="819">
        <f t="shared" si="2"/>
        <v>410</v>
      </c>
      <c r="F8" s="819">
        <f t="shared" si="3"/>
        <v>0</v>
      </c>
      <c r="G8" s="822">
        <f t="shared" si="4"/>
        <v>2050</v>
      </c>
    </row>
    <row r="9" spans="1:9">
      <c r="A9" s="818">
        <v>37215</v>
      </c>
      <c r="B9" s="817" t="s">
        <v>1671</v>
      </c>
      <c r="C9" s="824" t="str">
        <f t="shared" si="0"/>
        <v>Tivi Toshiba</v>
      </c>
      <c r="D9" s="819">
        <f t="shared" si="1"/>
        <v>2</v>
      </c>
      <c r="E9" s="819">
        <f t="shared" si="2"/>
        <v>340</v>
      </c>
      <c r="F9" s="819">
        <f t="shared" si="3"/>
        <v>0</v>
      </c>
      <c r="G9" s="822">
        <f t="shared" si="4"/>
        <v>680</v>
      </c>
    </row>
    <row r="10" spans="1:9">
      <c r="A10" s="818">
        <v>37223</v>
      </c>
      <c r="B10" s="817" t="s">
        <v>1672</v>
      </c>
      <c r="C10" s="819" t="str">
        <f t="shared" si="0"/>
        <v>Tuyû Lauønh Sonny</v>
      </c>
      <c r="D10" s="819">
        <f t="shared" si="1"/>
        <v>12</v>
      </c>
      <c r="E10" s="819">
        <f t="shared" si="2"/>
        <v>400</v>
      </c>
      <c r="F10" s="819">
        <f t="shared" si="3"/>
        <v>0</v>
      </c>
      <c r="G10" s="820">
        <f t="shared" si="4"/>
        <v>4800</v>
      </c>
      <c r="H10" s="821"/>
    </row>
    <row r="11" spans="1:9">
      <c r="A11" s="819"/>
      <c r="B11" s="819"/>
      <c r="C11" s="819"/>
      <c r="D11" s="819"/>
      <c r="E11" s="819"/>
      <c r="F11" s="682"/>
      <c r="G11" s="682"/>
    </row>
    <row r="12" spans="1:9">
      <c r="A12" s="1095" t="s">
        <v>2278</v>
      </c>
      <c r="B12" s="1095"/>
      <c r="C12" s="1095" t="s">
        <v>2273</v>
      </c>
      <c r="D12" s="1095"/>
      <c r="F12" s="1095" t="s">
        <v>2279</v>
      </c>
      <c r="G12" s="1095"/>
      <c r="H12" s="1095"/>
      <c r="I12" s="1095"/>
    </row>
    <row r="13" spans="1:9">
      <c r="A13" s="817" t="s">
        <v>2269</v>
      </c>
      <c r="B13" s="817" t="s">
        <v>2260</v>
      </c>
      <c r="C13" s="817" t="s">
        <v>2262</v>
      </c>
      <c r="D13" s="817" t="s">
        <v>2263</v>
      </c>
      <c r="F13" s="817" t="s">
        <v>2264</v>
      </c>
      <c r="G13" s="817" t="s">
        <v>1673</v>
      </c>
      <c r="H13" s="817" t="s">
        <v>1674</v>
      </c>
      <c r="I13" s="817" t="s">
        <v>1675</v>
      </c>
    </row>
    <row r="14" spans="1:9">
      <c r="A14" s="817" t="s">
        <v>1676</v>
      </c>
      <c r="B14" s="817" t="s">
        <v>2280</v>
      </c>
      <c r="C14" s="817">
        <v>400</v>
      </c>
      <c r="D14" s="817">
        <v>410</v>
      </c>
      <c r="F14" s="817" t="s">
        <v>2265</v>
      </c>
      <c r="G14" s="817" t="s">
        <v>1677</v>
      </c>
      <c r="H14" s="817" t="s">
        <v>1678</v>
      </c>
      <c r="I14" s="817" t="s">
        <v>1679</v>
      </c>
    </row>
    <row r="15" spans="1:9">
      <c r="A15" s="817" t="s">
        <v>1044</v>
      </c>
      <c r="B15" s="817" t="s">
        <v>1680</v>
      </c>
      <c r="C15" s="817">
        <v>320</v>
      </c>
      <c r="D15" s="817">
        <v>340</v>
      </c>
    </row>
    <row r="16" spans="1:9">
      <c r="A16" s="817" t="s">
        <v>1681</v>
      </c>
      <c r="B16" s="817" t="s">
        <v>2274</v>
      </c>
      <c r="C16" s="817">
        <v>520</v>
      </c>
      <c r="D16" s="817">
        <v>530</v>
      </c>
    </row>
    <row r="18" spans="1:8">
      <c r="A18" s="825" t="s">
        <v>2261</v>
      </c>
      <c r="B18" s="679" t="b">
        <f>AND(A3&gt;=DATE(2001,10,15),A3&lt;=DATE(2001,11,1),LEFT(B3,2)="TL")</f>
        <v>0</v>
      </c>
    </row>
    <row r="19" spans="1:8">
      <c r="A19" s="680" t="s">
        <v>827</v>
      </c>
      <c r="B19" s="679" t="b">
        <f>AND(A3&gt;=DATE(2001,10,15),A3&lt;=DATE(2001,11,1),LEFT(B3,2)="TV")</f>
        <v>0</v>
      </c>
      <c r="C19" s="681"/>
      <c r="D19" s="681"/>
    </row>
    <row r="20" spans="1:8">
      <c r="A20" s="1093" t="s">
        <v>2281</v>
      </c>
      <c r="B20" s="1093"/>
      <c r="C20" s="1093"/>
      <c r="D20" s="1093"/>
    </row>
    <row r="21" spans="1:8">
      <c r="A21" s="1093" t="s">
        <v>2275</v>
      </c>
      <c r="B21" s="1093"/>
      <c r="C21" s="1093"/>
      <c r="D21" s="1093"/>
      <c r="H21" s="679" t="s">
        <v>1682</v>
      </c>
    </row>
    <row r="22" spans="1:8">
      <c r="B22" s="819" t="s">
        <v>2270</v>
      </c>
      <c r="C22" s="817">
        <f>DSUM($A$2:$G$10,G2,B18:B19)</f>
        <v>5160</v>
      </c>
      <c r="H22" s="679" t="b">
        <f>LEFT(B3,2)="MG"</f>
        <v>0</v>
      </c>
    </row>
    <row r="23" spans="1:8">
      <c r="B23" s="819" t="s">
        <v>2282</v>
      </c>
      <c r="C23" s="817">
        <f>DSUM($A$2:$G$10,G2,B17:B18)</f>
        <v>0</v>
      </c>
    </row>
    <row r="25" spans="1:8">
      <c r="A25" s="817" t="s">
        <v>2267</v>
      </c>
      <c r="B25" s="817" t="s">
        <v>2271</v>
      </c>
      <c r="C25" s="817" t="s">
        <v>2277</v>
      </c>
      <c r="D25" s="817" t="s">
        <v>2266</v>
      </c>
      <c r="E25" s="817" t="s">
        <v>2272</v>
      </c>
      <c r="F25" s="817" t="s">
        <v>2259</v>
      </c>
      <c r="G25" s="817" t="s">
        <v>2268</v>
      </c>
    </row>
    <row r="26" spans="1:8">
      <c r="A26" s="818">
        <v>37189</v>
      </c>
      <c r="B26" s="817" t="s">
        <v>1667</v>
      </c>
      <c r="C26" s="819" t="s">
        <v>2276</v>
      </c>
      <c r="D26" s="819">
        <v>3</v>
      </c>
      <c r="E26" s="819">
        <v>530</v>
      </c>
      <c r="F26" s="819">
        <v>0</v>
      </c>
      <c r="G26" s="820">
        <v>1590</v>
      </c>
    </row>
    <row r="27" spans="1:8">
      <c r="A27" s="818">
        <v>37200</v>
      </c>
      <c r="B27" s="817" t="s">
        <v>1669</v>
      </c>
      <c r="C27" s="819" t="s">
        <v>2276</v>
      </c>
      <c r="D27" s="819">
        <v>15</v>
      </c>
      <c r="E27" s="819">
        <v>520</v>
      </c>
      <c r="F27" s="819">
        <v>117</v>
      </c>
      <c r="G27" s="820">
        <v>7683</v>
      </c>
    </row>
  </sheetData>
  <mergeCells count="6">
    <mergeCell ref="A20:D20"/>
    <mergeCell ref="A21:D21"/>
    <mergeCell ref="A1:G1"/>
    <mergeCell ref="A12:B12"/>
    <mergeCell ref="C12:D12"/>
    <mergeCell ref="F12:I12"/>
  </mergeCells>
  <phoneticPr fontId="41" type="noConversion"/>
  <pageMargins left="0.75" right="0.75" top="1" bottom="1" header="0.5" footer="0.5"/>
  <pageSetup paperSize="9" orientation="portrait" verticalDpi="0" r:id="rId1"/>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41" workbookViewId="0">
      <selection activeCell="I4" sqref="I4"/>
    </sheetView>
  </sheetViews>
  <sheetFormatPr defaultColWidth="8.875" defaultRowHeight="15.75"/>
  <cols>
    <col min="1" max="1" width="8.375" style="27" customWidth="1"/>
    <col min="2" max="2" width="14.5" style="27" customWidth="1"/>
    <col min="3" max="3" width="13.5" style="27" customWidth="1"/>
    <col min="4" max="4" width="13.75" style="27" customWidth="1"/>
    <col min="5" max="5" width="13.625" style="27" customWidth="1"/>
    <col min="6" max="6" width="9.5" style="27" customWidth="1"/>
    <col min="7" max="7" width="10" style="27" customWidth="1"/>
    <col min="8" max="8" width="13.625" style="27" customWidth="1"/>
    <col min="9" max="9" width="12.5" style="27" customWidth="1"/>
    <col min="10" max="16384" width="8.875" style="27"/>
  </cols>
  <sheetData>
    <row r="1" spans="1:12" ht="18.75">
      <c r="C1" s="1096" t="s">
        <v>2208</v>
      </c>
      <c r="D1" s="1096"/>
      <c r="E1" s="1096"/>
      <c r="F1" s="739"/>
    </row>
    <row r="3" spans="1:12">
      <c r="A3" s="768" t="s">
        <v>1017</v>
      </c>
      <c r="B3" s="769" t="s">
        <v>2206</v>
      </c>
      <c r="C3" s="769" t="s">
        <v>2194</v>
      </c>
      <c r="D3" s="769" t="s">
        <v>2200</v>
      </c>
      <c r="E3" s="769" t="s">
        <v>2195</v>
      </c>
      <c r="F3" s="769" t="s">
        <v>152</v>
      </c>
      <c r="G3" s="769" t="s">
        <v>2192</v>
      </c>
      <c r="H3" s="769" t="s">
        <v>2193</v>
      </c>
      <c r="I3" s="770" t="s">
        <v>2190</v>
      </c>
    </row>
    <row r="4" spans="1:12">
      <c r="A4" s="771">
        <v>1</v>
      </c>
      <c r="B4" s="771" t="s">
        <v>2284</v>
      </c>
      <c r="C4" s="771" t="str">
        <f>VLOOKUP(LEFT(B4,1),$H$28:$I$31,2,0)</f>
        <v>Honda</v>
      </c>
      <c r="D4" s="771">
        <f>HLOOKUP(VALUE(MID(B4,2,2)),$C$27:$F$28,2,0)</f>
        <v>100</v>
      </c>
      <c r="E4" s="771" t="str">
        <f>VLOOKUP(C4,$A$33:$E$38,IF(D4=100,2,IF(D4=110,3,IF(D4=125,4,5))),0)</f>
        <v>Dream</v>
      </c>
      <c r="F4" s="772">
        <v>37483</v>
      </c>
      <c r="G4" s="771">
        <v>2</v>
      </c>
      <c r="H4" s="773">
        <f>HLOOKUP(D4,$C$28:$F$29,2,0)</f>
        <v>18</v>
      </c>
      <c r="I4" s="774">
        <f>DATE(YEAR(F4),MONTH(F4)+H4,DAY(F4))</f>
        <v>38032</v>
      </c>
      <c r="K4" s="267">
        <f>I4-F4</f>
        <v>549</v>
      </c>
      <c r="L4" s="267">
        <f>549/30</f>
        <v>18.3</v>
      </c>
    </row>
    <row r="5" spans="1:12">
      <c r="A5" s="771">
        <v>2</v>
      </c>
      <c r="B5" s="771" t="s">
        <v>2285</v>
      </c>
      <c r="C5" s="771" t="str">
        <f t="shared" ref="C5:C23" si="0">VLOOKUP(LEFT(B5,1),$H$28:$I$31,2,0)</f>
        <v>Suzuki</v>
      </c>
      <c r="D5" s="771">
        <f t="shared" ref="D5:D23" si="1">HLOOKUP(VALUE(MID(B5,2,2)),$C$27:$F$28,2,0)</f>
        <v>110</v>
      </c>
      <c r="E5" s="771" t="str">
        <f t="shared" ref="E5:E23" si="2">VLOOKUP(C5,$A$33:$E$38,IF(D5=100,2,IF(D5=110,3,IF(D5=125,4,5))),0)</f>
        <v>Viva</v>
      </c>
      <c r="F5" s="772">
        <v>37477</v>
      </c>
      <c r="G5" s="771">
        <v>6</v>
      </c>
      <c r="H5" s="773">
        <f>HLOOKUP(D5,$C$28:$F$29,2,0)</f>
        <v>18</v>
      </c>
      <c r="I5" s="756">
        <f t="shared" ref="I5:I23" si="3">DATE(YEAR(F5),MONTH(F5)+H5,DAY(F5))</f>
        <v>38026</v>
      </c>
    </row>
    <row r="6" spans="1:12">
      <c r="A6" s="771">
        <v>3</v>
      </c>
      <c r="B6" s="771" t="s">
        <v>2286</v>
      </c>
      <c r="C6" s="771" t="str">
        <f t="shared" si="0"/>
        <v>Yamaha</v>
      </c>
      <c r="D6" s="771">
        <f>HLOOKUP(VALUE(MID(B6,2,2)),$C$27:$F$28,2,0)</f>
        <v>150</v>
      </c>
      <c r="E6" s="771" t="str">
        <f t="shared" si="2"/>
        <v>Majesty</v>
      </c>
      <c r="F6" s="772">
        <v>37075</v>
      </c>
      <c r="G6" s="771">
        <v>8</v>
      </c>
      <c r="H6" s="773">
        <f>HLOOKUP(D6,$C$28:$F$29,2,0)</f>
        <v>12</v>
      </c>
      <c r="I6" s="756">
        <f t="shared" si="3"/>
        <v>37440</v>
      </c>
    </row>
    <row r="7" spans="1:12">
      <c r="A7" s="771">
        <v>4</v>
      </c>
      <c r="B7" s="771" t="s">
        <v>2287</v>
      </c>
      <c r="C7" s="771" t="str">
        <f t="shared" si="0"/>
        <v>Suzuki</v>
      </c>
      <c r="D7" s="771">
        <f t="shared" si="1"/>
        <v>150</v>
      </c>
      <c r="E7" s="771" t="str">
        <f t="shared" si="2"/>
        <v>Avenis</v>
      </c>
      <c r="F7" s="772">
        <v>37029</v>
      </c>
      <c r="G7" s="771">
        <v>2</v>
      </c>
      <c r="H7" s="775">
        <f t="shared" ref="H7:H23" si="4">HLOOKUP(D7,$C$28:$F$29,2,0)</f>
        <v>12</v>
      </c>
      <c r="I7" s="756">
        <f t="shared" si="3"/>
        <v>37394</v>
      </c>
    </row>
    <row r="8" spans="1:12">
      <c r="A8" s="771">
        <v>5</v>
      </c>
      <c r="B8" s="771" t="s">
        <v>2288</v>
      </c>
      <c r="C8" s="771" t="str">
        <f t="shared" si="0"/>
        <v>Kawasaki</v>
      </c>
      <c r="D8" s="771">
        <f t="shared" si="1"/>
        <v>150</v>
      </c>
      <c r="E8" s="771" t="str">
        <f t="shared" si="2"/>
        <v>x</v>
      </c>
      <c r="F8" s="772">
        <v>37599</v>
      </c>
      <c r="G8" s="771">
        <v>6</v>
      </c>
      <c r="H8" s="771">
        <f t="shared" si="4"/>
        <v>12</v>
      </c>
      <c r="I8" s="756">
        <f t="shared" si="3"/>
        <v>37964</v>
      </c>
    </row>
    <row r="9" spans="1:12">
      <c r="A9" s="771">
        <v>6</v>
      </c>
      <c r="B9" s="771" t="s">
        <v>2289</v>
      </c>
      <c r="C9" s="771" t="str">
        <f t="shared" si="0"/>
        <v>Suzuki</v>
      </c>
      <c r="D9" s="771">
        <f t="shared" si="1"/>
        <v>125</v>
      </c>
      <c r="E9" s="771" t="str">
        <f t="shared" si="2"/>
        <v>Fx</v>
      </c>
      <c r="F9" s="772">
        <v>37541</v>
      </c>
      <c r="G9" s="771">
        <v>4</v>
      </c>
      <c r="H9" s="771">
        <f t="shared" si="4"/>
        <v>15</v>
      </c>
      <c r="I9" s="756">
        <f t="shared" si="3"/>
        <v>37998</v>
      </c>
    </row>
    <row r="10" spans="1:12">
      <c r="A10" s="771">
        <v>7</v>
      </c>
      <c r="B10" s="771" t="s">
        <v>2290</v>
      </c>
      <c r="C10" s="771" t="str">
        <f t="shared" si="0"/>
        <v>Suzuki</v>
      </c>
      <c r="D10" s="771">
        <f t="shared" si="1"/>
        <v>150</v>
      </c>
      <c r="E10" s="771" t="str">
        <f t="shared" si="2"/>
        <v>Avenis</v>
      </c>
      <c r="F10" s="772">
        <v>36959</v>
      </c>
      <c r="G10" s="771">
        <v>1</v>
      </c>
      <c r="H10" s="771">
        <f t="shared" si="4"/>
        <v>12</v>
      </c>
      <c r="I10" s="756">
        <f t="shared" si="3"/>
        <v>37324</v>
      </c>
    </row>
    <row r="11" spans="1:12">
      <c r="A11" s="771">
        <v>8</v>
      </c>
      <c r="B11" s="771" t="s">
        <v>2291</v>
      </c>
      <c r="C11" s="771" t="str">
        <f t="shared" si="0"/>
        <v>Yamaha</v>
      </c>
      <c r="D11" s="771">
        <f t="shared" si="1"/>
        <v>150</v>
      </c>
      <c r="E11" s="771" t="str">
        <f t="shared" si="2"/>
        <v>Majesty</v>
      </c>
      <c r="F11" s="772">
        <v>37435</v>
      </c>
      <c r="G11" s="771">
        <v>3</v>
      </c>
      <c r="H11" s="771">
        <f t="shared" si="4"/>
        <v>12</v>
      </c>
      <c r="I11" s="756">
        <f t="shared" si="3"/>
        <v>37800</v>
      </c>
    </row>
    <row r="12" spans="1:12">
      <c r="A12" s="771">
        <v>9</v>
      </c>
      <c r="B12" s="771" t="s">
        <v>2292</v>
      </c>
      <c r="C12" s="771" t="str">
        <f t="shared" si="0"/>
        <v>Honda</v>
      </c>
      <c r="D12" s="771">
        <f t="shared" si="1"/>
        <v>150</v>
      </c>
      <c r="E12" s="771" t="str">
        <f t="shared" si="2"/>
        <v>@</v>
      </c>
      <c r="F12" s="772">
        <v>36926</v>
      </c>
      <c r="G12" s="771">
        <v>2</v>
      </c>
      <c r="H12" s="771">
        <f t="shared" si="4"/>
        <v>12</v>
      </c>
      <c r="I12" s="756">
        <f t="shared" si="3"/>
        <v>37291</v>
      </c>
    </row>
    <row r="13" spans="1:12">
      <c r="A13" s="771">
        <v>10</v>
      </c>
      <c r="B13" s="771" t="s">
        <v>2293</v>
      </c>
      <c r="C13" s="771" t="str">
        <f t="shared" si="0"/>
        <v>Kawasaki</v>
      </c>
      <c r="D13" s="771">
        <f t="shared" si="1"/>
        <v>100</v>
      </c>
      <c r="E13" s="771" t="str">
        <f t="shared" si="2"/>
        <v>Max II</v>
      </c>
      <c r="F13" s="772">
        <v>37382</v>
      </c>
      <c r="G13" s="771">
        <v>8</v>
      </c>
      <c r="H13" s="771">
        <f t="shared" si="4"/>
        <v>18</v>
      </c>
      <c r="I13" s="756">
        <f t="shared" si="3"/>
        <v>37931</v>
      </c>
    </row>
    <row r="14" spans="1:12">
      <c r="A14" s="771">
        <v>11</v>
      </c>
      <c r="B14" s="771" t="s">
        <v>2294</v>
      </c>
      <c r="C14" s="771" t="str">
        <f t="shared" si="0"/>
        <v>Honda</v>
      </c>
      <c r="D14" s="771">
        <f t="shared" si="1"/>
        <v>100</v>
      </c>
      <c r="E14" s="771" t="str">
        <f t="shared" si="2"/>
        <v>Dream</v>
      </c>
      <c r="F14" s="772">
        <v>37268</v>
      </c>
      <c r="G14" s="771">
        <v>3</v>
      </c>
      <c r="H14" s="771">
        <f t="shared" si="4"/>
        <v>18</v>
      </c>
      <c r="I14" s="756">
        <f t="shared" si="3"/>
        <v>37814</v>
      </c>
    </row>
    <row r="15" spans="1:12">
      <c r="A15" s="771">
        <v>12</v>
      </c>
      <c r="B15" s="771" t="s">
        <v>2295</v>
      </c>
      <c r="C15" s="771" t="str">
        <f t="shared" si="0"/>
        <v>Yamaha</v>
      </c>
      <c r="D15" s="771">
        <f t="shared" si="1"/>
        <v>110</v>
      </c>
      <c r="E15" s="771" t="str">
        <f t="shared" si="2"/>
        <v>Sirius</v>
      </c>
      <c r="F15" s="772">
        <v>37389</v>
      </c>
      <c r="G15" s="771">
        <v>10</v>
      </c>
      <c r="H15" s="771">
        <f t="shared" si="4"/>
        <v>18</v>
      </c>
      <c r="I15" s="756">
        <f t="shared" si="3"/>
        <v>37938</v>
      </c>
    </row>
    <row r="16" spans="1:12">
      <c r="A16" s="771">
        <v>13</v>
      </c>
      <c r="B16" s="771" t="s">
        <v>2296</v>
      </c>
      <c r="C16" s="771" t="str">
        <f t="shared" si="0"/>
        <v>Suzuki</v>
      </c>
      <c r="D16" s="771">
        <f t="shared" si="1"/>
        <v>110</v>
      </c>
      <c r="E16" s="771" t="str">
        <f t="shared" si="2"/>
        <v>Viva</v>
      </c>
      <c r="F16" s="772">
        <v>37119</v>
      </c>
      <c r="G16" s="771">
        <v>4</v>
      </c>
      <c r="H16" s="771">
        <f t="shared" si="4"/>
        <v>18</v>
      </c>
      <c r="I16" s="756">
        <f t="shared" si="3"/>
        <v>37668</v>
      </c>
    </row>
    <row r="17" spans="1:9">
      <c r="A17" s="771">
        <v>14</v>
      </c>
      <c r="B17" s="771" t="s">
        <v>2297</v>
      </c>
      <c r="C17" s="771" t="str">
        <f t="shared" si="0"/>
        <v>Honda</v>
      </c>
      <c r="D17" s="771">
        <f t="shared" si="1"/>
        <v>110</v>
      </c>
      <c r="E17" s="771" t="str">
        <f t="shared" si="2"/>
        <v>Wave</v>
      </c>
      <c r="F17" s="772">
        <v>37226</v>
      </c>
      <c r="G17" s="771">
        <v>3</v>
      </c>
      <c r="H17" s="771">
        <f t="shared" si="4"/>
        <v>18</v>
      </c>
      <c r="I17" s="756">
        <f t="shared" si="3"/>
        <v>37773</v>
      </c>
    </row>
    <row r="18" spans="1:9">
      <c r="A18" s="771">
        <v>15</v>
      </c>
      <c r="B18" s="771" t="s">
        <v>2298</v>
      </c>
      <c r="C18" s="771" t="str">
        <f t="shared" si="0"/>
        <v>Kawasaki</v>
      </c>
      <c r="D18" s="771">
        <f t="shared" si="1"/>
        <v>150</v>
      </c>
      <c r="E18" s="771" t="str">
        <f t="shared" si="2"/>
        <v>x</v>
      </c>
      <c r="F18" s="772">
        <v>37018</v>
      </c>
      <c r="G18" s="771">
        <v>2</v>
      </c>
      <c r="H18" s="771">
        <f t="shared" si="4"/>
        <v>12</v>
      </c>
      <c r="I18" s="756">
        <f t="shared" si="3"/>
        <v>37383</v>
      </c>
    </row>
    <row r="19" spans="1:9">
      <c r="A19" s="771">
        <v>16</v>
      </c>
      <c r="B19" s="771" t="s">
        <v>2299</v>
      </c>
      <c r="C19" s="771" t="str">
        <f t="shared" si="0"/>
        <v>Suzuki</v>
      </c>
      <c r="D19" s="771">
        <f t="shared" si="1"/>
        <v>125</v>
      </c>
      <c r="E19" s="771" t="str">
        <f t="shared" si="2"/>
        <v>Fx</v>
      </c>
      <c r="F19" s="772">
        <v>37473</v>
      </c>
      <c r="G19" s="771">
        <v>6</v>
      </c>
      <c r="H19" s="771">
        <f t="shared" si="4"/>
        <v>15</v>
      </c>
      <c r="I19" s="756">
        <f t="shared" si="3"/>
        <v>37930</v>
      </c>
    </row>
    <row r="20" spans="1:9">
      <c r="A20" s="771">
        <v>17</v>
      </c>
      <c r="B20" s="771" t="s">
        <v>2300</v>
      </c>
      <c r="C20" s="771" t="str">
        <f t="shared" si="0"/>
        <v>Honda</v>
      </c>
      <c r="D20" s="771">
        <f t="shared" si="1"/>
        <v>125</v>
      </c>
      <c r="E20" s="771" t="str">
        <f t="shared" si="2"/>
        <v>Spacy</v>
      </c>
      <c r="F20" s="772">
        <v>37352</v>
      </c>
      <c r="G20" s="771">
        <v>3</v>
      </c>
      <c r="H20" s="771">
        <f t="shared" si="4"/>
        <v>15</v>
      </c>
      <c r="I20" s="756">
        <f t="shared" si="3"/>
        <v>37808</v>
      </c>
    </row>
    <row r="21" spans="1:9">
      <c r="A21" s="771">
        <v>18</v>
      </c>
      <c r="B21" s="771" t="s">
        <v>2301</v>
      </c>
      <c r="C21" s="771" t="str">
        <f t="shared" si="0"/>
        <v>Honda</v>
      </c>
      <c r="D21" s="771">
        <f t="shared" si="1"/>
        <v>110</v>
      </c>
      <c r="E21" s="771" t="str">
        <f t="shared" si="2"/>
        <v>Wave</v>
      </c>
      <c r="F21" s="772">
        <v>37507</v>
      </c>
      <c r="G21" s="771">
        <v>5</v>
      </c>
      <c r="H21" s="771">
        <f t="shared" si="4"/>
        <v>18</v>
      </c>
      <c r="I21" s="756">
        <f t="shared" si="3"/>
        <v>38054</v>
      </c>
    </row>
    <row r="22" spans="1:9">
      <c r="A22" s="771">
        <v>19</v>
      </c>
      <c r="B22" s="771" t="s">
        <v>2302</v>
      </c>
      <c r="C22" s="771" t="str">
        <f t="shared" si="0"/>
        <v>Yamaha</v>
      </c>
      <c r="D22" s="771">
        <f t="shared" si="1"/>
        <v>110</v>
      </c>
      <c r="E22" s="771" t="str">
        <f t="shared" si="2"/>
        <v>Sirius</v>
      </c>
      <c r="F22" s="772">
        <v>37248</v>
      </c>
      <c r="G22" s="771">
        <v>2</v>
      </c>
      <c r="H22" s="771">
        <f t="shared" si="4"/>
        <v>18</v>
      </c>
      <c r="I22" s="756">
        <f t="shared" si="3"/>
        <v>37795</v>
      </c>
    </row>
    <row r="23" spans="1:9">
      <c r="A23" s="771">
        <v>20</v>
      </c>
      <c r="B23" s="771" t="s">
        <v>2303</v>
      </c>
      <c r="C23" s="771" t="str">
        <f t="shared" si="0"/>
        <v>Honda</v>
      </c>
      <c r="D23" s="771">
        <f t="shared" si="1"/>
        <v>150</v>
      </c>
      <c r="E23" s="771" t="str">
        <f t="shared" si="2"/>
        <v>@</v>
      </c>
      <c r="F23" s="772">
        <v>37585</v>
      </c>
      <c r="G23" s="771">
        <v>4</v>
      </c>
      <c r="H23" s="771">
        <f t="shared" si="4"/>
        <v>12</v>
      </c>
      <c r="I23" s="756">
        <f t="shared" si="3"/>
        <v>37950</v>
      </c>
    </row>
    <row r="26" spans="1:9">
      <c r="A26" s="776" t="s">
        <v>2209</v>
      </c>
      <c r="B26" s="776"/>
      <c r="C26" s="777"/>
      <c r="D26" s="777"/>
      <c r="E26" s="777"/>
      <c r="F26" s="777"/>
      <c r="H26" s="778" t="s">
        <v>2191</v>
      </c>
      <c r="I26" s="779"/>
    </row>
    <row r="27" spans="1:9">
      <c r="A27" s="780" t="s">
        <v>2201</v>
      </c>
      <c r="B27" s="780"/>
      <c r="C27" s="780">
        <v>10</v>
      </c>
      <c r="D27" s="780">
        <v>11</v>
      </c>
      <c r="E27" s="780">
        <v>12</v>
      </c>
      <c r="F27" s="780">
        <v>15</v>
      </c>
      <c r="H27" s="781" t="s">
        <v>2196</v>
      </c>
      <c r="I27" s="781" t="s">
        <v>2194</v>
      </c>
    </row>
    <row r="28" spans="1:9">
      <c r="A28" s="780" t="s">
        <v>2202</v>
      </c>
      <c r="B28" s="780"/>
      <c r="C28" s="780">
        <v>100</v>
      </c>
      <c r="D28" s="780">
        <v>110</v>
      </c>
      <c r="E28" s="780">
        <v>125</v>
      </c>
      <c r="F28" s="780">
        <v>150</v>
      </c>
      <c r="H28" s="781" t="s">
        <v>2304</v>
      </c>
      <c r="I28" s="781" t="s">
        <v>2305</v>
      </c>
    </row>
    <row r="29" spans="1:9">
      <c r="A29" s="780" t="s">
        <v>2197</v>
      </c>
      <c r="B29" s="780"/>
      <c r="C29" s="780">
        <v>18</v>
      </c>
      <c r="D29" s="780">
        <v>18</v>
      </c>
      <c r="E29" s="780">
        <v>15</v>
      </c>
      <c r="F29" s="780">
        <v>12</v>
      </c>
      <c r="H29" s="781" t="s">
        <v>1105</v>
      </c>
      <c r="I29" s="781" t="s">
        <v>2306</v>
      </c>
    </row>
    <row r="30" spans="1:9">
      <c r="H30" s="781" t="s">
        <v>2307</v>
      </c>
      <c r="I30" s="781" t="s">
        <v>2308</v>
      </c>
    </row>
    <row r="31" spans="1:9">
      <c r="H31" s="781" t="s">
        <v>2309</v>
      </c>
      <c r="I31" s="781" t="s">
        <v>2310</v>
      </c>
    </row>
    <row r="32" spans="1:9">
      <c r="A32" s="778" t="s">
        <v>2207</v>
      </c>
      <c r="B32" s="778"/>
      <c r="C32" s="779"/>
      <c r="D32" s="779"/>
      <c r="E32" s="779"/>
    </row>
    <row r="33" spans="1:10">
      <c r="A33" s="781" t="s">
        <v>2203</v>
      </c>
      <c r="B33" s="1097">
        <v>100</v>
      </c>
      <c r="C33" s="1097">
        <v>110</v>
      </c>
      <c r="D33" s="1097">
        <v>125</v>
      </c>
      <c r="E33" s="1097">
        <v>150</v>
      </c>
      <c r="G33" s="736"/>
      <c r="H33" s="736"/>
      <c r="I33" s="736"/>
      <c r="J33" s="736"/>
    </row>
    <row r="34" spans="1:10">
      <c r="A34" s="781" t="s">
        <v>385</v>
      </c>
      <c r="B34" s="1097"/>
      <c r="C34" s="1097"/>
      <c r="D34" s="1097"/>
      <c r="E34" s="1097"/>
    </row>
    <row r="35" spans="1:10">
      <c r="A35" s="781" t="s">
        <v>2305</v>
      </c>
      <c r="B35" s="781" t="s">
        <v>2311</v>
      </c>
      <c r="C35" s="781" t="s">
        <v>2312</v>
      </c>
      <c r="D35" s="781" t="s">
        <v>2313</v>
      </c>
      <c r="E35" s="782" t="s">
        <v>2314</v>
      </c>
    </row>
    <row r="36" spans="1:10">
      <c r="A36" s="781" t="s">
        <v>2306</v>
      </c>
      <c r="B36" s="781" t="s">
        <v>269</v>
      </c>
      <c r="C36" s="781" t="s">
        <v>2315</v>
      </c>
      <c r="D36" s="781" t="s">
        <v>2316</v>
      </c>
      <c r="E36" s="781" t="s">
        <v>2317</v>
      </c>
    </row>
    <row r="37" spans="1:10">
      <c r="A37" s="781" t="s">
        <v>2308</v>
      </c>
      <c r="B37" s="781" t="s">
        <v>269</v>
      </c>
      <c r="C37" s="781" t="s">
        <v>2318</v>
      </c>
      <c r="D37" s="781" t="s">
        <v>2319</v>
      </c>
      <c r="E37" s="781" t="s">
        <v>2320</v>
      </c>
    </row>
    <row r="38" spans="1:10">
      <c r="A38" s="781" t="s">
        <v>2310</v>
      </c>
      <c r="B38" s="781" t="s">
        <v>2321</v>
      </c>
      <c r="C38" s="781" t="s">
        <v>269</v>
      </c>
      <c r="D38" s="781" t="s">
        <v>269</v>
      </c>
      <c r="E38" s="781" t="s">
        <v>269</v>
      </c>
    </row>
    <row r="40" spans="1:10">
      <c r="A40" s="776" t="s">
        <v>2210</v>
      </c>
      <c r="B40" s="776"/>
      <c r="C40" s="776"/>
      <c r="E40" s="761" t="s">
        <v>2214</v>
      </c>
      <c r="F40" s="761"/>
      <c r="G40" s="761"/>
      <c r="H40" s="761"/>
      <c r="I40" s="761"/>
    </row>
    <row r="41" spans="1:10">
      <c r="A41" s="780" t="s">
        <v>2357</v>
      </c>
      <c r="B41" s="780" t="s">
        <v>2322</v>
      </c>
      <c r="C41" s="780" t="s">
        <v>2198</v>
      </c>
      <c r="E41" s="783" t="s">
        <v>2204</v>
      </c>
      <c r="F41" s="783">
        <v>100</v>
      </c>
      <c r="G41" s="783">
        <v>110</v>
      </c>
      <c r="H41" s="783">
        <v>125</v>
      </c>
      <c r="I41" s="783">
        <v>150</v>
      </c>
    </row>
    <row r="42" spans="1:10">
      <c r="A42" s="780" t="s">
        <v>2305</v>
      </c>
      <c r="B42" s="780">
        <f>SUMIF($C$4:$C$23,A42,$G$4:$G$23)</f>
        <v>22</v>
      </c>
      <c r="C42" s="780" t="s">
        <v>2323</v>
      </c>
      <c r="E42" s="783" t="s">
        <v>2199</v>
      </c>
      <c r="F42" s="783" t="s">
        <v>2323</v>
      </c>
      <c r="G42" s="783" t="s">
        <v>2323</v>
      </c>
      <c r="H42" s="783" t="s">
        <v>2323</v>
      </c>
      <c r="I42" s="783" t="s">
        <v>2323</v>
      </c>
    </row>
    <row r="43" spans="1:10">
      <c r="A43" s="780" t="s">
        <v>2306</v>
      </c>
      <c r="B43" s="780">
        <f>SUMIF($C$4:$C$23,A43,$G$4:$G$23)</f>
        <v>23</v>
      </c>
      <c r="C43" s="780" t="s">
        <v>2323</v>
      </c>
      <c r="E43" s="783" t="s">
        <v>2211</v>
      </c>
      <c r="F43" s="783"/>
      <c r="G43" s="783"/>
      <c r="H43" s="783"/>
      <c r="I43" s="783" t="s">
        <v>2323</v>
      </c>
    </row>
    <row r="44" spans="1:10">
      <c r="A44" s="780" t="s">
        <v>2308</v>
      </c>
      <c r="B44" s="780">
        <f>SUMIF($C$4:$C$23,A44,$G$4:$G$23)</f>
        <v>23</v>
      </c>
      <c r="C44" s="780" t="s">
        <v>2323</v>
      </c>
      <c r="E44" s="783" t="s">
        <v>2212</v>
      </c>
      <c r="F44" s="783"/>
      <c r="G44" s="783"/>
      <c r="H44" s="783"/>
      <c r="I44" s="783" t="s">
        <v>2323</v>
      </c>
    </row>
    <row r="45" spans="1:10">
      <c r="A45" s="780" t="s">
        <v>2310</v>
      </c>
      <c r="B45" s="780">
        <f>SUMIF($C$4:$C$23,A45,$G$4:$G$23)</f>
        <v>16</v>
      </c>
      <c r="C45" s="780" t="s">
        <v>2323</v>
      </c>
    </row>
    <row r="48" spans="1:10">
      <c r="A48" s="778" t="s">
        <v>2213</v>
      </c>
      <c r="B48" s="779"/>
    </row>
    <row r="49" spans="1:2">
      <c r="A49" s="778" t="s">
        <v>2205</v>
      </c>
      <c r="B49" s="779"/>
    </row>
  </sheetData>
  <mergeCells count="5">
    <mergeCell ref="C1:E1"/>
    <mergeCell ref="B33:B34"/>
    <mergeCell ref="C33:C34"/>
    <mergeCell ref="D33:D34"/>
    <mergeCell ref="E33:E34"/>
  </mergeCells>
  <phoneticPr fontId="41" type="noConversion"/>
  <pageMargins left="0.75" right="0.75" top="1" bottom="1" header="0.5" footer="0.5"/>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opLeftCell="G1" workbookViewId="0">
      <selection activeCell="H12" sqref="H12"/>
    </sheetView>
  </sheetViews>
  <sheetFormatPr defaultRowHeight="15"/>
  <cols>
    <col min="4" max="4" width="10" customWidth="1"/>
    <col min="5" max="5" width="10.375" customWidth="1"/>
  </cols>
  <sheetData>
    <row r="1" spans="1:12" ht="30">
      <c r="A1" s="683" t="s">
        <v>842</v>
      </c>
      <c r="B1" s="683" t="s">
        <v>661</v>
      </c>
      <c r="C1" s="683" t="s">
        <v>663</v>
      </c>
      <c r="D1" s="683" t="s">
        <v>2371</v>
      </c>
      <c r="E1" s="683" t="s">
        <v>2375</v>
      </c>
      <c r="F1" s="683" t="s">
        <v>410</v>
      </c>
      <c r="G1" s="683" t="s">
        <v>2379</v>
      </c>
      <c r="H1" s="683" t="s">
        <v>681</v>
      </c>
      <c r="I1" s="683" t="s">
        <v>687</v>
      </c>
      <c r="J1" s="683" t="s">
        <v>151</v>
      </c>
      <c r="K1" s="683" t="s">
        <v>666</v>
      </c>
      <c r="L1" s="683" t="s">
        <v>2376</v>
      </c>
    </row>
    <row r="2" spans="1:12" ht="15.75">
      <c r="A2" s="642">
        <v>1</v>
      </c>
      <c r="B2" s="642" t="s">
        <v>1163</v>
      </c>
      <c r="C2" s="642" t="s">
        <v>2369</v>
      </c>
      <c r="D2" s="643">
        <v>35927</v>
      </c>
      <c r="E2" s="643">
        <v>35930</v>
      </c>
      <c r="F2" s="642">
        <f t="shared" ref="F2:F7" si="0">E2-D2</f>
        <v>3</v>
      </c>
      <c r="G2" s="642" t="str">
        <f t="shared" ref="G2:G7" si="1">IF(F2&gt;90,"Bán chậm",IF(F2&gt;30,"Bán được",IF(F2&lt;=30,"Bán chạy")))</f>
        <v>Bán chạy</v>
      </c>
      <c r="H2" s="642">
        <v>100</v>
      </c>
      <c r="I2" s="642">
        <v>5</v>
      </c>
      <c r="J2" s="642">
        <f t="shared" ref="J2:J7" si="2">H2*I2</f>
        <v>500</v>
      </c>
      <c r="K2" s="684">
        <f t="shared" ref="K2:K7" si="3">VLOOKUP(LEFT(B2),$B$14:$D$17,1+RIGHT(B2),0)*J2</f>
        <v>25</v>
      </c>
      <c r="L2" s="642"/>
    </row>
    <row r="3" spans="1:12" ht="15.75">
      <c r="A3" s="642">
        <v>2</v>
      </c>
      <c r="B3" s="642" t="s">
        <v>1155</v>
      </c>
      <c r="C3" s="642" t="s">
        <v>2383</v>
      </c>
      <c r="D3" s="643">
        <v>35802</v>
      </c>
      <c r="E3" s="643">
        <v>35902</v>
      </c>
      <c r="F3" s="642">
        <f t="shared" si="0"/>
        <v>100</v>
      </c>
      <c r="G3" s="642" t="str">
        <f t="shared" si="1"/>
        <v>Bán chậm</v>
      </c>
      <c r="H3" s="642">
        <v>200</v>
      </c>
      <c r="I3" s="642">
        <v>10</v>
      </c>
      <c r="J3" s="642">
        <f t="shared" si="2"/>
        <v>2000</v>
      </c>
      <c r="K3" s="684">
        <f t="shared" si="3"/>
        <v>30</v>
      </c>
      <c r="L3" s="642"/>
    </row>
    <row r="4" spans="1:12" ht="15.75">
      <c r="A4" s="642">
        <v>3</v>
      </c>
      <c r="B4" s="642" t="s">
        <v>513</v>
      </c>
      <c r="C4" s="642" t="s">
        <v>232</v>
      </c>
      <c r="D4" s="643">
        <v>36006</v>
      </c>
      <c r="E4" s="643">
        <v>36066</v>
      </c>
      <c r="F4" s="642">
        <f t="shared" si="0"/>
        <v>60</v>
      </c>
      <c r="G4" s="642" t="str">
        <f t="shared" si="1"/>
        <v>Bán được</v>
      </c>
      <c r="H4" s="642">
        <v>300</v>
      </c>
      <c r="I4" s="642">
        <v>20</v>
      </c>
      <c r="J4" s="642">
        <f t="shared" si="2"/>
        <v>6000</v>
      </c>
      <c r="K4" s="684">
        <f t="shared" si="3"/>
        <v>900</v>
      </c>
      <c r="L4" s="642"/>
    </row>
    <row r="5" spans="1:12" ht="15.75">
      <c r="A5" s="642">
        <v>4</v>
      </c>
      <c r="B5" s="642" t="s">
        <v>514</v>
      </c>
      <c r="C5" s="642" t="s">
        <v>231</v>
      </c>
      <c r="D5" s="643">
        <v>35827</v>
      </c>
      <c r="E5" s="643">
        <v>36130</v>
      </c>
      <c r="F5" s="642">
        <f t="shared" si="0"/>
        <v>303</v>
      </c>
      <c r="G5" s="642" t="str">
        <f t="shared" si="1"/>
        <v>Bán chậm</v>
      </c>
      <c r="H5" s="642">
        <v>120</v>
      </c>
      <c r="I5" s="642">
        <v>15</v>
      </c>
      <c r="J5" s="642">
        <f t="shared" si="2"/>
        <v>1800</v>
      </c>
      <c r="K5" s="684">
        <f t="shared" si="3"/>
        <v>144</v>
      </c>
      <c r="L5" s="642"/>
    </row>
    <row r="6" spans="1:12" ht="15.75">
      <c r="A6" s="642">
        <v>5</v>
      </c>
      <c r="B6" s="642" t="s">
        <v>1156</v>
      </c>
      <c r="C6" s="642" t="s">
        <v>2368</v>
      </c>
      <c r="D6" s="643">
        <v>36006</v>
      </c>
      <c r="E6" s="643">
        <v>36066</v>
      </c>
      <c r="F6" s="642">
        <f t="shared" si="0"/>
        <v>60</v>
      </c>
      <c r="G6" s="642" t="str">
        <f t="shared" si="1"/>
        <v>Bán được</v>
      </c>
      <c r="H6" s="642">
        <v>400</v>
      </c>
      <c r="I6" s="642">
        <v>15</v>
      </c>
      <c r="J6" s="642">
        <f t="shared" si="2"/>
        <v>6000</v>
      </c>
      <c r="K6" s="684">
        <f t="shared" si="3"/>
        <v>60</v>
      </c>
      <c r="L6" s="642"/>
    </row>
    <row r="7" spans="1:12" ht="15.75">
      <c r="A7" s="642">
        <v>6</v>
      </c>
      <c r="B7" s="642" t="s">
        <v>1162</v>
      </c>
      <c r="C7" s="642" t="s">
        <v>2384</v>
      </c>
      <c r="D7" s="643">
        <v>35927</v>
      </c>
      <c r="E7" s="643">
        <v>35930</v>
      </c>
      <c r="F7" s="642">
        <f t="shared" si="0"/>
        <v>3</v>
      </c>
      <c r="G7" s="642" t="str">
        <f t="shared" si="1"/>
        <v>Bán chạy</v>
      </c>
      <c r="H7" s="642">
        <v>50</v>
      </c>
      <c r="I7" s="642">
        <v>10</v>
      </c>
      <c r="J7" s="642">
        <f t="shared" si="2"/>
        <v>500</v>
      </c>
      <c r="K7" s="684">
        <f t="shared" si="3"/>
        <v>30</v>
      </c>
      <c r="L7" s="642"/>
    </row>
    <row r="8" spans="1:12" ht="15.75">
      <c r="A8" s="1098" t="s">
        <v>671</v>
      </c>
      <c r="B8" s="1099"/>
      <c r="C8" s="1099"/>
      <c r="D8" s="1099"/>
      <c r="E8" s="1099"/>
      <c r="F8" s="1099"/>
      <c r="G8" s="1100"/>
      <c r="H8" s="642">
        <f>SUM(H2:H7)</f>
        <v>1170</v>
      </c>
      <c r="I8" s="642"/>
      <c r="J8" s="642">
        <f>SUM(J2:J7)</f>
        <v>16800</v>
      </c>
      <c r="K8" s="684"/>
      <c r="L8" s="642"/>
    </row>
    <row r="11" spans="1:12">
      <c r="B11" t="s">
        <v>1449</v>
      </c>
    </row>
    <row r="12" spans="1:12" ht="15.75">
      <c r="B12" s="1101" t="s">
        <v>2373</v>
      </c>
      <c r="C12" s="1101" t="s">
        <v>1450</v>
      </c>
      <c r="D12" s="1101"/>
      <c r="G12" t="s">
        <v>1451</v>
      </c>
    </row>
    <row r="13" spans="1:12" ht="15.75">
      <c r="B13" s="1101"/>
      <c r="C13" s="685">
        <v>1</v>
      </c>
      <c r="D13" s="685">
        <v>2</v>
      </c>
    </row>
    <row r="14" spans="1:12">
      <c r="B14" s="647" t="s">
        <v>1022</v>
      </c>
      <c r="C14" s="677">
        <v>1.4999999999999999E-2</v>
      </c>
      <c r="D14" s="676">
        <v>0.01</v>
      </c>
    </row>
    <row r="15" spans="1:12">
      <c r="B15" s="647" t="s">
        <v>1023</v>
      </c>
      <c r="C15" s="676">
        <v>0.06</v>
      </c>
      <c r="D15" s="676">
        <v>0.05</v>
      </c>
    </row>
    <row r="16" spans="1:12">
      <c r="B16" s="647" t="s">
        <v>1024</v>
      </c>
      <c r="C16" s="676">
        <v>0.1</v>
      </c>
      <c r="D16" s="676">
        <v>0.08</v>
      </c>
    </row>
    <row r="17" spans="2:4">
      <c r="B17" s="647" t="s">
        <v>1025</v>
      </c>
      <c r="C17" s="676">
        <v>0.15</v>
      </c>
      <c r="D17" s="676">
        <v>0.12</v>
      </c>
    </row>
  </sheetData>
  <mergeCells count="3">
    <mergeCell ref="A8:G8"/>
    <mergeCell ref="B12:B13"/>
    <mergeCell ref="C12:D12"/>
  </mergeCells>
  <phoneticPr fontId="41" type="noConversion"/>
  <pageMargins left="0.75" right="0.75" top="1" bottom="1" header="0.5" footer="0.5"/>
  <pageSetup orientation="portrait" horizontalDpi="300" verticalDpi="300" r:id="rId1"/>
  <headerFooter alignWithMargins="0"/>
  <drawing r:id="rId2"/>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election activeCell="F19" sqref="F19"/>
    </sheetView>
  </sheetViews>
  <sheetFormatPr defaultColWidth="8.875" defaultRowHeight="15.75"/>
  <cols>
    <col min="1" max="1" width="4.125" style="27" customWidth="1"/>
    <col min="2" max="2" width="16.625" style="27" customWidth="1"/>
    <col min="3" max="3" width="14.375" style="27" customWidth="1"/>
    <col min="4" max="4" width="7.375" style="27" customWidth="1"/>
    <col min="5" max="6" width="8.75" style="27" customWidth="1"/>
    <col min="7" max="7" width="10.75" style="27" customWidth="1"/>
    <col min="8" max="8" width="15.75" style="27" bestFit="1" customWidth="1"/>
    <col min="9" max="9" width="9.875" style="27" bestFit="1" customWidth="1"/>
    <col min="10" max="10" width="14.625" style="27" customWidth="1"/>
    <col min="11" max="11" width="12" style="27" bestFit="1" customWidth="1"/>
    <col min="12" max="12" width="10.25" style="27" customWidth="1"/>
    <col min="13" max="16384" width="8.875" style="27"/>
  </cols>
  <sheetData>
    <row r="1" spans="1:13">
      <c r="F1" s="758"/>
    </row>
    <row r="2" spans="1:13">
      <c r="D2" s="1102" t="s">
        <v>2008</v>
      </c>
      <c r="E2" s="1102"/>
      <c r="F2" s="1102"/>
      <c r="G2" s="1102"/>
      <c r="H2" s="1102"/>
      <c r="I2" s="736"/>
    </row>
    <row r="3" spans="1:13">
      <c r="D3" s="1102"/>
      <c r="E3" s="1102"/>
      <c r="F3" s="1102"/>
      <c r="G3" s="1102"/>
      <c r="H3" s="1102"/>
      <c r="I3" s="736"/>
    </row>
    <row r="5" spans="1:13">
      <c r="A5" s="784" t="s">
        <v>1017</v>
      </c>
      <c r="B5" s="785" t="s">
        <v>2231</v>
      </c>
      <c r="C5" s="784" t="s">
        <v>2222</v>
      </c>
      <c r="D5" s="784" t="s">
        <v>2009</v>
      </c>
      <c r="E5" s="786" t="s">
        <v>2010</v>
      </c>
      <c r="F5" s="786" t="s">
        <v>2011</v>
      </c>
      <c r="G5" s="784" t="s">
        <v>2219</v>
      </c>
      <c r="H5" s="784" t="s">
        <v>2012</v>
      </c>
      <c r="I5" s="784" t="s">
        <v>2013</v>
      </c>
      <c r="J5" s="784" t="s">
        <v>2014</v>
      </c>
      <c r="K5" s="784" t="s">
        <v>2015</v>
      </c>
      <c r="L5" s="787" t="s">
        <v>2216</v>
      </c>
    </row>
    <row r="6" spans="1:13">
      <c r="A6" s="784">
        <v>1</v>
      </c>
      <c r="B6" s="786" t="s">
        <v>2016</v>
      </c>
      <c r="C6" s="664" t="str">
        <f>HLOOKUP(B6,$B$20:$E$21,2)</f>
        <v>Kinh doanh</v>
      </c>
      <c r="D6" s="664">
        <f>HLOOKUP(B6,$B$20:$E$22,3)</f>
        <v>200</v>
      </c>
      <c r="E6" s="788">
        <v>120</v>
      </c>
      <c r="F6" s="788">
        <v>350</v>
      </c>
      <c r="G6" s="664">
        <f>F6-E6</f>
        <v>230</v>
      </c>
      <c r="H6" s="789">
        <f>MIN(G6,D6)*L6</f>
        <v>40000</v>
      </c>
      <c r="I6" s="790">
        <f>MAX(G6-D6,0)</f>
        <v>30</v>
      </c>
      <c r="J6" s="791">
        <f>I6*IF(I6&lt;50,150,IF(I6&lt;150,250,350))</f>
        <v>4500</v>
      </c>
      <c r="K6" s="792">
        <f t="shared" ref="K6:K15" si="0">H6+J6</f>
        <v>44500</v>
      </c>
      <c r="L6" s="793">
        <f t="shared" ref="L6:L15" si="1">INDEX($I$21:$K$23,MATCH(C6,$H$21:$H$23,0),RIGHT(B6))</f>
        <v>200</v>
      </c>
    </row>
    <row r="7" spans="1:13">
      <c r="A7" s="784">
        <v>2</v>
      </c>
      <c r="B7" s="786" t="s">
        <v>2017</v>
      </c>
      <c r="C7" s="664" t="str">
        <f>HLOOKUP(B7,$B$20:$E$21,2)</f>
        <v>Kinh doanh</v>
      </c>
      <c r="D7" s="664">
        <f t="shared" ref="D7:D15" si="2">HLOOKUP(B7,$B$20:$E$22,3)</f>
        <v>200</v>
      </c>
      <c r="E7" s="788">
        <v>210</v>
      </c>
      <c r="F7" s="788">
        <v>540</v>
      </c>
      <c r="G7" s="664">
        <f t="shared" ref="G7:G15" si="3">F7-E7</f>
        <v>330</v>
      </c>
      <c r="H7" s="789">
        <f t="shared" ref="H7:H15" si="4">MIN(G7,D7)*L7</f>
        <v>36000</v>
      </c>
      <c r="I7" s="790">
        <f t="shared" ref="I7:I15" si="5">MAX(G7-D7,0)</f>
        <v>130</v>
      </c>
      <c r="J7" s="791">
        <f t="shared" ref="J7:J15" si="6">I7*IF(I7&lt;50,150,IF(I7&lt;150,250,350))</f>
        <v>32500</v>
      </c>
      <c r="K7" s="792">
        <f t="shared" si="0"/>
        <v>68500</v>
      </c>
      <c r="L7" s="793">
        <f t="shared" si="1"/>
        <v>180</v>
      </c>
      <c r="M7" s="794" t="s">
        <v>2224</v>
      </c>
    </row>
    <row r="8" spans="1:13">
      <c r="A8" s="784">
        <v>3</v>
      </c>
      <c r="B8" s="786" t="s">
        <v>2018</v>
      </c>
      <c r="C8" s="664" t="str">
        <f t="shared" ref="C8:C15" si="7">HLOOKUP(B8,$B$20:$E$21,2)</f>
        <v>Sản Xuất</v>
      </c>
      <c r="D8" s="664">
        <f t="shared" si="2"/>
        <v>160</v>
      </c>
      <c r="E8" s="788">
        <v>320</v>
      </c>
      <c r="F8" s="788">
        <v>350</v>
      </c>
      <c r="G8" s="664">
        <f t="shared" si="3"/>
        <v>30</v>
      </c>
      <c r="H8" s="789">
        <f t="shared" si="4"/>
        <v>5400</v>
      </c>
      <c r="I8" s="790">
        <f t="shared" si="5"/>
        <v>0</v>
      </c>
      <c r="J8" s="791">
        <f t="shared" si="6"/>
        <v>0</v>
      </c>
      <c r="K8" s="792">
        <f t="shared" si="0"/>
        <v>5400</v>
      </c>
      <c r="L8" s="793">
        <f t="shared" si="1"/>
        <v>180</v>
      </c>
      <c r="M8" s="794" t="s">
        <v>2225</v>
      </c>
    </row>
    <row r="9" spans="1:13">
      <c r="A9" s="784">
        <v>4</v>
      </c>
      <c r="B9" s="786" t="s">
        <v>2019</v>
      </c>
      <c r="C9" s="664" t="str">
        <f t="shared" si="7"/>
        <v>Kinh doanh</v>
      </c>
      <c r="D9" s="664">
        <f t="shared" si="2"/>
        <v>200</v>
      </c>
      <c r="E9" s="788">
        <v>360</v>
      </c>
      <c r="F9" s="788">
        <v>1200</v>
      </c>
      <c r="G9" s="664">
        <f t="shared" si="3"/>
        <v>840</v>
      </c>
      <c r="H9" s="789">
        <f t="shared" si="4"/>
        <v>30000</v>
      </c>
      <c r="I9" s="790">
        <f t="shared" si="5"/>
        <v>640</v>
      </c>
      <c r="J9" s="791">
        <f t="shared" si="6"/>
        <v>224000</v>
      </c>
      <c r="K9" s="792">
        <f t="shared" si="0"/>
        <v>254000</v>
      </c>
      <c r="L9" s="793">
        <f>INDEX($I$21:$K$23,MATCH(C9,$H$21:$H$23,0),RIGHT(B9))</f>
        <v>150</v>
      </c>
      <c r="M9" s="794" t="s">
        <v>2226</v>
      </c>
    </row>
    <row r="10" spans="1:13">
      <c r="A10" s="784">
        <v>5</v>
      </c>
      <c r="B10" s="786" t="s">
        <v>2020</v>
      </c>
      <c r="C10" s="664" t="str">
        <f t="shared" si="7"/>
        <v>Sản Xuất</v>
      </c>
      <c r="D10" s="664">
        <f t="shared" si="2"/>
        <v>160</v>
      </c>
      <c r="E10" s="788">
        <v>235</v>
      </c>
      <c r="F10" s="788">
        <v>550</v>
      </c>
      <c r="G10" s="664">
        <f t="shared" si="3"/>
        <v>315</v>
      </c>
      <c r="H10" s="789">
        <f t="shared" si="4"/>
        <v>19200</v>
      </c>
      <c r="I10" s="790">
        <f t="shared" si="5"/>
        <v>155</v>
      </c>
      <c r="J10" s="791">
        <f t="shared" si="6"/>
        <v>54250</v>
      </c>
      <c r="K10" s="792">
        <f t="shared" si="0"/>
        <v>73450</v>
      </c>
      <c r="L10" s="793">
        <f t="shared" si="1"/>
        <v>120</v>
      </c>
      <c r="M10" s="794" t="s">
        <v>2227</v>
      </c>
    </row>
    <row r="11" spans="1:13">
      <c r="A11" s="784">
        <v>6</v>
      </c>
      <c r="B11" s="786" t="s">
        <v>2021</v>
      </c>
      <c r="C11" s="664" t="str">
        <f t="shared" si="7"/>
        <v>Sinh Hoạt</v>
      </c>
      <c r="D11" s="664">
        <f t="shared" si="2"/>
        <v>120</v>
      </c>
      <c r="E11" s="788">
        <v>345</v>
      </c>
      <c r="F11" s="788">
        <v>600</v>
      </c>
      <c r="G11" s="664">
        <f t="shared" si="3"/>
        <v>255</v>
      </c>
      <c r="H11" s="789">
        <f t="shared" si="4"/>
        <v>18000</v>
      </c>
      <c r="I11" s="790">
        <f t="shared" si="5"/>
        <v>135</v>
      </c>
      <c r="J11" s="791">
        <f t="shared" si="6"/>
        <v>33750</v>
      </c>
      <c r="K11" s="792">
        <f t="shared" si="0"/>
        <v>51750</v>
      </c>
      <c r="L11" s="793">
        <f t="shared" si="1"/>
        <v>150</v>
      </c>
      <c r="M11" s="794" t="s">
        <v>2228</v>
      </c>
    </row>
    <row r="12" spans="1:13">
      <c r="A12" s="784">
        <v>7</v>
      </c>
      <c r="B12" s="786" t="s">
        <v>2022</v>
      </c>
      <c r="C12" s="664" t="str">
        <f t="shared" si="7"/>
        <v>Sinh Hoạt</v>
      </c>
      <c r="D12" s="664">
        <f t="shared" si="2"/>
        <v>120</v>
      </c>
      <c r="E12" s="788">
        <v>180</v>
      </c>
      <c r="F12" s="788">
        <v>290</v>
      </c>
      <c r="G12" s="664">
        <f t="shared" si="3"/>
        <v>110</v>
      </c>
      <c r="H12" s="789">
        <f t="shared" si="4"/>
        <v>11000</v>
      </c>
      <c r="I12" s="790">
        <f t="shared" si="5"/>
        <v>0</v>
      </c>
      <c r="J12" s="791">
        <f t="shared" si="6"/>
        <v>0</v>
      </c>
      <c r="K12" s="792">
        <f t="shared" si="0"/>
        <v>11000</v>
      </c>
      <c r="L12" s="793">
        <f t="shared" si="1"/>
        <v>100</v>
      </c>
      <c r="M12" s="794" t="s">
        <v>2217</v>
      </c>
    </row>
    <row r="13" spans="1:13">
      <c r="A13" s="784">
        <v>8</v>
      </c>
      <c r="B13" s="786" t="s">
        <v>2017</v>
      </c>
      <c r="C13" s="664" t="str">
        <f t="shared" si="7"/>
        <v>Kinh doanh</v>
      </c>
      <c r="D13" s="664">
        <f t="shared" si="2"/>
        <v>200</v>
      </c>
      <c r="E13" s="788">
        <v>125</v>
      </c>
      <c r="F13" s="788">
        <v>350</v>
      </c>
      <c r="G13" s="664">
        <f t="shared" si="3"/>
        <v>225</v>
      </c>
      <c r="H13" s="789">
        <f t="shared" si="4"/>
        <v>36000</v>
      </c>
      <c r="I13" s="790">
        <f t="shared" si="5"/>
        <v>25</v>
      </c>
      <c r="J13" s="791">
        <f t="shared" si="6"/>
        <v>3750</v>
      </c>
      <c r="K13" s="792">
        <f t="shared" si="0"/>
        <v>39750</v>
      </c>
      <c r="L13" s="793">
        <f t="shared" si="1"/>
        <v>180</v>
      </c>
    </row>
    <row r="14" spans="1:13">
      <c r="A14" s="784">
        <v>9</v>
      </c>
      <c r="B14" s="786" t="s">
        <v>2018</v>
      </c>
      <c r="C14" s="664" t="str">
        <f t="shared" si="7"/>
        <v>Sản Xuất</v>
      </c>
      <c r="D14" s="664">
        <f t="shared" si="2"/>
        <v>160</v>
      </c>
      <c r="E14" s="788">
        <v>420</v>
      </c>
      <c r="F14" s="788">
        <v>800</v>
      </c>
      <c r="G14" s="664">
        <f t="shared" si="3"/>
        <v>380</v>
      </c>
      <c r="H14" s="789">
        <f t="shared" si="4"/>
        <v>28800</v>
      </c>
      <c r="I14" s="790">
        <f t="shared" si="5"/>
        <v>220</v>
      </c>
      <c r="J14" s="791">
        <f t="shared" si="6"/>
        <v>77000</v>
      </c>
      <c r="K14" s="792">
        <f t="shared" si="0"/>
        <v>105800</v>
      </c>
      <c r="L14" s="793">
        <f t="shared" si="1"/>
        <v>180</v>
      </c>
    </row>
    <row r="15" spans="1:13">
      <c r="A15" s="784">
        <v>10</v>
      </c>
      <c r="B15" s="786" t="s">
        <v>2022</v>
      </c>
      <c r="C15" s="664" t="str">
        <f t="shared" si="7"/>
        <v>Sinh Hoạt</v>
      </c>
      <c r="D15" s="664">
        <f t="shared" si="2"/>
        <v>120</v>
      </c>
      <c r="E15" s="788">
        <v>650</v>
      </c>
      <c r="F15" s="788">
        <v>780</v>
      </c>
      <c r="G15" s="664">
        <f t="shared" si="3"/>
        <v>130</v>
      </c>
      <c r="H15" s="789">
        <f t="shared" si="4"/>
        <v>12000</v>
      </c>
      <c r="I15" s="790">
        <f t="shared" si="5"/>
        <v>10</v>
      </c>
      <c r="J15" s="791">
        <f t="shared" si="6"/>
        <v>1500</v>
      </c>
      <c r="K15" s="792">
        <f t="shared" si="0"/>
        <v>13500</v>
      </c>
      <c r="L15" s="793">
        <f t="shared" si="1"/>
        <v>100</v>
      </c>
    </row>
    <row r="17" spans="2:11">
      <c r="K17" s="795"/>
    </row>
    <row r="18" spans="2:11">
      <c r="B18" s="1102" t="s">
        <v>652</v>
      </c>
      <c r="C18" s="1102"/>
      <c r="H18" s="1102" t="s">
        <v>2218</v>
      </c>
      <c r="I18" s="1102"/>
      <c r="J18" s="1102"/>
    </row>
    <row r="19" spans="2:11">
      <c r="B19" s="1102"/>
      <c r="C19" s="1102"/>
      <c r="H19" s="1102"/>
      <c r="I19" s="1102"/>
      <c r="J19" s="1102"/>
    </row>
    <row r="20" spans="2:11">
      <c r="B20" s="29" t="s">
        <v>2232</v>
      </c>
      <c r="C20" s="29" t="s">
        <v>804</v>
      </c>
      <c r="D20" s="29" t="s">
        <v>2023</v>
      </c>
      <c r="E20" s="29" t="s">
        <v>1085</v>
      </c>
      <c r="H20" s="29" t="s">
        <v>2024</v>
      </c>
      <c r="I20" s="29" t="s">
        <v>1870</v>
      </c>
      <c r="J20" s="29" t="s">
        <v>2025</v>
      </c>
      <c r="K20" s="29" t="s">
        <v>2026</v>
      </c>
    </row>
    <row r="21" spans="2:11">
      <c r="B21" s="29" t="s">
        <v>2027</v>
      </c>
      <c r="C21" s="29" t="s">
        <v>456</v>
      </c>
      <c r="D21" s="29" t="s">
        <v>2028</v>
      </c>
      <c r="E21" s="29" t="s">
        <v>2029</v>
      </c>
      <c r="H21" s="29" t="s">
        <v>2030</v>
      </c>
      <c r="I21" s="796">
        <v>200</v>
      </c>
      <c r="J21" s="29">
        <v>180</v>
      </c>
      <c r="K21" s="29">
        <v>150</v>
      </c>
    </row>
    <row r="22" spans="2:11">
      <c r="B22" s="29" t="s">
        <v>2031</v>
      </c>
      <c r="C22" s="29">
        <v>200</v>
      </c>
      <c r="D22" s="29">
        <v>160</v>
      </c>
      <c r="E22" s="29">
        <v>120</v>
      </c>
      <c r="H22" s="29" t="s">
        <v>2028</v>
      </c>
      <c r="I22" s="796">
        <v>180</v>
      </c>
      <c r="J22" s="29">
        <v>160</v>
      </c>
      <c r="K22" s="29">
        <v>120</v>
      </c>
    </row>
    <row r="23" spans="2:11">
      <c r="H23" s="29" t="s">
        <v>2029</v>
      </c>
      <c r="I23" s="796">
        <v>150</v>
      </c>
      <c r="J23" s="29">
        <v>130</v>
      </c>
      <c r="K23" s="29">
        <v>100</v>
      </c>
    </row>
    <row r="25" spans="2:11">
      <c r="B25" s="797" t="s">
        <v>2215</v>
      </c>
    </row>
    <row r="26" spans="2:11">
      <c r="B26" s="27" t="s">
        <v>2032</v>
      </c>
    </row>
    <row r="27" spans="2:11">
      <c r="B27" s="794" t="s">
        <v>2233</v>
      </c>
    </row>
    <row r="28" spans="2:11">
      <c r="B28" s="794" t="s">
        <v>2220</v>
      </c>
    </row>
    <row r="29" spans="2:11">
      <c r="B29" s="794" t="s">
        <v>2229</v>
      </c>
      <c r="J29" s="794" t="s">
        <v>2221</v>
      </c>
    </row>
    <row r="31" spans="2:11">
      <c r="B31" s="794" t="s">
        <v>2234</v>
      </c>
    </row>
    <row r="32" spans="2:11">
      <c r="B32" s="794" t="s">
        <v>2224</v>
      </c>
    </row>
    <row r="33" spans="2:3">
      <c r="B33" s="794" t="s">
        <v>2225</v>
      </c>
    </row>
    <row r="34" spans="2:3">
      <c r="B34" s="794" t="s">
        <v>2226</v>
      </c>
    </row>
    <row r="35" spans="2:3">
      <c r="B35" s="794" t="s">
        <v>2230</v>
      </c>
    </row>
    <row r="36" spans="2:3">
      <c r="B36" s="794" t="s">
        <v>2228</v>
      </c>
    </row>
    <row r="37" spans="2:3">
      <c r="B37" s="794" t="s">
        <v>2217</v>
      </c>
    </row>
    <row r="38" spans="2:3">
      <c r="B38" s="1102" t="s">
        <v>2033</v>
      </c>
      <c r="C38" s="1102"/>
    </row>
    <row r="39" spans="2:3">
      <c r="B39" s="1102"/>
      <c r="C39" s="1102"/>
    </row>
    <row r="40" spans="2:3">
      <c r="B40" s="786" t="s">
        <v>2223</v>
      </c>
      <c r="C40" s="786" t="s">
        <v>2034</v>
      </c>
    </row>
    <row r="41" spans="2:3">
      <c r="B41" s="29" t="str">
        <f>C21</f>
        <v>Kinh doanh</v>
      </c>
      <c r="C41" s="798">
        <f>SUMIF($C$6:$C$15,B41,$K$6:$K$15)</f>
        <v>406750</v>
      </c>
    </row>
    <row r="42" spans="2:3">
      <c r="B42" s="29" t="str">
        <f>D21</f>
        <v>Sản Xuất</v>
      </c>
      <c r="C42" s="798">
        <f>SUMIF($C$6:$C$15,B42,$K$6:$K$15)</f>
        <v>184650</v>
      </c>
    </row>
    <row r="43" spans="2:3">
      <c r="B43" s="29" t="str">
        <f>E21</f>
        <v>Sinh Hoạt</v>
      </c>
      <c r="C43" s="798">
        <f>SUMIF($C$6:$C$15,B43,$K$6:$K$15)</f>
        <v>76250</v>
      </c>
    </row>
    <row r="44" spans="2:3">
      <c r="C44" s="795"/>
    </row>
  </sheetData>
  <mergeCells count="4">
    <mergeCell ref="D2:H3"/>
    <mergeCell ref="B18:C19"/>
    <mergeCell ref="H18:J19"/>
    <mergeCell ref="B38:C39"/>
  </mergeCells>
  <phoneticPr fontId="41" type="noConversion"/>
  <pageMargins left="0.75" right="0.75" top="1" bottom="1" header="0.5" footer="0.5"/>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21" workbookViewId="0">
      <selection activeCell="H7" sqref="H7"/>
    </sheetView>
  </sheetViews>
  <sheetFormatPr defaultColWidth="8.875" defaultRowHeight="15.75"/>
  <cols>
    <col min="1" max="7" width="8.875" style="27"/>
    <col min="8" max="8" width="14.125" style="27" customWidth="1"/>
    <col min="9" max="16384" width="8.875" style="27"/>
  </cols>
  <sheetData>
    <row r="1" spans="1:10">
      <c r="E1" s="736" t="s">
        <v>2238</v>
      </c>
      <c r="F1" s="736"/>
      <c r="G1" s="736"/>
    </row>
    <row r="2" spans="1:10">
      <c r="B2" s="27">
        <f>COUNTIF(A5,"T")</f>
        <v>0</v>
      </c>
      <c r="D2" s="1102" t="s">
        <v>2237</v>
      </c>
      <c r="E2" s="1102"/>
      <c r="F2" s="1102"/>
    </row>
    <row r="3" spans="1:10" ht="16.5" thickBot="1"/>
    <row r="4" spans="1:10" ht="17.25" thickTop="1" thickBot="1">
      <c r="A4" s="799" t="s">
        <v>1017</v>
      </c>
      <c r="B4" s="800" t="s">
        <v>2235</v>
      </c>
      <c r="C4" s="800" t="s">
        <v>1313</v>
      </c>
      <c r="D4" s="800" t="s">
        <v>970</v>
      </c>
      <c r="E4" s="800" t="s">
        <v>971</v>
      </c>
      <c r="F4" s="800" t="s">
        <v>1314</v>
      </c>
      <c r="G4" s="801" t="s">
        <v>1315</v>
      </c>
      <c r="H4" s="800" t="s">
        <v>1316</v>
      </c>
      <c r="I4" s="800" t="s">
        <v>1317</v>
      </c>
      <c r="J4" s="802" t="s">
        <v>2236</v>
      </c>
    </row>
    <row r="5" spans="1:10" ht="16.5" thickBot="1">
      <c r="A5" s="803" t="s">
        <v>1318</v>
      </c>
      <c r="B5" s="735"/>
      <c r="C5" s="735"/>
      <c r="D5" s="735" t="s">
        <v>1319</v>
      </c>
      <c r="E5" s="735"/>
      <c r="F5" s="735"/>
      <c r="G5" s="804"/>
      <c r="H5" s="735"/>
      <c r="I5" s="735"/>
      <c r="J5" s="805"/>
    </row>
    <row r="6" spans="1:10" ht="16.5" thickBot="1">
      <c r="A6" s="803">
        <v>1</v>
      </c>
      <c r="B6" s="735" t="s">
        <v>1320</v>
      </c>
      <c r="C6" s="735" t="s">
        <v>842</v>
      </c>
      <c r="D6" s="735">
        <v>160000</v>
      </c>
      <c r="E6" s="735">
        <v>24</v>
      </c>
      <c r="F6" s="735">
        <f>E6*D6</f>
        <v>3840000</v>
      </c>
      <c r="G6" s="806">
        <f>VLOOKUP($D$5,$G$31:$I$33,IF(C6="NV",3,2),0)</f>
        <v>25</v>
      </c>
      <c r="H6" s="806">
        <f>VLOOKUP(IF(ROW()&lt;=10,"BH",IF(ROW()&lt;=21,"TT","TK")),$G$31:$I$33,IF(C6="NV",3,2),0)</f>
        <v>25</v>
      </c>
      <c r="I6" s="735">
        <v>1000000</v>
      </c>
      <c r="J6" s="805"/>
    </row>
    <row r="7" spans="1:10" ht="16.5" thickBot="1">
      <c r="A7" s="803">
        <v>2</v>
      </c>
      <c r="B7" s="735" t="s">
        <v>1321</v>
      </c>
      <c r="C7" s="735" t="s">
        <v>845</v>
      </c>
      <c r="D7" s="735">
        <v>165000</v>
      </c>
      <c r="E7" s="735">
        <v>22</v>
      </c>
      <c r="F7" s="735">
        <f t="shared" ref="F7:F25" si="0">E7*D7</f>
        <v>3630000</v>
      </c>
      <c r="G7" s="806">
        <f>VLOOKUP($D$5,$G$31:$I$33,IF(C7="NV",3,2),0)</f>
        <v>25</v>
      </c>
      <c r="H7" s="806">
        <f t="shared" ref="H7:H25" si="1">VLOOKUP(IF(ROW()&lt;=10,"BH",IF(ROW()&lt;=21,"TT","TK")),$G$31:$I$33,IF(C7="NV",3,2),0)</f>
        <v>25</v>
      </c>
      <c r="I7" s="735">
        <v>1000000</v>
      </c>
      <c r="J7" s="805"/>
    </row>
    <row r="8" spans="1:10" ht="16.5" thickBot="1">
      <c r="A8" s="803">
        <v>3</v>
      </c>
      <c r="B8" s="735" t="s">
        <v>1322</v>
      </c>
      <c r="C8" s="735" t="s">
        <v>846</v>
      </c>
      <c r="D8" s="735">
        <v>160000</v>
      </c>
      <c r="E8" s="735">
        <v>24</v>
      </c>
      <c r="F8" s="735">
        <f t="shared" si="0"/>
        <v>3840000</v>
      </c>
      <c r="G8" s="806">
        <f>VLOOKUP($D$5,$G$31:$I$33,IF(C8="NV",3,2),0)</f>
        <v>23</v>
      </c>
      <c r="H8" s="806">
        <f t="shared" si="1"/>
        <v>23</v>
      </c>
      <c r="I8" s="735"/>
      <c r="J8" s="805"/>
    </row>
    <row r="9" spans="1:10" ht="16.5" thickBot="1">
      <c r="A9" s="803">
        <v>4</v>
      </c>
      <c r="B9" s="735" t="s">
        <v>1323</v>
      </c>
      <c r="C9" s="735" t="s">
        <v>846</v>
      </c>
      <c r="D9" s="735">
        <v>170000</v>
      </c>
      <c r="E9" s="735">
        <v>23</v>
      </c>
      <c r="F9" s="735">
        <f t="shared" si="0"/>
        <v>3910000</v>
      </c>
      <c r="G9" s="806">
        <f>VLOOKUP($D$5,$G$31:$I$33,IF(C9="NV",3,2),0)</f>
        <v>23</v>
      </c>
      <c r="H9" s="806">
        <f t="shared" si="1"/>
        <v>23</v>
      </c>
      <c r="I9" s="735">
        <v>1000000</v>
      </c>
      <c r="J9" s="805"/>
    </row>
    <row r="10" spans="1:10" ht="16.5" thickBot="1">
      <c r="A10" s="803">
        <v>5</v>
      </c>
      <c r="B10" s="735" t="s">
        <v>1324</v>
      </c>
      <c r="C10" s="735" t="s">
        <v>846</v>
      </c>
      <c r="D10" s="735">
        <v>150000</v>
      </c>
      <c r="E10" s="735">
        <v>24</v>
      </c>
      <c r="F10" s="735">
        <f t="shared" si="0"/>
        <v>3600000</v>
      </c>
      <c r="G10" s="806">
        <f>VLOOKUP($D$5,$G$31:$I$33,IF(C10="NV",3,2),0)</f>
        <v>23</v>
      </c>
      <c r="H10" s="806">
        <f t="shared" si="1"/>
        <v>23</v>
      </c>
      <c r="I10" s="735"/>
      <c r="J10" s="805"/>
    </row>
    <row r="11" spans="1:10" ht="16.5" thickBot="1">
      <c r="A11" s="803" t="s">
        <v>1325</v>
      </c>
      <c r="B11" s="735"/>
      <c r="C11" s="735"/>
      <c r="D11" s="735" t="s">
        <v>842</v>
      </c>
      <c r="E11" s="735"/>
      <c r="F11" s="735"/>
      <c r="G11" s="806"/>
      <c r="H11" s="806"/>
      <c r="I11" s="735"/>
      <c r="J11" s="805"/>
    </row>
    <row r="12" spans="1:10" ht="16.5" thickBot="1">
      <c r="A12" s="803">
        <v>1</v>
      </c>
      <c r="B12" s="735" t="s">
        <v>1326</v>
      </c>
      <c r="C12" s="735" t="s">
        <v>842</v>
      </c>
      <c r="D12" s="735">
        <v>190000</v>
      </c>
      <c r="E12" s="735">
        <v>26</v>
      </c>
      <c r="F12" s="735">
        <f t="shared" si="0"/>
        <v>4940000</v>
      </c>
      <c r="G12" s="806">
        <f>VLOOKUP($D$11,$G$31:$I$33,IF(C12="NV",3,2),0)</f>
        <v>40</v>
      </c>
      <c r="H12" s="806">
        <f t="shared" si="1"/>
        <v>40</v>
      </c>
      <c r="I12" s="735">
        <v>1000000</v>
      </c>
      <c r="J12" s="805"/>
    </row>
    <row r="13" spans="1:10" ht="16.5" thickBot="1">
      <c r="A13" s="803">
        <v>2</v>
      </c>
      <c r="B13" s="735" t="s">
        <v>1327</v>
      </c>
      <c r="C13" s="735" t="s">
        <v>845</v>
      </c>
      <c r="D13" s="735">
        <v>190000</v>
      </c>
      <c r="E13" s="735">
        <v>27</v>
      </c>
      <c r="F13" s="735">
        <f t="shared" si="0"/>
        <v>5130000</v>
      </c>
      <c r="G13" s="806">
        <f t="shared" ref="G13:G21" si="2">VLOOKUP($D$11,$G$31:$I$33,IF(C13="NV",3,2),0)</f>
        <v>40</v>
      </c>
      <c r="H13" s="806">
        <f t="shared" si="1"/>
        <v>40</v>
      </c>
      <c r="I13" s="735">
        <v>1000000</v>
      </c>
      <c r="J13" s="805"/>
    </row>
    <row r="14" spans="1:10" ht="16.5" thickBot="1">
      <c r="A14" s="803">
        <v>3</v>
      </c>
      <c r="B14" s="735" t="s">
        <v>1328</v>
      </c>
      <c r="C14" s="735" t="s">
        <v>846</v>
      </c>
      <c r="D14" s="735">
        <v>200000</v>
      </c>
      <c r="E14" s="735">
        <v>25</v>
      </c>
      <c r="F14" s="735">
        <f t="shared" si="0"/>
        <v>5000000</v>
      </c>
      <c r="G14" s="806">
        <f t="shared" si="2"/>
        <v>37</v>
      </c>
      <c r="H14" s="806">
        <f t="shared" si="1"/>
        <v>37</v>
      </c>
      <c r="I14" s="735"/>
      <c r="J14" s="805"/>
    </row>
    <row r="15" spans="1:10" ht="16.5" thickBot="1">
      <c r="A15" s="803">
        <v>4</v>
      </c>
      <c r="B15" s="735" t="s">
        <v>1329</v>
      </c>
      <c r="C15" s="735" t="s">
        <v>846</v>
      </c>
      <c r="D15" s="735">
        <v>210000</v>
      </c>
      <c r="E15" s="735">
        <v>26</v>
      </c>
      <c r="F15" s="735">
        <f t="shared" si="0"/>
        <v>5460000</v>
      </c>
      <c r="G15" s="806">
        <f t="shared" si="2"/>
        <v>37</v>
      </c>
      <c r="H15" s="806">
        <f t="shared" si="1"/>
        <v>37</v>
      </c>
      <c r="I15" s="735">
        <v>1000000</v>
      </c>
      <c r="J15" s="805"/>
    </row>
    <row r="16" spans="1:10" ht="16.5" thickBot="1">
      <c r="A16" s="803">
        <v>5</v>
      </c>
      <c r="B16" s="735" t="s">
        <v>1330</v>
      </c>
      <c r="C16" s="735" t="s">
        <v>846</v>
      </c>
      <c r="D16" s="735">
        <v>190000</v>
      </c>
      <c r="E16" s="735">
        <v>24</v>
      </c>
      <c r="F16" s="735">
        <f t="shared" si="0"/>
        <v>4560000</v>
      </c>
      <c r="G16" s="806">
        <f t="shared" si="2"/>
        <v>37</v>
      </c>
      <c r="H16" s="806">
        <f t="shared" si="1"/>
        <v>37</v>
      </c>
      <c r="I16" s="735">
        <v>1000000</v>
      </c>
      <c r="J16" s="805"/>
    </row>
    <row r="17" spans="1:10" ht="16.5" thickBot="1">
      <c r="A17" s="803">
        <v>6</v>
      </c>
      <c r="B17" s="735" t="s">
        <v>1331</v>
      </c>
      <c r="C17" s="735" t="s">
        <v>846</v>
      </c>
      <c r="D17" s="735">
        <v>185000</v>
      </c>
      <c r="E17" s="735">
        <v>24</v>
      </c>
      <c r="F17" s="735">
        <f t="shared" si="0"/>
        <v>4440000</v>
      </c>
      <c r="G17" s="806">
        <f t="shared" si="2"/>
        <v>37</v>
      </c>
      <c r="H17" s="806">
        <f t="shared" si="1"/>
        <v>37</v>
      </c>
      <c r="I17" s="735">
        <v>1000000</v>
      </c>
      <c r="J17" s="805"/>
    </row>
    <row r="18" spans="1:10" ht="16.5" thickBot="1">
      <c r="A18" s="803">
        <v>7</v>
      </c>
      <c r="B18" s="735" t="s">
        <v>1332</v>
      </c>
      <c r="C18" s="735" t="s">
        <v>846</v>
      </c>
      <c r="D18" s="735">
        <v>190000</v>
      </c>
      <c r="E18" s="735">
        <v>25</v>
      </c>
      <c r="F18" s="735">
        <f t="shared" si="0"/>
        <v>4750000</v>
      </c>
      <c r="G18" s="806">
        <f t="shared" si="2"/>
        <v>37</v>
      </c>
      <c r="H18" s="806">
        <f t="shared" si="1"/>
        <v>37</v>
      </c>
      <c r="I18" s="735"/>
      <c r="J18" s="805"/>
    </row>
    <row r="19" spans="1:10" ht="16.5" thickBot="1">
      <c r="A19" s="803">
        <v>8</v>
      </c>
      <c r="B19" s="735" t="s">
        <v>1333</v>
      </c>
      <c r="C19" s="735" t="s">
        <v>846</v>
      </c>
      <c r="D19" s="735">
        <v>200000</v>
      </c>
      <c r="E19" s="735">
        <v>26</v>
      </c>
      <c r="F19" s="735">
        <f t="shared" si="0"/>
        <v>5200000</v>
      </c>
      <c r="G19" s="806">
        <f t="shared" si="2"/>
        <v>37</v>
      </c>
      <c r="H19" s="806">
        <f t="shared" si="1"/>
        <v>37</v>
      </c>
      <c r="I19" s="735"/>
      <c r="J19" s="805"/>
    </row>
    <row r="20" spans="1:10" ht="16.5" thickBot="1">
      <c r="A20" s="803">
        <v>9</v>
      </c>
      <c r="B20" s="735" t="s">
        <v>1334</v>
      </c>
      <c r="C20" s="735" t="s">
        <v>846</v>
      </c>
      <c r="D20" s="735">
        <v>210000</v>
      </c>
      <c r="E20" s="735">
        <v>28</v>
      </c>
      <c r="F20" s="735">
        <f t="shared" si="0"/>
        <v>5880000</v>
      </c>
      <c r="G20" s="806">
        <f t="shared" si="2"/>
        <v>37</v>
      </c>
      <c r="H20" s="806">
        <f t="shared" si="1"/>
        <v>37</v>
      </c>
      <c r="I20" s="735"/>
      <c r="J20" s="805"/>
    </row>
    <row r="21" spans="1:10" ht="16.5" thickBot="1">
      <c r="A21" s="803">
        <v>10</v>
      </c>
      <c r="B21" s="735" t="s">
        <v>1335</v>
      </c>
      <c r="C21" s="735" t="s">
        <v>846</v>
      </c>
      <c r="D21" s="735">
        <v>220000</v>
      </c>
      <c r="E21" s="735">
        <v>28</v>
      </c>
      <c r="F21" s="735">
        <f t="shared" si="0"/>
        <v>6160000</v>
      </c>
      <c r="G21" s="806">
        <f t="shared" si="2"/>
        <v>37</v>
      </c>
      <c r="H21" s="806">
        <f t="shared" si="1"/>
        <v>37</v>
      </c>
      <c r="I21" s="735">
        <v>1000000</v>
      </c>
      <c r="J21" s="805"/>
    </row>
    <row r="22" spans="1:10" ht="16.5" thickBot="1">
      <c r="A22" s="803" t="s">
        <v>2239</v>
      </c>
      <c r="B22" s="735"/>
      <c r="C22" s="735"/>
      <c r="D22" s="735" t="s">
        <v>1336</v>
      </c>
      <c r="E22" s="735"/>
      <c r="F22" s="735"/>
      <c r="G22" s="806"/>
      <c r="H22" s="806"/>
      <c r="I22" s="735"/>
      <c r="J22" s="805"/>
    </row>
    <row r="23" spans="1:10" ht="16.5" thickBot="1">
      <c r="A23" s="803">
        <v>1</v>
      </c>
      <c r="B23" s="735" t="s">
        <v>1337</v>
      </c>
      <c r="C23" s="735" t="s">
        <v>846</v>
      </c>
      <c r="D23" s="735">
        <v>175000</v>
      </c>
      <c r="E23" s="735">
        <v>24</v>
      </c>
      <c r="F23" s="735">
        <f t="shared" si="0"/>
        <v>4200000</v>
      </c>
      <c r="G23" s="806">
        <f>VLOOKUP($D$22,$G$31:$I$33,IF(C23="NV",3,2),0)</f>
        <v>27</v>
      </c>
      <c r="H23" s="806">
        <f t="shared" si="1"/>
        <v>27</v>
      </c>
      <c r="I23" s="735">
        <v>1000000</v>
      </c>
      <c r="J23" s="805"/>
    </row>
    <row r="24" spans="1:10" ht="16.5" thickBot="1">
      <c r="A24" s="803">
        <v>2</v>
      </c>
      <c r="B24" s="735" t="s">
        <v>1338</v>
      </c>
      <c r="C24" s="735" t="s">
        <v>846</v>
      </c>
      <c r="D24" s="735">
        <v>170000</v>
      </c>
      <c r="E24" s="735">
        <v>24</v>
      </c>
      <c r="F24" s="735">
        <f t="shared" si="0"/>
        <v>4080000</v>
      </c>
      <c r="G24" s="806">
        <f>VLOOKUP($D$22,$G$31:$I$33,IF(C24="NV",3,2),0)</f>
        <v>27</v>
      </c>
      <c r="H24" s="806">
        <f t="shared" si="1"/>
        <v>27</v>
      </c>
      <c r="I24" s="735">
        <v>1000000</v>
      </c>
      <c r="J24" s="805"/>
    </row>
    <row r="25" spans="1:10" ht="16.5" thickBot="1">
      <c r="A25" s="803">
        <v>3</v>
      </c>
      <c r="B25" s="735" t="s">
        <v>1339</v>
      </c>
      <c r="C25" s="735" t="s">
        <v>846</v>
      </c>
      <c r="D25" s="735">
        <v>170000</v>
      </c>
      <c r="E25" s="735">
        <v>24</v>
      </c>
      <c r="F25" s="735">
        <f t="shared" si="0"/>
        <v>4080000</v>
      </c>
      <c r="G25" s="806">
        <f>VLOOKUP($D$22,$G$31:$I$33,IF(C25="NV",3,2),0)</f>
        <v>27</v>
      </c>
      <c r="H25" s="806">
        <f t="shared" si="1"/>
        <v>27</v>
      </c>
      <c r="I25" s="735">
        <v>1000000</v>
      </c>
      <c r="J25" s="805"/>
    </row>
    <row r="26" spans="1:10" ht="16.5" thickBot="1">
      <c r="A26" s="807" t="s">
        <v>2071</v>
      </c>
      <c r="B26" s="808"/>
      <c r="C26" s="808"/>
      <c r="D26" s="808"/>
      <c r="E26" s="808"/>
      <c r="F26" s="808"/>
      <c r="G26" s="806"/>
      <c r="H26" s="809"/>
      <c r="I26" s="808"/>
      <c r="J26" s="810"/>
    </row>
    <row r="27" spans="1:10" ht="16.5" thickTop="1"/>
    <row r="28" spans="1:10">
      <c r="G28" s="27" t="s">
        <v>1340</v>
      </c>
      <c r="H28" s="811">
        <v>100000000</v>
      </c>
    </row>
    <row r="29" spans="1:10" ht="16.5" thickBot="1">
      <c r="H29" s="27" t="s">
        <v>1341</v>
      </c>
    </row>
    <row r="30" spans="1:10" ht="17.25" thickTop="1" thickBot="1">
      <c r="G30" s="799"/>
      <c r="H30" s="800" t="s">
        <v>1342</v>
      </c>
      <c r="I30" s="802" t="s">
        <v>846</v>
      </c>
    </row>
    <row r="31" spans="1:10" ht="16.5" thickBot="1">
      <c r="G31" s="803" t="s">
        <v>1336</v>
      </c>
      <c r="H31" s="735">
        <v>30</v>
      </c>
      <c r="I31" s="805">
        <v>27</v>
      </c>
    </row>
    <row r="32" spans="1:10" ht="16.5" thickBot="1">
      <c r="G32" s="803" t="s">
        <v>1319</v>
      </c>
      <c r="H32" s="735">
        <v>25</v>
      </c>
      <c r="I32" s="805">
        <v>23</v>
      </c>
    </row>
    <row r="33" spans="7:9" ht="16.5" thickBot="1">
      <c r="G33" s="807" t="s">
        <v>842</v>
      </c>
      <c r="H33" s="808">
        <v>40</v>
      </c>
      <c r="I33" s="810">
        <v>37</v>
      </c>
    </row>
    <row r="34" spans="7:9" ht="16.5" thickTop="1"/>
  </sheetData>
  <mergeCells count="1">
    <mergeCell ref="D2:F2"/>
  </mergeCells>
  <phoneticPr fontId="41" type="noConversion"/>
  <pageMargins left="0.75" right="0.75" top="1" bottom="1" header="0.5" footer="0.5"/>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3" sqref="B3"/>
    </sheetView>
  </sheetViews>
  <sheetFormatPr defaultRowHeight="15"/>
  <cols>
    <col min="5" max="5" width="13.375" customWidth="1"/>
  </cols>
  <sheetData>
    <row r="1" spans="1:7" ht="18.75">
      <c r="A1" s="686" t="s">
        <v>217</v>
      </c>
      <c r="B1" s="686" t="s">
        <v>218</v>
      </c>
    </row>
    <row r="2" spans="1:7" ht="18.75">
      <c r="A2" s="687" t="s">
        <v>219</v>
      </c>
      <c r="B2" s="687" t="str">
        <f t="array" ref="B2">INDEX($A$2:$A$7,LARGE(ROW($A$2:$A$7)-1,ROW(A1)))</f>
        <v>f</v>
      </c>
      <c r="C2" s="646"/>
      <c r="D2" s="688" t="str">
        <f ca="1" xml:space="preserve"> INDIRECT("A" &amp; 8-ROWS($1:1))</f>
        <v>f</v>
      </c>
      <c r="G2" t="s">
        <v>220</v>
      </c>
    </row>
    <row r="3" spans="1:7" ht="18.75">
      <c r="A3" s="687" t="s">
        <v>221</v>
      </c>
      <c r="B3" s="687" t="str">
        <f t="array" ref="B3">INDEX($A$2:$A$7,LARGE(ROW($A$2:$A$7)-1,ROW(A2)))</f>
        <v>e</v>
      </c>
      <c r="C3" s="646"/>
      <c r="D3" s="688" t="str">
        <f ca="1" xml:space="preserve"> INDIRECT("A" &amp; 8-ROWS($1:2))</f>
        <v>e</v>
      </c>
    </row>
    <row r="4" spans="1:7" ht="18.75">
      <c r="A4" s="687">
        <v>4</v>
      </c>
      <c r="B4" s="687" t="str">
        <f t="array" ref="B4">INDEX($A$2:$A$7,LARGE(ROW($A$2:$A$7)-1,ROW(A3)))</f>
        <v>p</v>
      </c>
      <c r="C4" s="646"/>
      <c r="D4" s="688" t="str">
        <f ca="1" xml:space="preserve"> INDIRECT("A" &amp; 8-ROWS($1:3))</f>
        <v>p</v>
      </c>
      <c r="F4">
        <v>1</v>
      </c>
      <c r="G4" s="689" t="s">
        <v>222</v>
      </c>
    </row>
    <row r="5" spans="1:7" ht="18.75">
      <c r="A5" s="687" t="s">
        <v>223</v>
      </c>
      <c r="B5" s="687">
        <f t="array" ref="B5">INDEX($A$2:$A$7,LARGE(ROW($A$2:$A$7)-1,ROW(A4)))</f>
        <v>4</v>
      </c>
      <c r="C5" s="646"/>
      <c r="D5" s="688">
        <f ca="1" xml:space="preserve"> INDIRECT("A" &amp; 8-ROWS($1:4))</f>
        <v>4</v>
      </c>
    </row>
    <row r="6" spans="1:7" ht="18.75">
      <c r="A6" s="687" t="s">
        <v>224</v>
      </c>
      <c r="B6" s="687" t="str">
        <f t="array" ref="B6">INDEX($A$2:$A$7,LARGE(ROW($A$2:$A$7)-1,ROW(A5)))</f>
        <v>b</v>
      </c>
      <c r="C6" s="646"/>
      <c r="D6" s="688" t="str">
        <f ca="1" xml:space="preserve"> INDIRECT("A" &amp; 8-ROWS($1:5))</f>
        <v>b</v>
      </c>
    </row>
    <row r="7" spans="1:7" ht="18.75">
      <c r="A7" s="687" t="s">
        <v>225</v>
      </c>
      <c r="B7" s="687" t="str">
        <f t="array" ref="B7">INDEX($A$2:$A$7,LARGE(ROW($A$2:$A$7)-1,ROW(A6)))</f>
        <v>a</v>
      </c>
      <c r="C7" s="646"/>
      <c r="D7" s="688" t="str">
        <f ca="1" xml:space="preserve"> INDIRECT("A" &amp; 8-ROWS($1:6))</f>
        <v>a</v>
      </c>
    </row>
    <row r="8" spans="1:7" ht="18.75">
      <c r="A8" s="690"/>
      <c r="B8" s="690"/>
      <c r="G8" t="s">
        <v>226</v>
      </c>
    </row>
    <row r="9" spans="1:7" ht="18.75">
      <c r="A9" s="690"/>
      <c r="B9" s="690"/>
      <c r="G9" t="s">
        <v>227</v>
      </c>
    </row>
    <row r="11" spans="1:7">
      <c r="G11" t="s">
        <v>228</v>
      </c>
    </row>
  </sheetData>
  <phoneticPr fontId="41" type="noConversion"/>
  <pageMargins left="0.75" right="0.75" top="1" bottom="1" header="0.5" footer="0.5"/>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16" sqref="E16"/>
    </sheetView>
  </sheetViews>
  <sheetFormatPr defaultRowHeight="15"/>
  <cols>
    <col min="2" max="2" width="12.5" customWidth="1"/>
    <col min="4" max="4" width="11" customWidth="1"/>
  </cols>
  <sheetData>
    <row r="1" spans="1:9" ht="18.75">
      <c r="A1" s="1108" t="s">
        <v>1242</v>
      </c>
      <c r="B1" s="1108"/>
      <c r="C1" s="1108"/>
      <c r="D1" s="1108"/>
      <c r="E1" s="1108"/>
      <c r="F1" s="1108"/>
      <c r="G1" s="1108"/>
      <c r="H1" s="1108"/>
    </row>
    <row r="2" spans="1:9" ht="6" customHeight="1"/>
    <row r="3" spans="1:9" ht="15.75">
      <c r="A3" s="1103" t="s">
        <v>842</v>
      </c>
      <c r="B3" s="1103" t="s">
        <v>589</v>
      </c>
      <c r="C3" s="1103" t="s">
        <v>1243</v>
      </c>
      <c r="D3" s="1103" t="s">
        <v>87</v>
      </c>
      <c r="E3" s="1109" t="s">
        <v>1244</v>
      </c>
      <c r="F3" s="1109"/>
      <c r="G3" s="1109"/>
      <c r="H3" s="1109"/>
    </row>
    <row r="4" spans="1:9" ht="15.75">
      <c r="A4" s="1104"/>
      <c r="B4" s="1104"/>
      <c r="C4" s="1104"/>
      <c r="D4" s="1104"/>
      <c r="E4" s="183" t="s">
        <v>1245</v>
      </c>
      <c r="F4" s="183" t="s">
        <v>1246</v>
      </c>
      <c r="G4" s="183" t="s">
        <v>1247</v>
      </c>
      <c r="H4" s="183" t="s">
        <v>1248</v>
      </c>
    </row>
    <row r="5" spans="1:9">
      <c r="A5" s="649">
        <v>1</v>
      </c>
      <c r="B5" s="649" t="s">
        <v>1249</v>
      </c>
      <c r="C5" s="649" t="s">
        <v>1137</v>
      </c>
      <c r="D5" s="649">
        <v>1994</v>
      </c>
      <c r="E5" s="649"/>
      <c r="F5" s="649" t="s">
        <v>2144</v>
      </c>
      <c r="G5" s="649"/>
      <c r="H5" s="649"/>
    </row>
    <row r="6" spans="1:9">
      <c r="A6" s="649">
        <v>2</v>
      </c>
      <c r="B6" s="649" t="s">
        <v>1250</v>
      </c>
      <c r="C6" s="649" t="s">
        <v>94</v>
      </c>
      <c r="D6" s="649">
        <v>1994</v>
      </c>
      <c r="E6" s="649" t="s">
        <v>2144</v>
      </c>
      <c r="F6" s="649"/>
      <c r="G6" s="649"/>
      <c r="H6" s="649"/>
    </row>
    <row r="7" spans="1:9">
      <c r="A7" s="649">
        <v>3</v>
      </c>
      <c r="B7" s="649" t="s">
        <v>1251</v>
      </c>
      <c r="C7" s="649" t="s">
        <v>94</v>
      </c>
      <c r="D7" s="649">
        <v>1995</v>
      </c>
      <c r="E7" s="649"/>
      <c r="F7" s="649"/>
      <c r="G7" s="649" t="s">
        <v>2144</v>
      </c>
      <c r="H7" s="649"/>
    </row>
    <row r="8" spans="1:9">
      <c r="A8" s="649">
        <v>4</v>
      </c>
      <c r="B8" s="649" t="s">
        <v>1252</v>
      </c>
      <c r="C8" s="649" t="s">
        <v>1137</v>
      </c>
      <c r="D8" s="649">
        <v>1995</v>
      </c>
      <c r="E8" s="649"/>
      <c r="F8" s="649" t="s">
        <v>2144</v>
      </c>
      <c r="G8" s="649"/>
      <c r="H8" s="649"/>
    </row>
    <row r="9" spans="1:9">
      <c r="A9" s="649">
        <v>5</v>
      </c>
      <c r="B9" s="649" t="s">
        <v>1253</v>
      </c>
      <c r="C9" s="649" t="s">
        <v>94</v>
      </c>
      <c r="D9" s="649">
        <v>1995</v>
      </c>
      <c r="E9" s="649" t="s">
        <v>2144</v>
      </c>
      <c r="F9" s="649"/>
      <c r="G9" s="649"/>
      <c r="H9" s="649"/>
    </row>
    <row r="10" spans="1:9">
      <c r="A10" s="649">
        <v>6</v>
      </c>
      <c r="B10" s="649" t="s">
        <v>1254</v>
      </c>
      <c r="C10" s="649" t="s">
        <v>1137</v>
      </c>
      <c r="D10" s="649">
        <v>1996</v>
      </c>
      <c r="E10" s="649"/>
      <c r="F10" s="649"/>
      <c r="G10" s="649" t="s">
        <v>2144</v>
      </c>
      <c r="H10" s="649"/>
    </row>
    <row r="11" spans="1:9">
      <c r="A11" s="649">
        <v>7</v>
      </c>
      <c r="B11" s="649" t="s">
        <v>1255</v>
      </c>
      <c r="C11" s="649" t="s">
        <v>1137</v>
      </c>
      <c r="D11" s="649">
        <v>1996</v>
      </c>
      <c r="E11" s="649"/>
      <c r="F11" s="649"/>
      <c r="G11" s="649"/>
      <c r="H11" s="649" t="s">
        <v>2144</v>
      </c>
    </row>
    <row r="13" spans="1:9" ht="15.75">
      <c r="A13" s="650" t="s">
        <v>1256</v>
      </c>
    </row>
    <row r="14" spans="1:9" ht="15.75">
      <c r="D14" s="1103" t="s">
        <v>87</v>
      </c>
      <c r="E14" s="1105" t="s">
        <v>1244</v>
      </c>
      <c r="F14" s="1106"/>
      <c r="G14" s="1106"/>
      <c r="H14" s="1107"/>
      <c r="I14" s="1103" t="s">
        <v>1137</v>
      </c>
    </row>
    <row r="15" spans="1:9" ht="15.75">
      <c r="D15" s="1104"/>
      <c r="E15" s="183" t="s">
        <v>1245</v>
      </c>
      <c r="F15" s="183" t="s">
        <v>1246</v>
      </c>
      <c r="G15" s="183" t="s">
        <v>1247</v>
      </c>
      <c r="H15" s="183" t="s">
        <v>1248</v>
      </c>
      <c r="I15" s="1104"/>
    </row>
    <row r="16" spans="1:9">
      <c r="D16" s="649">
        <v>1994</v>
      </c>
      <c r="E16" s="649">
        <f t="array" ref="E16">SUM(IF($D$5:$D$11=$D16,IF(E$5:E$11&lt;&gt;"",1)))</f>
        <v>1</v>
      </c>
      <c r="F16" s="649">
        <f t="array" ref="F16">SUM(IF($D$5:$D$11=$D16,IF(F$5:F$11&lt;&gt;"",1)))</f>
        <v>1</v>
      </c>
      <c r="G16" s="649">
        <f t="array" ref="G16">SUM(IF($D$5:$D$11=$D16,IF(G$5:G$11&lt;&gt;"",1)))</f>
        <v>0</v>
      </c>
      <c r="H16" s="649">
        <f t="array" ref="H16">SUM(IF($D$5:$D$11=$D16,IF(H$5:H$11&lt;&gt;"",1)))</f>
        <v>0</v>
      </c>
      <c r="I16" s="649">
        <f t="array" ref="I16">SUM(IF($C$5:$C$11=$I$14,IF($D$5:$D$11=$D16,IF($E$5:$H$11&lt;&gt;"",1))))</f>
        <v>1</v>
      </c>
    </row>
    <row r="17" spans="4:9">
      <c r="D17" s="649">
        <v>1995</v>
      </c>
      <c r="E17" s="649">
        <f t="array" ref="E17">SUM(IF($D$5:$D$11=$D17,IF(E$5:E$11&lt;&gt;"",1)))</f>
        <v>1</v>
      </c>
      <c r="F17" s="649">
        <f t="array" ref="F17">SUM(IF($D$5:$D$11=$D17,IF(F$5:F$11&lt;&gt;"",1)))</f>
        <v>1</v>
      </c>
      <c r="G17" s="649">
        <f t="array" ref="G17">SUM(IF($D$5:$D$11=$D17,IF(G$5:G$11&lt;&gt;"",1)))</f>
        <v>1</v>
      </c>
      <c r="H17" s="649">
        <f t="array" ref="H17">SUM(IF($D$5:$D$11=$D17,IF(H$5:H$11&lt;&gt;"",1)))</f>
        <v>0</v>
      </c>
      <c r="I17" s="649">
        <f t="array" ref="I17">SUM(IF($C$5:$C$11=$I$14,IF($D$5:$D$11=$D17,IF($E$5:$H$11&lt;&gt;"",1))))</f>
        <v>1</v>
      </c>
    </row>
    <row r="18" spans="4:9">
      <c r="D18" s="649">
        <v>1996</v>
      </c>
      <c r="E18" s="649">
        <f t="array" ref="E18">SUM(IF($D$5:$D$11=$D18,IF(E$5:E$11&lt;&gt;"",1)))</f>
        <v>0</v>
      </c>
      <c r="F18" s="649">
        <f t="array" ref="F18">SUM(IF($D$5:$D$11=$D18,IF(F$5:F$11&lt;&gt;"",1)))</f>
        <v>0</v>
      </c>
      <c r="G18" s="649">
        <f t="array" ref="G18">SUM(IF($D$5:$D$11=$D18,IF(G$5:G$11&lt;&gt;"",1)))</f>
        <v>1</v>
      </c>
      <c r="H18" s="649">
        <f t="array" ref="H18">SUM(IF($D$5:$D$11=$D18,IF(H$5:H$11&lt;&gt;"",1)))</f>
        <v>1</v>
      </c>
      <c r="I18" s="649">
        <f t="array" ref="I18">SUM(IF($C$5:$C$11=$I$14,IF($D$5:$D$11=$D18,IF($E$5:$H$11&lt;&gt;"",1))))</f>
        <v>2</v>
      </c>
    </row>
  </sheetData>
  <mergeCells count="9">
    <mergeCell ref="D14:D15"/>
    <mergeCell ref="E14:H14"/>
    <mergeCell ref="I14:I15"/>
    <mergeCell ref="A1:H1"/>
    <mergeCell ref="A3:A4"/>
    <mergeCell ref="B3:B4"/>
    <mergeCell ref="C3:C4"/>
    <mergeCell ref="D3:D4"/>
    <mergeCell ref="E3:H3"/>
  </mergeCells>
  <phoneticPr fontId="0" type="noConversion"/>
  <pageMargins left="0.75" right="0.75" top="1" bottom="1" header="0.5" footer="0.5"/>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election activeCell="G19" sqref="G19"/>
    </sheetView>
  </sheetViews>
  <sheetFormatPr defaultColWidth="8.875" defaultRowHeight="15.75"/>
  <cols>
    <col min="1" max="1" width="8.875" style="27"/>
    <col min="2" max="2" width="7.875" style="27" customWidth="1"/>
    <col min="3" max="3" width="18.375" style="27" customWidth="1"/>
    <col min="4" max="8" width="8.875" style="27"/>
    <col min="9" max="9" width="11.875" style="27" customWidth="1"/>
    <col min="10" max="16384" width="8.875" style="27"/>
  </cols>
  <sheetData>
    <row r="1" spans="1:10" ht="18.75">
      <c r="A1" s="1110" t="s">
        <v>1757</v>
      </c>
      <c r="B1" s="1110"/>
      <c r="C1" s="1110"/>
      <c r="D1" s="1110"/>
      <c r="E1" s="1110"/>
      <c r="F1" s="1110"/>
      <c r="G1" s="1110"/>
      <c r="H1" s="1110"/>
      <c r="I1" s="1110"/>
      <c r="J1" s="692"/>
    </row>
    <row r="2" spans="1:10">
      <c r="A2" s="692"/>
      <c r="B2" s="692"/>
      <c r="C2" s="692"/>
      <c r="D2" s="692"/>
      <c r="E2" s="692"/>
      <c r="F2" s="692"/>
      <c r="G2" s="692"/>
      <c r="H2" s="692"/>
      <c r="I2" s="692"/>
      <c r="J2" s="692"/>
    </row>
    <row r="3" spans="1:10">
      <c r="A3" s="693" t="s">
        <v>1017</v>
      </c>
      <c r="B3" s="693" t="s">
        <v>1758</v>
      </c>
      <c r="C3" s="693" t="s">
        <v>663</v>
      </c>
      <c r="D3" s="693" t="s">
        <v>1759</v>
      </c>
      <c r="E3" s="693" t="s">
        <v>2398</v>
      </c>
      <c r="F3" s="693" t="s">
        <v>2375</v>
      </c>
      <c r="G3" s="693" t="s">
        <v>687</v>
      </c>
      <c r="H3" s="693" t="s">
        <v>1760</v>
      </c>
      <c r="I3" s="693" t="s">
        <v>1761</v>
      </c>
      <c r="J3" s="692"/>
    </row>
    <row r="4" spans="1:10">
      <c r="A4" s="694">
        <v>1</v>
      </c>
      <c r="B4" s="694" t="s">
        <v>1762</v>
      </c>
      <c r="C4" s="694" t="str">
        <f>VLOOKUP(LEFT(B4,1),$A$16:$D$18,2,0)&amp;" - Loại "&amp;MID(B4,2,2)</f>
        <v>Gạo thơm - Loại 01</v>
      </c>
      <c r="D4" s="694" t="str">
        <f>HLOOKUP(RIGHT(B4,2),$G$14:$I$15,2,0)</f>
        <v>Cần Thơ</v>
      </c>
      <c r="E4" s="694">
        <v>10</v>
      </c>
      <c r="F4" s="695">
        <v>38364</v>
      </c>
      <c r="G4" s="694">
        <f>VLOOKUP(LEFT(B4,1),$A$16:$D$18,IF(MID(B4,3,1)="1",3,4),0)*IF(AND(F4&gt;=DATE(2005,1,1),F4&lt;=DATE(2005,1,15)),97%,IF(AND(F4&gt;=DATE(2005,2,1),F4&lt;=DATE(2005,2,15)),96%,1))</f>
        <v>6014</v>
      </c>
      <c r="H4" s="694">
        <f>E4*G4*IF(AND(LEFT(B4,1)="G",F4&lt;=DATE(2005,2,1),F4&lt;=DATE(2005,2,15),E4&gt;=50),95%,IF(AND(LEFT(B4,1)="N",E4&gt;=100),94%,1))</f>
        <v>60140</v>
      </c>
      <c r="I4" s="694" t="str">
        <f>IF(AND(D4="Long An",E4&gt;=50),"Có quà tặng","")</f>
        <v/>
      </c>
      <c r="J4" s="692"/>
    </row>
    <row r="5" spans="1:10">
      <c r="A5" s="694">
        <v>6</v>
      </c>
      <c r="B5" s="694" t="s">
        <v>1763</v>
      </c>
      <c r="C5" s="694" t="str">
        <f t="shared" ref="C5:C11" si="0">VLOOKUP(LEFT(B5,1),$A$16:$D$18,2,0)&amp;" - Loại "&amp;MID(B5,2,2)</f>
        <v>Nếp - Loại 01</v>
      </c>
      <c r="D5" s="694" t="str">
        <f t="shared" ref="D5:D11" si="1">HLOOKUP(RIGHT(B5,2),$G$14:$I$15,2,0)</f>
        <v>Cần Thơ</v>
      </c>
      <c r="E5" s="694">
        <v>40</v>
      </c>
      <c r="F5" s="695">
        <v>38401</v>
      </c>
      <c r="G5" s="694">
        <f t="shared" ref="G5:G11" si="2">VLOOKUP(LEFT(B5,1),$A$16:$D$18,IF(MID(B5,3,1)="1",3,4),0)*IF(AND(F5&gt;=DATE(2005,1,1),F5&lt;=DATE(2005,1,15)),97%,IF(AND(F5&gt;=DATE(2005,2,1),F5&lt;=DATE(2005,2,15)),96%,1))</f>
        <v>7000</v>
      </c>
      <c r="H5" s="694">
        <f t="shared" ref="H5:H11" si="3">E5*G5*IF(AND(LEFT(B5,1)="G",F5&lt;=DATE(2005,2,1),F5&lt;=DATE(2005,2,15),E5&gt;=50),95%,IF(AND(LEFT(B5,1)="N",E5&gt;=100),94%,1))</f>
        <v>280000</v>
      </c>
      <c r="I5" s="694" t="str">
        <f t="shared" ref="I5:I11" si="4">IF(AND(D5="Long An",E5&gt;=50),"Có quà tặng","")</f>
        <v/>
      </c>
      <c r="J5" s="692"/>
    </row>
    <row r="6" spans="1:10">
      <c r="A6" s="694">
        <v>4</v>
      </c>
      <c r="B6" s="694" t="s">
        <v>1764</v>
      </c>
      <c r="C6" s="694" t="str">
        <f t="shared" si="0"/>
        <v>Gạo thơm - Loại 02</v>
      </c>
      <c r="D6" s="694" t="str">
        <f t="shared" si="1"/>
        <v>Long An</v>
      </c>
      <c r="E6" s="694">
        <v>25</v>
      </c>
      <c r="F6" s="695">
        <v>38398</v>
      </c>
      <c r="G6" s="694">
        <f t="shared" si="2"/>
        <v>5568</v>
      </c>
      <c r="H6" s="694">
        <f t="shared" si="3"/>
        <v>139200</v>
      </c>
      <c r="I6" s="694" t="str">
        <f t="shared" si="4"/>
        <v/>
      </c>
      <c r="J6" s="692"/>
    </row>
    <row r="7" spans="1:10">
      <c r="A7" s="694">
        <v>7</v>
      </c>
      <c r="B7" s="694" t="s">
        <v>1765</v>
      </c>
      <c r="C7" s="694" t="str">
        <f t="shared" si="0"/>
        <v>Nếp - Loại 01</v>
      </c>
      <c r="D7" s="694" t="str">
        <f t="shared" si="1"/>
        <v>Long An</v>
      </c>
      <c r="E7" s="694">
        <v>100</v>
      </c>
      <c r="F7" s="695">
        <v>38412</v>
      </c>
      <c r="G7" s="694">
        <f t="shared" si="2"/>
        <v>7000</v>
      </c>
      <c r="H7" s="694">
        <f t="shared" si="3"/>
        <v>658000</v>
      </c>
      <c r="I7" s="694" t="str">
        <f t="shared" si="4"/>
        <v>Có quà tặng</v>
      </c>
      <c r="J7" s="692"/>
    </row>
    <row r="8" spans="1:10">
      <c r="A8" s="694">
        <v>2</v>
      </c>
      <c r="B8" s="694" t="s">
        <v>1766</v>
      </c>
      <c r="C8" s="694" t="str">
        <f t="shared" si="0"/>
        <v>Nếp - Loại 02</v>
      </c>
      <c r="D8" s="694" t="str">
        <f t="shared" si="1"/>
        <v>Long An</v>
      </c>
      <c r="E8" s="694">
        <v>100</v>
      </c>
      <c r="F8" s="695">
        <v>38367</v>
      </c>
      <c r="G8" s="694">
        <f t="shared" si="2"/>
        <v>6305</v>
      </c>
      <c r="H8" s="694">
        <f t="shared" si="3"/>
        <v>592670</v>
      </c>
      <c r="I8" s="694" t="str">
        <f t="shared" si="4"/>
        <v>Có quà tặng</v>
      </c>
      <c r="J8" s="692"/>
    </row>
    <row r="9" spans="1:10">
      <c r="A9" s="694">
        <v>5</v>
      </c>
      <c r="B9" s="694" t="s">
        <v>1767</v>
      </c>
      <c r="C9" s="694" t="str">
        <f t="shared" si="0"/>
        <v>Gạo thơm - Loại 01</v>
      </c>
      <c r="D9" s="694" t="str">
        <f t="shared" si="1"/>
        <v>Đồng Tháp</v>
      </c>
      <c r="E9" s="694">
        <v>10</v>
      </c>
      <c r="F9" s="695">
        <v>38403</v>
      </c>
      <c r="G9" s="694">
        <f t="shared" si="2"/>
        <v>6200</v>
      </c>
      <c r="H9" s="694">
        <f t="shared" si="3"/>
        <v>62000</v>
      </c>
      <c r="I9" s="694" t="str">
        <f t="shared" si="4"/>
        <v/>
      </c>
      <c r="J9" s="692"/>
    </row>
    <row r="10" spans="1:10">
      <c r="A10" s="694">
        <v>3</v>
      </c>
      <c r="B10" s="694" t="s">
        <v>1768</v>
      </c>
      <c r="C10" s="694" t="str">
        <f t="shared" si="0"/>
        <v>Tấm - Loại 01</v>
      </c>
      <c r="D10" s="694" t="str">
        <f t="shared" si="1"/>
        <v>Đồng Tháp</v>
      </c>
      <c r="E10" s="694">
        <v>50</v>
      </c>
      <c r="F10" s="695">
        <v>38385</v>
      </c>
      <c r="G10" s="694">
        <f t="shared" si="2"/>
        <v>4320</v>
      </c>
      <c r="H10" s="694">
        <f t="shared" si="3"/>
        <v>216000</v>
      </c>
      <c r="I10" s="694" t="str">
        <f t="shared" si="4"/>
        <v/>
      </c>
      <c r="J10" s="692"/>
    </row>
    <row r="11" spans="1:10">
      <c r="A11" s="694">
        <v>8</v>
      </c>
      <c r="B11" s="694" t="s">
        <v>1769</v>
      </c>
      <c r="C11" s="694" t="str">
        <f t="shared" si="0"/>
        <v>Tấm - Loại 02</v>
      </c>
      <c r="D11" s="694" t="str">
        <f t="shared" si="1"/>
        <v>Đồng Tháp</v>
      </c>
      <c r="E11" s="694">
        <v>30</v>
      </c>
      <c r="F11" s="695">
        <v>38448</v>
      </c>
      <c r="G11" s="694">
        <f t="shared" si="2"/>
        <v>4000</v>
      </c>
      <c r="H11" s="694">
        <f t="shared" si="3"/>
        <v>120000</v>
      </c>
      <c r="I11" s="694" t="str">
        <f t="shared" si="4"/>
        <v/>
      </c>
      <c r="J11" s="692"/>
    </row>
    <row r="12" spans="1:10">
      <c r="A12" s="692"/>
      <c r="B12" s="692"/>
      <c r="C12" s="692"/>
      <c r="D12" s="692"/>
      <c r="E12" s="692"/>
      <c r="F12" s="692"/>
      <c r="G12" s="692"/>
      <c r="H12" s="692"/>
      <c r="I12" s="692"/>
      <c r="J12" s="692"/>
    </row>
    <row r="13" spans="1:10">
      <c r="A13" s="696" t="s">
        <v>1770</v>
      </c>
      <c r="B13" s="692"/>
      <c r="C13" s="692"/>
      <c r="D13" s="692"/>
      <c r="E13" s="692"/>
      <c r="F13" s="696" t="s">
        <v>1771</v>
      </c>
      <c r="G13" s="692"/>
      <c r="H13" s="692"/>
      <c r="I13" s="692"/>
      <c r="J13" s="692"/>
    </row>
    <row r="14" spans="1:10">
      <c r="A14" s="1111" t="s">
        <v>660</v>
      </c>
      <c r="B14" s="1111" t="s">
        <v>663</v>
      </c>
      <c r="C14" s="1113" t="s">
        <v>687</v>
      </c>
      <c r="D14" s="1114"/>
      <c r="E14" s="692"/>
      <c r="F14" s="697" t="s">
        <v>211</v>
      </c>
      <c r="G14" s="697" t="s">
        <v>1772</v>
      </c>
      <c r="H14" s="697" t="s">
        <v>1773</v>
      </c>
      <c r="I14" s="697" t="s">
        <v>1774</v>
      </c>
      <c r="J14" s="692"/>
    </row>
    <row r="15" spans="1:10">
      <c r="A15" s="1112"/>
      <c r="B15" s="1112"/>
      <c r="C15" s="698" t="s">
        <v>1775</v>
      </c>
      <c r="D15" s="699" t="s">
        <v>1776</v>
      </c>
      <c r="E15" s="692"/>
      <c r="F15" s="694" t="s">
        <v>212</v>
      </c>
      <c r="G15" s="694" t="s">
        <v>62</v>
      </c>
      <c r="H15" s="694" t="s">
        <v>1777</v>
      </c>
      <c r="I15" s="694" t="s">
        <v>1778</v>
      </c>
      <c r="J15" s="692"/>
    </row>
    <row r="16" spans="1:10">
      <c r="A16" s="700" t="s">
        <v>1102</v>
      </c>
      <c r="B16" s="700" t="s">
        <v>1779</v>
      </c>
      <c r="C16" s="694">
        <v>6200</v>
      </c>
      <c r="D16" s="694">
        <v>5800</v>
      </c>
      <c r="E16" s="692"/>
      <c r="F16" s="692"/>
      <c r="G16" s="692"/>
      <c r="H16" s="692"/>
      <c r="I16" s="692"/>
      <c r="J16" s="692"/>
    </row>
    <row r="17" spans="1:10">
      <c r="A17" s="694" t="s">
        <v>754</v>
      </c>
      <c r="B17" s="694" t="s">
        <v>1780</v>
      </c>
      <c r="C17" s="694">
        <v>7000</v>
      </c>
      <c r="D17" s="694">
        <v>6500</v>
      </c>
      <c r="E17" s="692"/>
      <c r="F17" s="696" t="s">
        <v>1781</v>
      </c>
      <c r="G17" s="696"/>
      <c r="H17" s="696"/>
      <c r="I17" s="692"/>
      <c r="J17" s="692"/>
    </row>
    <row r="18" spans="1:10">
      <c r="A18" s="694" t="s">
        <v>710</v>
      </c>
      <c r="B18" s="694" t="s">
        <v>234</v>
      </c>
      <c r="C18" s="694">
        <v>4500</v>
      </c>
      <c r="D18" s="694">
        <v>4000</v>
      </c>
      <c r="E18" s="692"/>
      <c r="F18" s="694"/>
      <c r="G18" s="694" t="s">
        <v>1870</v>
      </c>
      <c r="H18" s="694" t="s">
        <v>1871</v>
      </c>
      <c r="I18" s="692"/>
      <c r="J18" s="692"/>
    </row>
    <row r="19" spans="1:10">
      <c r="A19" s="692"/>
      <c r="B19" s="692"/>
      <c r="C19" s="692"/>
      <c r="D19" s="692"/>
      <c r="E19" s="692"/>
      <c r="F19" s="694" t="s">
        <v>1779</v>
      </c>
      <c r="G19" s="694" t="s">
        <v>2323</v>
      </c>
      <c r="H19" s="694" t="s">
        <v>2323</v>
      </c>
      <c r="I19" s="692"/>
      <c r="J19" s="692"/>
    </row>
    <row r="20" spans="1:10">
      <c r="A20" s="692"/>
      <c r="B20" s="692"/>
      <c r="C20" s="692"/>
      <c r="D20" s="692"/>
      <c r="E20" s="692"/>
      <c r="F20" s="694" t="s">
        <v>1780</v>
      </c>
      <c r="G20" s="694" t="s">
        <v>2323</v>
      </c>
      <c r="H20" s="694" t="s">
        <v>2323</v>
      </c>
      <c r="I20" s="692"/>
      <c r="J20" s="692"/>
    </row>
    <row r="21" spans="1:10">
      <c r="A21" s="701" t="s">
        <v>1782</v>
      </c>
      <c r="B21" s="692"/>
      <c r="C21" s="692"/>
      <c r="D21" s="692"/>
      <c r="E21" s="692"/>
      <c r="F21" s="692"/>
      <c r="G21" s="692"/>
      <c r="H21" s="692"/>
      <c r="I21" s="692"/>
      <c r="J21" s="692"/>
    </row>
    <row r="22" spans="1:10">
      <c r="A22" s="702" t="s">
        <v>1783</v>
      </c>
      <c r="B22" s="692"/>
      <c r="C22" s="692"/>
      <c r="D22" s="692"/>
      <c r="E22" s="692"/>
      <c r="F22" s="692"/>
      <c r="G22" s="692"/>
      <c r="H22" s="692"/>
      <c r="I22" s="692"/>
      <c r="J22" s="692"/>
    </row>
    <row r="23" spans="1:10">
      <c r="A23" s="702" t="s">
        <v>1784</v>
      </c>
      <c r="B23" s="692"/>
      <c r="C23" s="692"/>
      <c r="D23" s="692"/>
      <c r="E23" s="692"/>
      <c r="F23" s="692"/>
      <c r="G23" s="692"/>
      <c r="H23" s="692"/>
      <c r="I23" s="692"/>
      <c r="J23" s="692"/>
    </row>
    <row r="24" spans="1:10">
      <c r="A24" s="702" t="s">
        <v>1785</v>
      </c>
      <c r="B24" s="692"/>
      <c r="C24" s="692"/>
      <c r="D24" s="692"/>
      <c r="E24" s="692"/>
      <c r="F24" s="692"/>
      <c r="G24" s="692"/>
      <c r="H24" s="692"/>
      <c r="I24" s="692"/>
      <c r="J24" s="692"/>
    </row>
    <row r="25" spans="1:10">
      <c r="A25" s="701" t="s">
        <v>1786</v>
      </c>
      <c r="B25" s="692"/>
      <c r="C25" s="692"/>
      <c r="D25" s="692"/>
      <c r="E25" s="692"/>
      <c r="F25" s="692"/>
      <c r="G25" s="692"/>
      <c r="H25" s="692"/>
      <c r="I25" s="692"/>
      <c r="J25" s="692"/>
    </row>
    <row r="26" spans="1:10">
      <c r="A26" s="702" t="s">
        <v>1787</v>
      </c>
      <c r="B26" s="692"/>
      <c r="C26" s="692"/>
      <c r="D26" s="692"/>
      <c r="E26" s="692"/>
      <c r="F26" s="692"/>
      <c r="G26" s="692"/>
      <c r="H26" s="692"/>
      <c r="I26" s="692"/>
      <c r="J26" s="692"/>
    </row>
    <row r="27" spans="1:10">
      <c r="A27" s="702" t="s">
        <v>1788</v>
      </c>
      <c r="B27" s="692"/>
      <c r="C27" s="692"/>
      <c r="D27" s="692"/>
      <c r="E27" s="692"/>
      <c r="F27" s="692"/>
      <c r="G27" s="692"/>
      <c r="H27" s="692"/>
      <c r="I27" s="692"/>
      <c r="J27" s="692"/>
    </row>
    <row r="28" spans="1:10">
      <c r="A28" s="703" t="s">
        <v>1789</v>
      </c>
      <c r="B28" s="692"/>
      <c r="C28" s="692"/>
      <c r="D28" s="692"/>
      <c r="E28" s="692"/>
      <c r="F28" s="692"/>
      <c r="G28" s="692"/>
      <c r="H28" s="692"/>
      <c r="I28" s="692"/>
      <c r="J28" s="692"/>
    </row>
    <row r="29" spans="1:10">
      <c r="A29" s="704" t="s">
        <v>1790</v>
      </c>
      <c r="B29" s="692"/>
      <c r="C29" s="692"/>
      <c r="D29" s="692"/>
      <c r="E29" s="692"/>
      <c r="F29" s="692"/>
      <c r="G29" s="692"/>
      <c r="H29" s="692"/>
      <c r="I29" s="692"/>
      <c r="J29" s="692"/>
    </row>
    <row r="30" spans="1:10">
      <c r="A30" s="702" t="s">
        <v>1791</v>
      </c>
      <c r="B30" s="692"/>
      <c r="C30" s="692"/>
      <c r="D30" s="692"/>
      <c r="E30" s="692"/>
      <c r="F30" s="692"/>
      <c r="G30" s="692"/>
      <c r="H30" s="692"/>
      <c r="I30" s="692"/>
      <c r="J30" s="692"/>
    </row>
    <row r="31" spans="1:10">
      <c r="A31" s="702" t="s">
        <v>1792</v>
      </c>
      <c r="B31" s="692"/>
      <c r="C31" s="692"/>
      <c r="D31" s="692"/>
      <c r="E31" s="692"/>
      <c r="F31" s="692"/>
      <c r="G31" s="692"/>
      <c r="H31" s="692"/>
      <c r="I31" s="692"/>
      <c r="J31" s="692"/>
    </row>
    <row r="32" spans="1:10">
      <c r="A32" s="705" t="s">
        <v>1793</v>
      </c>
      <c r="B32" s="692"/>
      <c r="C32" s="692"/>
      <c r="D32" s="692"/>
      <c r="E32" s="692"/>
      <c r="F32" s="692"/>
      <c r="G32" s="692"/>
      <c r="H32" s="692"/>
      <c r="I32" s="692"/>
      <c r="J32" s="692"/>
    </row>
    <row r="33" spans="1:10">
      <c r="A33" s="705" t="s">
        <v>1794</v>
      </c>
      <c r="B33" s="692"/>
      <c r="C33" s="692"/>
      <c r="D33" s="692"/>
      <c r="E33" s="692"/>
      <c r="F33" s="692"/>
      <c r="G33" s="692"/>
      <c r="H33" s="692"/>
      <c r="I33" s="692"/>
      <c r="J33" s="692"/>
    </row>
    <row r="34" spans="1:10">
      <c r="A34" s="702" t="s">
        <v>1795</v>
      </c>
      <c r="B34" s="692"/>
      <c r="C34" s="692"/>
      <c r="D34" s="692"/>
      <c r="E34" s="692"/>
      <c r="F34" s="692"/>
      <c r="G34" s="692"/>
      <c r="H34" s="692"/>
      <c r="I34" s="692"/>
      <c r="J34" s="692"/>
    </row>
    <row r="35" spans="1:10">
      <c r="A35" s="702" t="s">
        <v>1796</v>
      </c>
      <c r="B35" s="692"/>
      <c r="C35" s="692"/>
      <c r="D35" s="692"/>
      <c r="E35" s="692"/>
      <c r="F35" s="692"/>
      <c r="G35" s="692"/>
      <c r="H35" s="692"/>
      <c r="I35" s="692"/>
      <c r="J35" s="692"/>
    </row>
    <row r="36" spans="1:10">
      <c r="A36" s="702" t="s">
        <v>1797</v>
      </c>
      <c r="B36" s="692"/>
      <c r="C36" s="692"/>
      <c r="D36" s="692"/>
      <c r="E36" s="692"/>
      <c r="F36" s="692"/>
      <c r="G36" s="692"/>
      <c r="H36" s="692"/>
      <c r="I36" s="692"/>
      <c r="J36" s="692"/>
    </row>
    <row r="37" spans="1:10">
      <c r="A37" s="702" t="s">
        <v>1798</v>
      </c>
      <c r="B37" s="692"/>
      <c r="C37" s="692"/>
      <c r="D37" s="692"/>
      <c r="E37" s="692"/>
      <c r="F37" s="692"/>
      <c r="G37" s="692"/>
      <c r="H37" s="692"/>
      <c r="I37" s="692"/>
      <c r="J37" s="692"/>
    </row>
    <row r="38" spans="1:10">
      <c r="A38" s="702" t="s">
        <v>1799</v>
      </c>
      <c r="B38" s="692"/>
      <c r="C38" s="692"/>
      <c r="D38" s="692"/>
      <c r="E38" s="692"/>
      <c r="F38" s="692"/>
      <c r="G38" s="692"/>
      <c r="H38" s="692"/>
      <c r="I38" s="692"/>
      <c r="J38" s="692"/>
    </row>
    <row r="39" spans="1:10">
      <c r="A39" s="702" t="s">
        <v>1800</v>
      </c>
      <c r="B39" s="692"/>
      <c r="C39" s="692"/>
      <c r="D39" s="692"/>
      <c r="E39" s="692"/>
      <c r="F39" s="692"/>
      <c r="G39" s="692"/>
      <c r="H39" s="692"/>
      <c r="I39" s="692"/>
      <c r="J39" s="692"/>
    </row>
    <row r="40" spans="1:10">
      <c r="A40" s="702" t="s">
        <v>1801</v>
      </c>
      <c r="B40" s="692"/>
      <c r="C40" s="692"/>
      <c r="D40" s="692"/>
      <c r="E40" s="692"/>
      <c r="F40" s="692"/>
      <c r="G40" s="692"/>
      <c r="H40" s="692"/>
      <c r="I40" s="692"/>
      <c r="J40" s="692"/>
    </row>
    <row r="41" spans="1:10">
      <c r="A41" s="702" t="s">
        <v>1802</v>
      </c>
      <c r="B41" s="692"/>
      <c r="C41" s="692"/>
      <c r="D41" s="692"/>
      <c r="E41" s="692"/>
      <c r="F41" s="692"/>
      <c r="G41" s="692"/>
      <c r="H41" s="692"/>
      <c r="I41" s="692"/>
      <c r="J41" s="692"/>
    </row>
    <row r="42" spans="1:10">
      <c r="A42" s="692"/>
      <c r="B42" s="692"/>
      <c r="C42" s="692"/>
      <c r="D42" s="692"/>
      <c r="E42" s="692"/>
      <c r="F42" s="692"/>
      <c r="G42" s="692"/>
      <c r="H42" s="692"/>
      <c r="I42" s="692"/>
      <c r="J42" s="692"/>
    </row>
    <row r="43" spans="1:10">
      <c r="A43" s="706"/>
      <c r="B43" s="692"/>
      <c r="C43" s="692"/>
      <c r="D43" s="692"/>
      <c r="E43" s="692"/>
      <c r="F43" s="692"/>
      <c r="G43" s="692"/>
      <c r="H43" s="692"/>
      <c r="I43" s="692"/>
      <c r="J43" s="692"/>
    </row>
    <row r="44" spans="1:10">
      <c r="A44" s="692"/>
      <c r="B44" s="692"/>
      <c r="C44" s="692"/>
      <c r="D44" s="692"/>
      <c r="E44" s="692"/>
      <c r="F44" s="692"/>
      <c r="G44" s="692"/>
      <c r="H44" s="692"/>
      <c r="I44" s="692"/>
      <c r="J44" s="692"/>
    </row>
    <row r="45" spans="1:10">
      <c r="A45" s="692"/>
      <c r="B45" s="692"/>
      <c r="C45" s="692"/>
      <c r="D45" s="692"/>
      <c r="E45" s="692"/>
      <c r="F45" s="692"/>
      <c r="G45" s="692"/>
      <c r="H45" s="692"/>
      <c r="I45" s="692"/>
      <c r="J45" s="692"/>
    </row>
    <row r="46" spans="1:10">
      <c r="A46" s="707" t="s">
        <v>1800</v>
      </c>
      <c r="B46" s="708"/>
      <c r="C46" s="708"/>
      <c r="D46" s="708"/>
      <c r="E46" s="708"/>
      <c r="F46" s="708"/>
      <c r="G46" s="708"/>
      <c r="H46" s="708"/>
      <c r="I46" s="708"/>
      <c r="J46" s="692"/>
    </row>
    <row r="47" spans="1:10">
      <c r="A47" s="707"/>
      <c r="B47" s="708"/>
      <c r="C47" s="708"/>
      <c r="D47" s="708"/>
      <c r="E47" s="708"/>
      <c r="F47" s="708"/>
      <c r="G47" s="708"/>
      <c r="H47" s="708"/>
      <c r="I47" s="708"/>
      <c r="J47" s="692"/>
    </row>
    <row r="48" spans="1:10">
      <c r="A48" s="692"/>
      <c r="B48" s="692"/>
      <c r="C48" s="692" t="b">
        <f>AND(OR(D4="Đồng Tháp",D4="Long An"),AND(E4&gt;=50,E4&lt;=100))</f>
        <v>0</v>
      </c>
      <c r="D48" s="692"/>
      <c r="E48" s="692"/>
      <c r="F48" s="692"/>
      <c r="G48" s="692"/>
      <c r="H48" s="692"/>
      <c r="I48" s="692"/>
      <c r="J48" s="692"/>
    </row>
    <row r="49" spans="1:10">
      <c r="A49" s="709"/>
      <c r="B49" s="710"/>
      <c r="C49" s="709"/>
      <c r="D49" s="709"/>
      <c r="E49" s="709"/>
      <c r="F49" s="709"/>
      <c r="G49" s="709"/>
      <c r="H49" s="709"/>
      <c r="I49" s="709"/>
      <c r="J49" s="709"/>
    </row>
    <row r="50" spans="1:10">
      <c r="A50" s="693" t="s">
        <v>1017</v>
      </c>
      <c r="B50" s="693" t="s">
        <v>1758</v>
      </c>
      <c r="C50" s="693" t="s">
        <v>663</v>
      </c>
      <c r="D50" s="693" t="s">
        <v>1759</v>
      </c>
      <c r="E50" s="693" t="s">
        <v>2398</v>
      </c>
      <c r="F50" s="693" t="s">
        <v>2375</v>
      </c>
      <c r="G50" s="693" t="s">
        <v>687</v>
      </c>
      <c r="H50" s="693" t="s">
        <v>1760</v>
      </c>
      <c r="I50" s="693" t="s">
        <v>1761</v>
      </c>
      <c r="J50" s="709"/>
    </row>
    <row r="51" spans="1:10">
      <c r="A51" s="694">
        <v>7</v>
      </c>
      <c r="B51" s="694" t="s">
        <v>1765</v>
      </c>
      <c r="C51" s="694" t="s">
        <v>1803</v>
      </c>
      <c r="D51" s="694" t="s">
        <v>1777</v>
      </c>
      <c r="E51" s="694">
        <v>100</v>
      </c>
      <c r="F51" s="695">
        <v>38412</v>
      </c>
      <c r="G51" s="694">
        <v>7000</v>
      </c>
      <c r="H51" s="694">
        <v>658000</v>
      </c>
      <c r="I51" s="694" t="s">
        <v>1804</v>
      </c>
      <c r="J51" s="709"/>
    </row>
    <row r="52" spans="1:10">
      <c r="A52" s="694">
        <v>2</v>
      </c>
      <c r="B52" s="694" t="s">
        <v>1766</v>
      </c>
      <c r="C52" s="694" t="s">
        <v>1805</v>
      </c>
      <c r="D52" s="694" t="s">
        <v>1777</v>
      </c>
      <c r="E52" s="694">
        <v>100</v>
      </c>
      <c r="F52" s="695">
        <v>38367</v>
      </c>
      <c r="G52" s="694">
        <v>6305</v>
      </c>
      <c r="H52" s="694">
        <v>592670</v>
      </c>
      <c r="I52" s="694" t="s">
        <v>1804</v>
      </c>
      <c r="J52" s="709"/>
    </row>
    <row r="53" spans="1:10">
      <c r="A53" s="694">
        <v>3</v>
      </c>
      <c r="B53" s="694" t="s">
        <v>1768</v>
      </c>
      <c r="C53" s="694" t="s">
        <v>1806</v>
      </c>
      <c r="D53" s="694" t="s">
        <v>1778</v>
      </c>
      <c r="E53" s="694">
        <v>50</v>
      </c>
      <c r="F53" s="695">
        <v>38385</v>
      </c>
      <c r="G53" s="694">
        <v>4320</v>
      </c>
      <c r="H53" s="694">
        <v>216000</v>
      </c>
      <c r="I53" s="694" t="s">
        <v>1807</v>
      </c>
      <c r="J53" s="709"/>
    </row>
    <row r="54" spans="1:10">
      <c r="A54" s="709"/>
      <c r="B54" s="709"/>
      <c r="C54" s="709"/>
      <c r="D54" s="709"/>
      <c r="E54" s="709"/>
      <c r="F54" s="711"/>
      <c r="G54" s="709"/>
      <c r="H54" s="709"/>
      <c r="I54" s="709"/>
      <c r="J54" s="709"/>
    </row>
    <row r="55" spans="1:10">
      <c r="A55" s="709"/>
      <c r="B55" s="709"/>
      <c r="C55" s="709"/>
      <c r="D55" s="709"/>
      <c r="E55" s="709"/>
      <c r="F55" s="711"/>
      <c r="G55" s="709"/>
      <c r="H55" s="709"/>
      <c r="I55" s="709"/>
      <c r="J55" s="709"/>
    </row>
    <row r="56" spans="1:10">
      <c r="A56" s="709"/>
      <c r="B56" s="709"/>
      <c r="C56" s="709"/>
      <c r="D56" s="709"/>
      <c r="E56" s="709"/>
      <c r="F56" s="711"/>
      <c r="G56" s="709"/>
      <c r="H56" s="709"/>
      <c r="I56" s="709"/>
      <c r="J56" s="709"/>
    </row>
    <row r="57" spans="1:10">
      <c r="A57" s="709"/>
      <c r="B57" s="709"/>
      <c r="C57" s="709"/>
      <c r="D57" s="709"/>
      <c r="E57" s="709"/>
      <c r="F57" s="711"/>
      <c r="G57" s="709"/>
      <c r="H57" s="709"/>
      <c r="I57" s="709"/>
      <c r="J57" s="709"/>
    </row>
    <row r="58" spans="1:10">
      <c r="A58" s="709"/>
      <c r="B58" s="709"/>
      <c r="C58" s="709"/>
      <c r="D58" s="709"/>
      <c r="E58" s="709"/>
      <c r="F58" s="711"/>
      <c r="G58" s="709"/>
      <c r="H58" s="709"/>
      <c r="I58" s="709"/>
      <c r="J58" s="709"/>
    </row>
    <row r="59" spans="1:10">
      <c r="A59" s="709"/>
      <c r="B59" s="709"/>
      <c r="C59" s="709"/>
      <c r="D59" s="709"/>
      <c r="E59" s="709"/>
      <c r="F59" s="711"/>
      <c r="G59" s="709"/>
      <c r="H59" s="709"/>
      <c r="I59" s="709"/>
    </row>
    <row r="60" spans="1:10">
      <c r="A60" s="581"/>
      <c r="B60" s="581"/>
      <c r="C60" s="581"/>
      <c r="D60" s="581"/>
      <c r="E60" s="581"/>
      <c r="F60" s="581"/>
      <c r="G60" s="581"/>
      <c r="H60" s="581"/>
      <c r="I60" s="581"/>
    </row>
  </sheetData>
  <mergeCells count="4">
    <mergeCell ref="A1:I1"/>
    <mergeCell ref="A14:A15"/>
    <mergeCell ref="B14:B15"/>
    <mergeCell ref="C14:D14"/>
  </mergeCells>
  <phoneticPr fontId="41" type="noConversion"/>
  <pageMargins left="0.75" right="0.75" top="1" bottom="1" header="0.5" footer="0.5"/>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E22" sqref="E22"/>
    </sheetView>
  </sheetViews>
  <sheetFormatPr defaultColWidth="8.875" defaultRowHeight="15"/>
  <cols>
    <col min="1" max="1" width="7.25" style="712" customWidth="1"/>
    <col min="2" max="2" width="11.75" style="712" customWidth="1"/>
    <col min="3" max="3" width="14.375" style="712" customWidth="1"/>
    <col min="4" max="4" width="16.875" style="712" customWidth="1"/>
    <col min="5" max="5" width="11.875" style="712" customWidth="1"/>
    <col min="6" max="7" width="13.125" style="712" customWidth="1"/>
    <col min="8" max="8" width="11.375" style="712" customWidth="1"/>
    <col min="9" max="9" width="12.75" style="712" customWidth="1"/>
    <col min="10" max="10" width="18.625" style="712" customWidth="1"/>
    <col min="11" max="12" width="8.875" style="712"/>
    <col min="13" max="13" width="7.875" style="712" bestFit="1" customWidth="1"/>
    <col min="14" max="16384" width="8.875" style="712"/>
  </cols>
  <sheetData>
    <row r="1" spans="1:11" ht="18.75">
      <c r="A1" s="1090" t="s">
        <v>1808</v>
      </c>
      <c r="B1" s="1090"/>
      <c r="C1" s="1090"/>
      <c r="D1" s="1090"/>
      <c r="E1" s="1090"/>
      <c r="F1" s="1090"/>
      <c r="G1" s="1090"/>
      <c r="H1" s="1090"/>
      <c r="I1" s="1090"/>
    </row>
    <row r="2" spans="1:11" ht="20.25" customHeight="1">
      <c r="A2" s="713" t="s">
        <v>1017</v>
      </c>
      <c r="B2" s="713" t="s">
        <v>1809</v>
      </c>
      <c r="C2" s="713" t="s">
        <v>1810</v>
      </c>
      <c r="D2" s="713" t="s">
        <v>681</v>
      </c>
      <c r="E2" s="713" t="s">
        <v>1883</v>
      </c>
      <c r="F2" s="713" t="s">
        <v>687</v>
      </c>
      <c r="G2" s="713" t="s">
        <v>151</v>
      </c>
      <c r="H2" s="713" t="s">
        <v>649</v>
      </c>
      <c r="I2" s="714" t="s">
        <v>1811</v>
      </c>
      <c r="J2" s="715" t="s">
        <v>1812</v>
      </c>
      <c r="K2" s="715" t="s">
        <v>1751</v>
      </c>
    </row>
    <row r="3" spans="1:11">
      <c r="A3" s="716">
        <v>1</v>
      </c>
      <c r="B3" s="716" t="s">
        <v>1813</v>
      </c>
      <c r="C3" s="717" t="str">
        <f t="shared" ref="C3:C10" si="0">IF(LEFT(B3,2)="GM","Giỏ mây",IF(LEFT(B3,2)="GT","Giỏ tre đựng rau",IF(LEFT(B3,2)="TN","Tăm nhang","Cót ép")))</f>
        <v>Cót ép</v>
      </c>
      <c r="D3" s="716">
        <v>200</v>
      </c>
      <c r="E3" s="716" t="str">
        <f t="shared" ref="E3:E10" si="1" xml:space="preserve"> HLOOKUP(LEFT(B3,2),$E$15:$I$17,3)</f>
        <v>tấm</v>
      </c>
      <c r="F3" s="716">
        <f t="shared" ref="F3:F10" si="2" xml:space="preserve"> IF(MID(B3,3,2)="02",HLOOKUP(LEFT(B3,2),$E$15:$I$17,2) - HLOOKUP(LEFT(B3,2),$E$15:$I$17,2)*10%,HLOOKUP(LEFT(B3,2),$E$15:$I$17,2))</f>
        <v>10000</v>
      </c>
      <c r="G3" s="716">
        <f t="shared" ref="G3:G10" si="3" xml:space="preserve"> IF(AND(D3&gt;200, OR(RIGHT(B3,2)="05",RIGHT(B3,2)="12")),D3*F3-10%*D3*F3,D3*F3)</f>
        <v>2000000</v>
      </c>
      <c r="H3" s="716" t="str">
        <f t="shared" ref="H3:H10" si="4" xml:space="preserve"> IF(AND(OR(RIGHT(B3,2)="05",RIGHT(B3,2)="12"),D3&gt;200),"Giảm giá","")</f>
        <v/>
      </c>
      <c r="I3" s="718" t="str">
        <f t="shared" ref="I3:I10" si="5">VLOOKUP(LEFT(B3,2),$A$16:$B$19,2)</f>
        <v>Cót ép</v>
      </c>
      <c r="J3" s="715" t="str">
        <f t="shared" ref="J3:J10" si="6" xml:space="preserve"> LEFT(B3,2)</f>
        <v>CE</v>
      </c>
      <c r="K3" s="715" t="str">
        <f t="shared" ref="K3:K10" si="7">MID(B3,3,2)</f>
        <v>01</v>
      </c>
    </row>
    <row r="4" spans="1:11">
      <c r="A4" s="716">
        <v>4</v>
      </c>
      <c r="B4" s="716" t="s">
        <v>1814</v>
      </c>
      <c r="C4" s="717" t="str">
        <f t="shared" si="0"/>
        <v>Cót ép</v>
      </c>
      <c r="D4" s="716">
        <v>300</v>
      </c>
      <c r="E4" s="716" t="str">
        <f t="shared" si="1"/>
        <v>tấm</v>
      </c>
      <c r="F4" s="716">
        <f t="shared" si="2"/>
        <v>10000</v>
      </c>
      <c r="G4" s="716">
        <f t="shared" si="3"/>
        <v>3000000</v>
      </c>
      <c r="H4" s="716" t="str">
        <f t="shared" si="4"/>
        <v/>
      </c>
      <c r="I4" s="718" t="str">
        <f t="shared" si="5"/>
        <v>Cót ép</v>
      </c>
      <c r="J4" s="715" t="str">
        <f t="shared" si="6"/>
        <v>CE</v>
      </c>
      <c r="K4" s="715" t="str">
        <f t="shared" si="7"/>
        <v>01</v>
      </c>
    </row>
    <row r="5" spans="1:11">
      <c r="A5" s="716">
        <v>2</v>
      </c>
      <c r="B5" s="716" t="s">
        <v>1815</v>
      </c>
      <c r="C5" s="717" t="str">
        <f t="shared" si="0"/>
        <v>Giỏ mây</v>
      </c>
      <c r="D5" s="716">
        <v>150</v>
      </c>
      <c r="E5" s="716" t="str">
        <f t="shared" si="1"/>
        <v>cái</v>
      </c>
      <c r="F5" s="716">
        <f t="shared" si="2"/>
        <v>18000</v>
      </c>
      <c r="G5" s="716">
        <f t="shared" si="3"/>
        <v>2700000</v>
      </c>
      <c r="H5" s="716" t="str">
        <f t="shared" si="4"/>
        <v/>
      </c>
      <c r="I5" s="718" t="str">
        <f t="shared" si="5"/>
        <v>Giỏ mây</v>
      </c>
      <c r="J5" s="715" t="str">
        <f t="shared" si="6"/>
        <v>GM</v>
      </c>
      <c r="K5" s="715" t="str">
        <f t="shared" si="7"/>
        <v>02</v>
      </c>
    </row>
    <row r="6" spans="1:11">
      <c r="A6" s="716">
        <v>6</v>
      </c>
      <c r="B6" s="716" t="s">
        <v>1816</v>
      </c>
      <c r="C6" s="717" t="str">
        <f t="shared" si="0"/>
        <v>Giỏ mây</v>
      </c>
      <c r="D6" s="716">
        <v>200</v>
      </c>
      <c r="E6" s="716" t="str">
        <f t="shared" si="1"/>
        <v>cái</v>
      </c>
      <c r="F6" s="716">
        <f t="shared" si="2"/>
        <v>18000</v>
      </c>
      <c r="G6" s="716">
        <f t="shared" si="3"/>
        <v>3600000</v>
      </c>
      <c r="H6" s="716" t="str">
        <f t="shared" si="4"/>
        <v/>
      </c>
      <c r="I6" s="718" t="str">
        <f t="shared" si="5"/>
        <v>Giỏ mây</v>
      </c>
      <c r="J6" s="715" t="str">
        <f t="shared" si="6"/>
        <v>GM</v>
      </c>
      <c r="K6" s="715" t="str">
        <f t="shared" si="7"/>
        <v>02</v>
      </c>
    </row>
    <row r="7" spans="1:11">
      <c r="A7" s="716">
        <v>7</v>
      </c>
      <c r="B7" s="716" t="s">
        <v>1817</v>
      </c>
      <c r="C7" s="717" t="str">
        <f t="shared" si="0"/>
        <v>Giỏ tre đựng rau</v>
      </c>
      <c r="D7" s="716">
        <v>80</v>
      </c>
      <c r="E7" s="716" t="str">
        <f t="shared" si="1"/>
        <v>cái</v>
      </c>
      <c r="F7" s="716">
        <f t="shared" si="2"/>
        <v>22000</v>
      </c>
      <c r="G7" s="716">
        <f t="shared" si="3"/>
        <v>1760000</v>
      </c>
      <c r="H7" s="716" t="str">
        <f t="shared" si="4"/>
        <v/>
      </c>
      <c r="I7" s="718" t="str">
        <f t="shared" si="5"/>
        <v>Giỏ tre đựng rau</v>
      </c>
      <c r="J7" s="715" t="str">
        <f t="shared" si="6"/>
        <v>GT</v>
      </c>
      <c r="K7" s="715" t="str">
        <f t="shared" si="7"/>
        <v>01</v>
      </c>
    </row>
    <row r="8" spans="1:11">
      <c r="A8" s="716">
        <v>3</v>
      </c>
      <c r="B8" s="716" t="s">
        <v>1818</v>
      </c>
      <c r="C8" s="717" t="str">
        <f t="shared" si="0"/>
        <v>Giỏ tre đựng rau</v>
      </c>
      <c r="D8" s="716">
        <v>100</v>
      </c>
      <c r="E8" s="716" t="str">
        <f t="shared" si="1"/>
        <v>cái</v>
      </c>
      <c r="F8" s="716">
        <f t="shared" si="2"/>
        <v>22000</v>
      </c>
      <c r="G8" s="716">
        <f t="shared" si="3"/>
        <v>2200000</v>
      </c>
      <c r="H8" s="716" t="str">
        <f t="shared" si="4"/>
        <v/>
      </c>
      <c r="I8" s="718" t="str">
        <f t="shared" si="5"/>
        <v>Giỏ tre đựng rau</v>
      </c>
      <c r="J8" s="715" t="str">
        <f t="shared" si="6"/>
        <v>GT</v>
      </c>
      <c r="K8" s="715" t="str">
        <f t="shared" si="7"/>
        <v>01</v>
      </c>
    </row>
    <row r="9" spans="1:11">
      <c r="A9" s="716">
        <v>8</v>
      </c>
      <c r="B9" s="716" t="s">
        <v>1819</v>
      </c>
      <c r="C9" s="717" t="str">
        <f t="shared" si="0"/>
        <v>Tăm nhang</v>
      </c>
      <c r="D9" s="716">
        <v>300</v>
      </c>
      <c r="E9" s="716" t="str">
        <f t="shared" si="1"/>
        <v>kg</v>
      </c>
      <c r="F9" s="716">
        <f t="shared" si="2"/>
        <v>12000</v>
      </c>
      <c r="G9" s="716">
        <f t="shared" si="3"/>
        <v>3240000</v>
      </c>
      <c r="H9" s="716" t="str">
        <f t="shared" si="4"/>
        <v>Giảm giá</v>
      </c>
      <c r="I9" s="718" t="str">
        <f t="shared" si="5"/>
        <v>Tăm nhang</v>
      </c>
      <c r="J9" s="715" t="str">
        <f t="shared" si="6"/>
        <v>TN</v>
      </c>
      <c r="K9" s="715" t="str">
        <f t="shared" si="7"/>
        <v>01</v>
      </c>
    </row>
    <row r="10" spans="1:11">
      <c r="A10" s="716">
        <v>5</v>
      </c>
      <c r="B10" s="716" t="s">
        <v>1820</v>
      </c>
      <c r="C10" s="717" t="str">
        <f t="shared" si="0"/>
        <v>Tăm nhang</v>
      </c>
      <c r="D10" s="716">
        <v>500</v>
      </c>
      <c r="E10" s="716" t="str">
        <f t="shared" si="1"/>
        <v>kg</v>
      </c>
      <c r="F10" s="716">
        <f t="shared" si="2"/>
        <v>10800</v>
      </c>
      <c r="G10" s="716">
        <f t="shared" si="3"/>
        <v>5400000</v>
      </c>
      <c r="H10" s="716" t="str">
        <f t="shared" si="4"/>
        <v/>
      </c>
      <c r="I10" s="718" t="str">
        <f t="shared" si="5"/>
        <v>Tăm nhang</v>
      </c>
      <c r="J10" s="715" t="str">
        <f t="shared" si="6"/>
        <v>TN</v>
      </c>
      <c r="K10" s="715" t="str">
        <f t="shared" si="7"/>
        <v>02</v>
      </c>
    </row>
    <row r="13" spans="1:11">
      <c r="J13" s="719"/>
    </row>
    <row r="14" spans="1:11" ht="18.75">
      <c r="A14" s="1115" t="s">
        <v>1821</v>
      </c>
      <c r="B14" s="1115"/>
      <c r="D14" s="1116"/>
      <c r="E14" s="1117"/>
      <c r="F14" s="1117"/>
      <c r="G14" s="1117"/>
      <c r="H14" s="1117"/>
      <c r="I14" s="1118"/>
    </row>
    <row r="15" spans="1:11">
      <c r="A15" s="720" t="s">
        <v>1812</v>
      </c>
      <c r="B15" s="720" t="s">
        <v>663</v>
      </c>
      <c r="D15" s="720" t="s">
        <v>1812</v>
      </c>
      <c r="E15" s="716" t="s">
        <v>1822</v>
      </c>
      <c r="F15" s="716" t="s">
        <v>1823</v>
      </c>
      <c r="G15" s="716"/>
      <c r="H15" s="716" t="s">
        <v>496</v>
      </c>
      <c r="I15" s="716" t="s">
        <v>566</v>
      </c>
    </row>
    <row r="16" spans="1:11">
      <c r="A16" s="715" t="s">
        <v>1822</v>
      </c>
      <c r="B16" s="715" t="s">
        <v>1824</v>
      </c>
      <c r="D16" s="720" t="s">
        <v>687</v>
      </c>
      <c r="E16" s="716">
        <v>10000</v>
      </c>
      <c r="F16" s="716">
        <v>20000</v>
      </c>
      <c r="G16" s="716"/>
      <c r="H16" s="716">
        <v>22000</v>
      </c>
      <c r="I16" s="716">
        <v>12000</v>
      </c>
    </row>
    <row r="17" spans="1:9">
      <c r="A17" s="715" t="s">
        <v>1823</v>
      </c>
      <c r="B17" s="715" t="s">
        <v>1825</v>
      </c>
      <c r="D17" s="720" t="s">
        <v>1883</v>
      </c>
      <c r="E17" s="716" t="s">
        <v>1826</v>
      </c>
      <c r="F17" s="716" t="s">
        <v>1827</v>
      </c>
      <c r="G17" s="716"/>
      <c r="H17" s="716" t="s">
        <v>1827</v>
      </c>
      <c r="I17" s="716" t="s">
        <v>1828</v>
      </c>
    </row>
    <row r="18" spans="1:9">
      <c r="A18" s="715" t="s">
        <v>496</v>
      </c>
      <c r="B18" s="715" t="s">
        <v>1829</v>
      </c>
    </row>
    <row r="19" spans="1:9">
      <c r="A19" s="715" t="s">
        <v>566</v>
      </c>
      <c r="B19" s="715" t="s">
        <v>1830</v>
      </c>
    </row>
    <row r="20" spans="1:9">
      <c r="D20" s="721" t="s">
        <v>1831</v>
      </c>
      <c r="E20" s="715"/>
      <c r="F20" s="715"/>
      <c r="G20" s="722"/>
    </row>
    <row r="21" spans="1:9">
      <c r="D21" s="720" t="s">
        <v>1832</v>
      </c>
      <c r="E21" s="720" t="s">
        <v>1870</v>
      </c>
      <c r="F21" s="720" t="s">
        <v>1871</v>
      </c>
      <c r="G21" s="723"/>
    </row>
    <row r="22" spans="1:9">
      <c r="D22" s="715" t="s">
        <v>1825</v>
      </c>
      <c r="E22" s="715">
        <f>DSUM($A$2:$K$10,$G$2,H21:H22)</f>
        <v>0</v>
      </c>
      <c r="F22" s="724">
        <f>DSUM($A$2:$K$10,G2,I21:I22)</f>
        <v>6300000</v>
      </c>
      <c r="G22" s="725"/>
      <c r="H22" s="719" t="b">
        <f>AND(OR(AND(RIGHT(B3,2)="05",RIGHT(B3,2)="11"),AND(K3="01",C3="Giỏ mây")))</f>
        <v>0</v>
      </c>
      <c r="I22" s="712" t="b">
        <f>AND(OR(AND(RIGHT(B3,2)="05",RIGHT(B3,2)="11"),AND(K3="02",C3="Giỏ mây")))</f>
        <v>0</v>
      </c>
    </row>
    <row r="23" spans="1:9">
      <c r="D23" s="715" t="s">
        <v>1824</v>
      </c>
      <c r="E23" s="726">
        <f>DSUM($A$2:$K$10,$G$2,H22:H23)</f>
        <v>5000000</v>
      </c>
      <c r="F23" s="727">
        <f>DSUM($A$2:$K$10,G2,I22:I23)</f>
        <v>0</v>
      </c>
      <c r="G23" s="728"/>
      <c r="H23" s="712" t="b">
        <f>AND(OR(AND(RIGHT(B3,2)="05",RIGHT(B3,2)="11"),AND(K3="01",C3="Cót ép")))</f>
        <v>1</v>
      </c>
      <c r="I23" s="712" t="b">
        <f>AND(OR(AND(RIGHT(B3,2)="05",RIGHT(B3,2)="11"),AND(K3="02",C3="Cót ép")))</f>
        <v>0</v>
      </c>
    </row>
    <row r="24" spans="1:9">
      <c r="A24" s="729" t="s">
        <v>1833</v>
      </c>
      <c r="D24" s="722"/>
      <c r="E24" s="722"/>
      <c r="F24" s="730"/>
      <c r="G24" s="722"/>
    </row>
    <row r="25" spans="1:9">
      <c r="A25" s="713" t="s">
        <v>1017</v>
      </c>
      <c r="B25" s="713" t="s">
        <v>1809</v>
      </c>
      <c r="C25" s="713" t="s">
        <v>1810</v>
      </c>
      <c r="D25" s="713" t="s">
        <v>681</v>
      </c>
      <c r="E25" s="713" t="s">
        <v>1883</v>
      </c>
      <c r="F25" s="713" t="s">
        <v>687</v>
      </c>
      <c r="G25" s="713" t="s">
        <v>151</v>
      </c>
      <c r="H25" s="713" t="s">
        <v>649</v>
      </c>
    </row>
    <row r="26" spans="1:9">
      <c r="A26" s="731"/>
      <c r="B26" s="731"/>
      <c r="C26" s="731" t="s">
        <v>1830</v>
      </c>
      <c r="D26" s="731"/>
      <c r="E26" s="731"/>
      <c r="F26" s="731"/>
      <c r="G26" s="731"/>
      <c r="H26" s="731"/>
      <c r="I26" s="731"/>
    </row>
    <row r="27" spans="1:9">
      <c r="A27" s="731"/>
      <c r="B27" s="731"/>
      <c r="C27" s="731" t="s">
        <v>1829</v>
      </c>
      <c r="D27" s="731"/>
      <c r="E27" s="731"/>
      <c r="F27" s="731"/>
      <c r="G27" s="731"/>
      <c r="H27" s="731"/>
      <c r="I27" s="731"/>
    </row>
    <row r="28" spans="1:9">
      <c r="A28" s="731"/>
      <c r="B28" s="731"/>
      <c r="C28" s="731"/>
      <c r="D28" s="731"/>
      <c r="E28" s="731"/>
      <c r="F28" s="731"/>
      <c r="G28" s="731"/>
      <c r="H28" s="731"/>
      <c r="I28" s="731"/>
    </row>
    <row r="29" spans="1:9" ht="18.75">
      <c r="A29" s="732" t="s">
        <v>1834</v>
      </c>
      <c r="B29" s="732"/>
    </row>
    <row r="30" spans="1:9" s="733" customFormat="1" ht="15" customHeight="1">
      <c r="A30" s="733" t="s">
        <v>1835</v>
      </c>
    </row>
    <row r="31" spans="1:9">
      <c r="A31" s="712" t="s">
        <v>1836</v>
      </c>
    </row>
    <row r="32" spans="1:9" ht="18.75">
      <c r="A32" s="732" t="s">
        <v>1837</v>
      </c>
    </row>
    <row r="33" spans="1:9">
      <c r="A33" s="712">
        <v>1</v>
      </c>
      <c r="B33" s="712" t="s">
        <v>1838</v>
      </c>
    </row>
    <row r="34" spans="1:9">
      <c r="A34" s="712">
        <v>2</v>
      </c>
      <c r="B34" s="712" t="s">
        <v>1839</v>
      </c>
    </row>
    <row r="35" spans="1:9">
      <c r="A35" s="712">
        <v>3</v>
      </c>
      <c r="B35" s="712" t="s">
        <v>1840</v>
      </c>
    </row>
    <row r="36" spans="1:9">
      <c r="A36" s="712">
        <v>4</v>
      </c>
      <c r="B36" s="712" t="s">
        <v>1841</v>
      </c>
    </row>
    <row r="37" spans="1:9">
      <c r="A37" s="712">
        <v>5</v>
      </c>
      <c r="B37" s="712" t="s">
        <v>1842</v>
      </c>
    </row>
    <row r="38" spans="1:9">
      <c r="A38" s="712">
        <v>6</v>
      </c>
      <c r="B38" s="712" t="s">
        <v>1843</v>
      </c>
    </row>
    <row r="39" spans="1:9">
      <c r="A39" s="712">
        <v>7</v>
      </c>
      <c r="B39" s="712" t="s">
        <v>1844</v>
      </c>
    </row>
    <row r="40" spans="1:9">
      <c r="A40" s="712">
        <v>8</v>
      </c>
      <c r="B40" s="712" t="s">
        <v>1845</v>
      </c>
    </row>
    <row r="42" spans="1:9" ht="15.75">
      <c r="A42" s="1119" t="s">
        <v>1846</v>
      </c>
      <c r="B42" s="1119"/>
    </row>
    <row r="44" spans="1:9">
      <c r="B44" s="712" t="b">
        <f>AND(OR(C3="Tăm nhang",C3="Giỏ tre đựng rau"),AND(RIGHT(B3,2)&gt;="04",RIGHT(B3,2)&lt;="10"))</f>
        <v>0</v>
      </c>
    </row>
    <row r="45" spans="1:9">
      <c r="A45" s="731"/>
      <c r="B45" s="731"/>
      <c r="C45" s="731"/>
      <c r="D45" s="731"/>
      <c r="E45" s="731"/>
      <c r="F45" s="731"/>
      <c r="G45" s="731"/>
      <c r="H45" s="731"/>
      <c r="I45" s="722"/>
    </row>
    <row r="46" spans="1:9">
      <c r="A46" s="713" t="s">
        <v>1017</v>
      </c>
      <c r="B46" s="713" t="s">
        <v>1809</v>
      </c>
      <c r="C46" s="713" t="s">
        <v>1810</v>
      </c>
      <c r="D46" s="713" t="s">
        <v>681</v>
      </c>
      <c r="E46" s="713" t="s">
        <v>1883</v>
      </c>
      <c r="F46" s="713" t="s">
        <v>687</v>
      </c>
      <c r="G46" s="713" t="s">
        <v>151</v>
      </c>
      <c r="H46" s="713" t="s">
        <v>649</v>
      </c>
      <c r="I46" s="722"/>
    </row>
    <row r="47" spans="1:9">
      <c r="A47" s="716">
        <v>3</v>
      </c>
      <c r="B47" s="716" t="s">
        <v>1818</v>
      </c>
      <c r="C47" s="717" t="s">
        <v>1829</v>
      </c>
      <c r="D47" s="716">
        <v>100</v>
      </c>
      <c r="E47" s="716" t="s">
        <v>1827</v>
      </c>
      <c r="F47" s="716">
        <v>22000</v>
      </c>
      <c r="G47" s="716">
        <v>2200000</v>
      </c>
      <c r="H47" s="716" t="s">
        <v>1807</v>
      </c>
      <c r="I47" s="722"/>
    </row>
    <row r="48" spans="1:9">
      <c r="A48" s="716">
        <v>5</v>
      </c>
      <c r="B48" s="716" t="s">
        <v>1820</v>
      </c>
      <c r="C48" s="717" t="s">
        <v>1830</v>
      </c>
      <c r="D48" s="716">
        <v>500</v>
      </c>
      <c r="E48" s="716" t="s">
        <v>1828</v>
      </c>
      <c r="F48" s="716">
        <v>10800</v>
      </c>
      <c r="G48" s="716">
        <v>5400000</v>
      </c>
      <c r="H48" s="716" t="s">
        <v>1807</v>
      </c>
      <c r="I48" s="722"/>
    </row>
    <row r="49" spans="1:9">
      <c r="A49" s="728"/>
      <c r="B49" s="728"/>
      <c r="C49" s="734"/>
      <c r="D49" s="728"/>
      <c r="E49" s="728"/>
      <c r="F49" s="728"/>
      <c r="G49" s="728"/>
      <c r="H49" s="728"/>
      <c r="I49" s="722"/>
    </row>
    <row r="50" spans="1:9">
      <c r="A50" s="728"/>
      <c r="B50" s="728"/>
      <c r="C50" s="734"/>
      <c r="D50" s="728"/>
      <c r="E50" s="728"/>
      <c r="F50" s="728"/>
      <c r="G50" s="728"/>
      <c r="H50" s="728"/>
      <c r="I50" s="722"/>
    </row>
    <row r="51" spans="1:9">
      <c r="A51" s="722"/>
      <c r="B51" s="722"/>
      <c r="C51" s="722"/>
      <c r="D51" s="722"/>
      <c r="E51" s="722"/>
      <c r="F51" s="722"/>
      <c r="G51" s="722"/>
      <c r="H51" s="722"/>
      <c r="I51" s="722"/>
    </row>
    <row r="52" spans="1:9">
      <c r="A52" s="722"/>
      <c r="B52" s="722"/>
      <c r="C52" s="722"/>
      <c r="D52" s="722"/>
      <c r="E52" s="722"/>
      <c r="F52" s="722"/>
      <c r="G52" s="722"/>
      <c r="H52" s="722"/>
      <c r="I52" s="722"/>
    </row>
  </sheetData>
  <mergeCells count="4">
    <mergeCell ref="A1:I1"/>
    <mergeCell ref="A14:B14"/>
    <mergeCell ref="D14:I14"/>
    <mergeCell ref="A42:B42"/>
  </mergeCells>
  <phoneticPr fontId="41" type="noConversion"/>
  <pageMargins left="0.75" right="0.75" top="1" bottom="1" header="0.5" footer="0.5"/>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A2" sqref="A2:C2"/>
    </sheetView>
  </sheetViews>
  <sheetFormatPr defaultColWidth="8.875" defaultRowHeight="15.75"/>
  <cols>
    <col min="1" max="1" width="13" style="27" customWidth="1"/>
    <col min="2" max="2" width="16.625" style="27" customWidth="1"/>
    <col min="3" max="3" width="15.125" style="27" customWidth="1"/>
    <col min="4" max="4" width="10.375" style="27" customWidth="1"/>
    <col min="5" max="5" width="8.5" style="27" bestFit="1" customWidth="1"/>
    <col min="6" max="6" width="9.75" style="27" customWidth="1"/>
    <col min="7" max="7" width="9.5" style="27" bestFit="1" customWidth="1"/>
    <col min="8" max="8" width="9.75" style="27" bestFit="1" customWidth="1"/>
    <col min="9" max="9" width="8.75" style="27" bestFit="1" customWidth="1"/>
    <col min="10" max="16384" width="8.875" style="27"/>
  </cols>
  <sheetData>
    <row r="1" spans="1:9">
      <c r="A1" s="1102" t="s">
        <v>2181</v>
      </c>
      <c r="B1" s="1102"/>
      <c r="C1" s="1102"/>
      <c r="D1" s="1102"/>
      <c r="E1" s="1102"/>
      <c r="F1" s="1102"/>
      <c r="G1" s="1102"/>
    </row>
    <row r="2" spans="1:9">
      <c r="A2" s="29" t="s">
        <v>2169</v>
      </c>
      <c r="B2" s="29" t="s">
        <v>2173</v>
      </c>
      <c r="C2" s="29" t="s">
        <v>2182</v>
      </c>
      <c r="D2" s="29" t="s">
        <v>2186</v>
      </c>
      <c r="E2" s="29" t="s">
        <v>2174</v>
      </c>
      <c r="F2" s="29" t="s">
        <v>964</v>
      </c>
      <c r="G2" s="29" t="s">
        <v>2170</v>
      </c>
    </row>
    <row r="3" spans="1:9">
      <c r="A3" s="53">
        <v>37169</v>
      </c>
      <c r="B3" s="29" t="s">
        <v>1665</v>
      </c>
      <c r="C3" s="30" t="str">
        <f>VLOOKUP(LEFT(B3,2),$A$13:$B$16,2,0)&amp;" "&amp;HLOOKUP(MID(B3,3,2),$F$13:$I$14,2,0)</f>
        <v>Tuỷ Laùnh Toshiba</v>
      </c>
      <c r="D3" s="30">
        <f>VALUE(RIGHT(B3,3))</f>
        <v>12</v>
      </c>
      <c r="E3" s="30">
        <f>VLOOKUP(LEFT(B3,2),$A$12:$D$16,IF(D3&gt;10,3,4),0)</f>
        <v>400</v>
      </c>
      <c r="F3" s="30">
        <f>IF(AND(LEFT(B3,2)="MG",D3&gt;10),1.5%,0)*E3*D3</f>
        <v>0</v>
      </c>
      <c r="G3" s="764">
        <f>(D3*E3)-F3</f>
        <v>4800</v>
      </c>
      <c r="H3" s="765"/>
    </row>
    <row r="4" spans="1:9">
      <c r="A4" s="53">
        <v>37184</v>
      </c>
      <c r="B4" s="29" t="s">
        <v>1666</v>
      </c>
      <c r="C4" s="30" t="str">
        <f t="shared" ref="C4:C10" si="0">VLOOKUP(LEFT(B4,2),$A$13:$B$16,2,0)&amp;" "&amp;HLOOKUP(MID(B4,3,2),$F$13:$I$14,2,0)</f>
        <v>Tivi Sanyo</v>
      </c>
      <c r="D4" s="30">
        <f t="shared" ref="D4:D10" si="1">VALUE(RIGHT(B4,3))</f>
        <v>2</v>
      </c>
      <c r="E4" s="30">
        <f t="shared" ref="E4:E10" si="2">VLOOKUP(LEFT(B4,2),$A$12:$D$16,IF(D4&gt;10,3,4),0)</f>
        <v>340</v>
      </c>
      <c r="F4" s="30">
        <f t="shared" ref="F4:F10" si="3">IF(AND(LEFT(B4,2)="MG",D4&gt;10),1.5%,0)*E4*D4</f>
        <v>0</v>
      </c>
      <c r="G4" s="766">
        <f t="shared" ref="G4:G10" si="4">(D4*E4)-F4</f>
        <v>680</v>
      </c>
      <c r="H4" s="767"/>
    </row>
    <row r="5" spans="1:9">
      <c r="A5" s="53">
        <v>37189</v>
      </c>
      <c r="B5" s="29" t="s">
        <v>1667</v>
      </c>
      <c r="C5" s="30" t="str">
        <f t="shared" si="0"/>
        <v>Maựy Giaởt Sanyo</v>
      </c>
      <c r="D5" s="30">
        <f t="shared" si="1"/>
        <v>3</v>
      </c>
      <c r="E5" s="30">
        <f t="shared" si="2"/>
        <v>530</v>
      </c>
      <c r="F5" s="30">
        <f t="shared" si="3"/>
        <v>0</v>
      </c>
      <c r="G5" s="766">
        <f t="shared" si="4"/>
        <v>1590</v>
      </c>
      <c r="I5" s="765"/>
    </row>
    <row r="6" spans="1:9">
      <c r="A6" s="53">
        <v>37193</v>
      </c>
      <c r="B6" s="29" t="s">
        <v>1668</v>
      </c>
      <c r="C6" s="30" t="str">
        <f t="shared" si="0"/>
        <v>Tivi Sonny</v>
      </c>
      <c r="D6" s="30">
        <f t="shared" si="1"/>
        <v>14</v>
      </c>
      <c r="E6" s="30">
        <f t="shared" si="2"/>
        <v>320</v>
      </c>
      <c r="F6" s="30">
        <f t="shared" si="3"/>
        <v>0</v>
      </c>
      <c r="G6" s="766">
        <f t="shared" si="4"/>
        <v>4480</v>
      </c>
    </row>
    <row r="7" spans="1:9">
      <c r="A7" s="53">
        <v>37200</v>
      </c>
      <c r="B7" s="29" t="s">
        <v>1669</v>
      </c>
      <c r="C7" s="30" t="str">
        <f t="shared" si="0"/>
        <v>Maựy Giaởt Sanyo</v>
      </c>
      <c r="D7" s="30">
        <f t="shared" si="1"/>
        <v>15</v>
      </c>
      <c r="E7" s="30">
        <f t="shared" si="2"/>
        <v>520</v>
      </c>
      <c r="F7" s="30">
        <f t="shared" si="3"/>
        <v>117</v>
      </c>
      <c r="G7" s="766">
        <f t="shared" si="4"/>
        <v>7683</v>
      </c>
    </row>
    <row r="8" spans="1:9">
      <c r="A8" s="53">
        <v>37214</v>
      </c>
      <c r="B8" s="29" t="s">
        <v>1670</v>
      </c>
      <c r="C8" s="198" t="str">
        <f t="shared" si="0"/>
        <v>Tuỷ Laùnh Sanyo</v>
      </c>
      <c r="D8" s="30">
        <f>VALUE(RIGHT(B8,3))</f>
        <v>5</v>
      </c>
      <c r="E8" s="30">
        <f t="shared" si="2"/>
        <v>410</v>
      </c>
      <c r="F8" s="30">
        <f t="shared" si="3"/>
        <v>0</v>
      </c>
      <c r="G8" s="766">
        <f t="shared" si="4"/>
        <v>2050</v>
      </c>
    </row>
    <row r="9" spans="1:9">
      <c r="A9" s="53">
        <v>37215</v>
      </c>
      <c r="B9" s="29" t="s">
        <v>1671</v>
      </c>
      <c r="C9" s="198" t="str">
        <f t="shared" si="0"/>
        <v>Tivi Toshiba</v>
      </c>
      <c r="D9" s="30">
        <f t="shared" si="1"/>
        <v>2</v>
      </c>
      <c r="E9" s="30">
        <f t="shared" si="2"/>
        <v>340</v>
      </c>
      <c r="F9" s="30">
        <f t="shared" si="3"/>
        <v>0</v>
      </c>
      <c r="G9" s="766">
        <f t="shared" si="4"/>
        <v>680</v>
      </c>
    </row>
    <row r="10" spans="1:9">
      <c r="A10" s="53">
        <v>37223</v>
      </c>
      <c r="B10" s="29" t="s">
        <v>1672</v>
      </c>
      <c r="C10" s="30" t="str">
        <f t="shared" si="0"/>
        <v>Tuỷ Laùnh Sonny</v>
      </c>
      <c r="D10" s="30">
        <f t="shared" si="1"/>
        <v>12</v>
      </c>
      <c r="E10" s="30">
        <f t="shared" si="2"/>
        <v>400</v>
      </c>
      <c r="F10" s="30">
        <f t="shared" si="3"/>
        <v>0</v>
      </c>
      <c r="G10" s="764">
        <f t="shared" si="4"/>
        <v>4800</v>
      </c>
      <c r="H10" s="765"/>
    </row>
    <row r="11" spans="1:9">
      <c r="A11" s="30"/>
      <c r="B11" s="30"/>
      <c r="C11" s="30"/>
      <c r="D11" s="30"/>
      <c r="E11" s="30"/>
      <c r="F11" s="200"/>
      <c r="G11" s="200"/>
    </row>
    <row r="12" spans="1:9">
      <c r="A12" s="1120" t="s">
        <v>2179</v>
      </c>
      <c r="B12" s="1120"/>
      <c r="C12" s="1120" t="s">
        <v>2175</v>
      </c>
      <c r="D12" s="1120"/>
      <c r="F12" s="1120" t="s">
        <v>2180</v>
      </c>
      <c r="G12" s="1120"/>
      <c r="H12" s="1120"/>
      <c r="I12" s="1120"/>
    </row>
    <row r="13" spans="1:9">
      <c r="A13" s="29" t="s">
        <v>2171</v>
      </c>
      <c r="B13" s="29" t="s">
        <v>2183</v>
      </c>
      <c r="C13" s="29" t="s">
        <v>2189</v>
      </c>
      <c r="D13" s="29" t="s">
        <v>965</v>
      </c>
      <c r="F13" s="29" t="s">
        <v>966</v>
      </c>
      <c r="G13" s="29" t="s">
        <v>1673</v>
      </c>
      <c r="H13" s="29" t="s">
        <v>1674</v>
      </c>
      <c r="I13" s="29" t="s">
        <v>1675</v>
      </c>
    </row>
    <row r="14" spans="1:9">
      <c r="A14" s="29" t="s">
        <v>1676</v>
      </c>
      <c r="B14" s="29" t="s">
        <v>2187</v>
      </c>
      <c r="C14" s="29">
        <v>400</v>
      </c>
      <c r="D14" s="29">
        <v>410</v>
      </c>
      <c r="F14" s="29" t="s">
        <v>2184</v>
      </c>
      <c r="G14" s="29" t="s">
        <v>1677</v>
      </c>
      <c r="H14" s="29" t="s">
        <v>1678</v>
      </c>
      <c r="I14" s="29" t="s">
        <v>1679</v>
      </c>
    </row>
    <row r="15" spans="1:9">
      <c r="A15" s="29" t="s">
        <v>1044</v>
      </c>
      <c r="B15" s="29" t="s">
        <v>1680</v>
      </c>
      <c r="C15" s="29">
        <v>320</v>
      </c>
      <c r="D15" s="29">
        <v>340</v>
      </c>
    </row>
    <row r="16" spans="1:9">
      <c r="A16" s="29" t="s">
        <v>1681</v>
      </c>
      <c r="B16" s="29" t="s">
        <v>2176</v>
      </c>
      <c r="C16" s="29">
        <v>520</v>
      </c>
      <c r="D16" s="29">
        <v>530</v>
      </c>
    </row>
    <row r="18" spans="1:8">
      <c r="A18" s="582" t="s">
        <v>1495</v>
      </c>
      <c r="B18" s="27" t="b">
        <f>AND(A3&gt;=DATE(2001,10,15),A3&lt;=DATE(2001,11,1),LEFT(B3,2)="TL")</f>
        <v>0</v>
      </c>
    </row>
    <row r="19" spans="1:8">
      <c r="A19" s="736" t="s">
        <v>827</v>
      </c>
      <c r="B19" s="27" t="b">
        <f>AND(A3&gt;=DATE(2001,10,15),A3&lt;=DATE(2001,11,1),LEFT(B3,2)="TV")</f>
        <v>0</v>
      </c>
      <c r="C19" s="757"/>
      <c r="D19" s="757"/>
    </row>
    <row r="20" spans="1:8">
      <c r="A20" s="1102" t="s">
        <v>2185</v>
      </c>
      <c r="B20" s="1102"/>
      <c r="C20" s="1102"/>
      <c r="D20" s="1102"/>
    </row>
    <row r="21" spans="1:8">
      <c r="A21" s="1102" t="s">
        <v>2177</v>
      </c>
      <c r="B21" s="1102"/>
      <c r="C21" s="1102"/>
      <c r="D21" s="1102"/>
      <c r="F21" s="765"/>
      <c r="H21" s="27" t="s">
        <v>1682</v>
      </c>
    </row>
    <row r="22" spans="1:8">
      <c r="B22" s="30" t="s">
        <v>2172</v>
      </c>
      <c r="C22" s="29">
        <f>DSUM($A$2:$G$10,G2,B18:B19)</f>
        <v>5160</v>
      </c>
      <c r="H22" s="27" t="b">
        <f>LEFT(B3,2)="MG"</f>
        <v>0</v>
      </c>
    </row>
    <row r="23" spans="1:8">
      <c r="B23" s="30" t="s">
        <v>2188</v>
      </c>
      <c r="C23" s="29">
        <f>DSUM($A$2:$G$10,G2,B17:B18)</f>
        <v>0</v>
      </c>
    </row>
    <row r="25" spans="1:8">
      <c r="A25" s="29" t="s">
        <v>2169</v>
      </c>
      <c r="B25" s="29" t="s">
        <v>2173</v>
      </c>
      <c r="C25" s="29" t="s">
        <v>2182</v>
      </c>
      <c r="D25" s="29" t="s">
        <v>2186</v>
      </c>
      <c r="E25" s="29" t="s">
        <v>2174</v>
      </c>
      <c r="F25" s="29" t="s">
        <v>964</v>
      </c>
      <c r="G25" s="29" t="s">
        <v>2170</v>
      </c>
    </row>
    <row r="26" spans="1:8">
      <c r="A26" s="53">
        <v>37189</v>
      </c>
      <c r="B26" s="29" t="s">
        <v>1667</v>
      </c>
      <c r="C26" s="30" t="s">
        <v>2178</v>
      </c>
      <c r="D26" s="30">
        <v>3</v>
      </c>
      <c r="E26" s="30">
        <v>530</v>
      </c>
      <c r="F26" s="30">
        <v>0</v>
      </c>
      <c r="G26" s="764">
        <v>1590</v>
      </c>
    </row>
    <row r="27" spans="1:8">
      <c r="A27" s="53">
        <v>37200</v>
      </c>
      <c r="B27" s="29" t="s">
        <v>1669</v>
      </c>
      <c r="C27" s="30" t="s">
        <v>2178</v>
      </c>
      <c r="D27" s="30">
        <v>15</v>
      </c>
      <c r="E27" s="30">
        <v>520</v>
      </c>
      <c r="F27" s="30">
        <v>117</v>
      </c>
      <c r="G27" s="764">
        <v>7683</v>
      </c>
    </row>
  </sheetData>
  <mergeCells count="6">
    <mergeCell ref="A20:D20"/>
    <mergeCell ref="A21:D21"/>
    <mergeCell ref="A1:G1"/>
    <mergeCell ref="A12:B12"/>
    <mergeCell ref="C12:D12"/>
    <mergeCell ref="F12:I12"/>
  </mergeCells>
  <phoneticPr fontId="0" type="noConversion"/>
  <pageMargins left="0.75" right="0.75" top="1" bottom="1" header="0.5" footer="0.5"/>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 sqref="E1"/>
    </sheetView>
  </sheetViews>
  <sheetFormatPr defaultColWidth="8.875" defaultRowHeight="15"/>
  <cols>
    <col min="1" max="10" width="12.25" customWidth="1"/>
  </cols>
  <sheetData>
    <row r="1" spans="1:9" ht="15.75">
      <c r="C1" s="646" t="s">
        <v>2145</v>
      </c>
      <c r="D1" s="826">
        <v>40817</v>
      </c>
      <c r="E1" s="646" t="s">
        <v>2146</v>
      </c>
      <c r="F1" s="826">
        <v>40862</v>
      </c>
    </row>
    <row r="2" spans="1:9">
      <c r="C2" s="646"/>
      <c r="D2" s="827"/>
      <c r="E2" s="646"/>
      <c r="F2" s="827"/>
    </row>
    <row r="3" spans="1:9" ht="15.75">
      <c r="C3" s="828"/>
      <c r="D3" s="829" t="s">
        <v>2147</v>
      </c>
      <c r="E3" s="830" t="s">
        <v>2148</v>
      </c>
    </row>
    <row r="5" spans="1:9">
      <c r="A5" s="1083" t="s">
        <v>2149</v>
      </c>
      <c r="B5" s="1083"/>
      <c r="E5" s="1083" t="s">
        <v>149</v>
      </c>
      <c r="F5" s="1083"/>
      <c r="H5" s="1083" t="s">
        <v>2150</v>
      </c>
      <c r="I5" s="1083"/>
    </row>
    <row r="6" spans="1:9">
      <c r="A6" s="647" t="s">
        <v>2151</v>
      </c>
      <c r="B6" s="647" t="s">
        <v>2152</v>
      </c>
      <c r="E6" s="647" t="s">
        <v>2153</v>
      </c>
      <c r="F6" s="647" t="s">
        <v>2154</v>
      </c>
      <c r="H6" s="647" t="s">
        <v>2153</v>
      </c>
      <c r="I6" s="647" t="s">
        <v>2154</v>
      </c>
    </row>
    <row r="7" spans="1:9">
      <c r="A7" s="647" t="s">
        <v>2155</v>
      </c>
      <c r="B7" s="647" t="s">
        <v>2156</v>
      </c>
      <c r="D7" s="642" t="s">
        <v>2148</v>
      </c>
      <c r="E7" s="647" t="s">
        <v>2157</v>
      </c>
      <c r="F7" s="647" t="s">
        <v>2158</v>
      </c>
      <c r="H7" s="647">
        <v>1</v>
      </c>
      <c r="I7" s="647">
        <v>100</v>
      </c>
    </row>
    <row r="8" spans="1:9">
      <c r="D8" s="642" t="s">
        <v>2159</v>
      </c>
      <c r="E8" s="647" t="s">
        <v>1828</v>
      </c>
      <c r="F8" s="647" t="s">
        <v>1828</v>
      </c>
      <c r="H8" s="647">
        <v>1</v>
      </c>
      <c r="I8" s="647">
        <v>1</v>
      </c>
    </row>
    <row r="11" spans="1:9" ht="30">
      <c r="A11" s="831" t="s">
        <v>1413</v>
      </c>
      <c r="B11" s="831" t="s">
        <v>2160</v>
      </c>
      <c r="C11" s="831" t="s">
        <v>2161</v>
      </c>
      <c r="D11" s="831" t="s">
        <v>2154</v>
      </c>
      <c r="E11" s="831" t="s">
        <v>2162</v>
      </c>
      <c r="F11" s="831" t="s">
        <v>2163</v>
      </c>
    </row>
    <row r="12" spans="1:9">
      <c r="A12" s="832">
        <v>40817</v>
      </c>
      <c r="B12" s="647" t="s">
        <v>2151</v>
      </c>
      <c r="C12" s="642" t="s">
        <v>2148</v>
      </c>
      <c r="D12" s="647" t="s">
        <v>2158</v>
      </c>
      <c r="E12" s="647">
        <v>100</v>
      </c>
      <c r="F12" s="642">
        <f>E12/I7</f>
        <v>1</v>
      </c>
    </row>
    <row r="13" spans="1:9">
      <c r="A13" s="832">
        <v>40867</v>
      </c>
      <c r="B13" s="647" t="s">
        <v>2155</v>
      </c>
      <c r="C13" s="642" t="s">
        <v>2159</v>
      </c>
      <c r="D13" s="647" t="s">
        <v>1828</v>
      </c>
      <c r="E13" s="647">
        <v>1000</v>
      </c>
      <c r="F13" s="642">
        <f>E13/I8</f>
        <v>1000</v>
      </c>
    </row>
    <row r="14" spans="1:9">
      <c r="A14" t="s">
        <v>2164</v>
      </c>
    </row>
    <row r="15" spans="1:9">
      <c r="A15" t="s">
        <v>2165</v>
      </c>
    </row>
    <row r="16" spans="1:9">
      <c r="A16" t="s">
        <v>2166</v>
      </c>
    </row>
    <row r="18" spans="1:3">
      <c r="A18" t="s">
        <v>2167</v>
      </c>
      <c r="B18" s="833">
        <f>SUMPRODUCT((A12:A13&gt;=D1)*(A12:A13&lt;=F1)*((B12:B13="N1")+(B12:B13="N2"))*(C12:C13=E3)*(F12:F13))</f>
        <v>1</v>
      </c>
      <c r="C18" s="834"/>
    </row>
    <row r="19" spans="1:3">
      <c r="A19" t="s">
        <v>2168</v>
      </c>
      <c r="B19" s="835">
        <f>SUMPRODUCT((A12:A13&gt;=D1)*(A12:A13&lt;=F1)*((B12:B13="N1")+(B12:B13="N2"))*(C12:C13=E3)*(E12:E13))</f>
        <v>100</v>
      </c>
      <c r="C19" s="834"/>
    </row>
  </sheetData>
  <mergeCells count="3">
    <mergeCell ref="A5:B5"/>
    <mergeCell ref="E5:F5"/>
    <mergeCell ref="H5:I5"/>
  </mergeCells>
  <phoneticPr fontId="41" type="noConversion"/>
  <dataValidations count="1">
    <dataValidation type="list" allowBlank="1" showInputMessage="1" showErrorMessage="1" sqref="E3">
      <formula1>$C$12:$C$13</formula1>
    </dataValidation>
  </dataValidations>
  <pageMargins left="0.75" right="0.75" top="1" bottom="1" header="0.5" footer="0.5"/>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activeCell="E3" sqref="E3"/>
    </sheetView>
  </sheetViews>
  <sheetFormatPr defaultColWidth="8.875" defaultRowHeight="15.75"/>
  <cols>
    <col min="1" max="2" width="8.875" style="27"/>
    <col min="3" max="3" width="10.5" style="27" customWidth="1"/>
    <col min="4" max="4" width="18.5" style="27" customWidth="1"/>
    <col min="5" max="5" width="8.875" style="27"/>
    <col min="6" max="6" width="10.625" style="27" customWidth="1"/>
    <col min="7" max="16384" width="8.875" style="27"/>
  </cols>
  <sheetData>
    <row r="1" spans="1:8">
      <c r="E1" s="27" t="s">
        <v>477</v>
      </c>
    </row>
    <row r="2" spans="1:8">
      <c r="E2" s="27" t="s">
        <v>2470</v>
      </c>
    </row>
    <row r="3" spans="1:8">
      <c r="E3" s="27" t="s">
        <v>2251</v>
      </c>
    </row>
    <row r="4" spans="1:8">
      <c r="D4" s="27" t="s">
        <v>2243</v>
      </c>
      <c r="F4" s="27" t="s">
        <v>478</v>
      </c>
    </row>
    <row r="5" spans="1:8">
      <c r="A5" s="30" t="s">
        <v>1017</v>
      </c>
      <c r="B5" s="30" t="s">
        <v>152</v>
      </c>
      <c r="C5" s="30" t="s">
        <v>2252</v>
      </c>
      <c r="D5" s="30" t="s">
        <v>2244</v>
      </c>
      <c r="E5" s="30" t="s">
        <v>681</v>
      </c>
      <c r="F5" s="30" t="s">
        <v>2248</v>
      </c>
      <c r="G5" s="30" t="s">
        <v>2240</v>
      </c>
      <c r="H5" s="30" t="s">
        <v>2241</v>
      </c>
    </row>
    <row r="6" spans="1:8">
      <c r="A6" s="30">
        <v>1</v>
      </c>
      <c r="B6" s="812">
        <v>37431</v>
      </c>
      <c r="C6" s="30" t="s">
        <v>479</v>
      </c>
      <c r="D6" s="30" t="str">
        <f t="shared" ref="D6:D13" si="0">IF($C6="ELF","Elf 6kg",(HLOOKUP($C6,$B$16:$F$18,3,0)))</f>
        <v>Bỡnh dương 12kg</v>
      </c>
      <c r="E6" s="30">
        <v>50</v>
      </c>
      <c r="F6" s="30" t="str">
        <f>IF(OR(LEFT(C6,2)="45",LEFT(C6,2)="48"),"kg","Bình")</f>
        <v>Bình</v>
      </c>
      <c r="G6" s="30">
        <f>IF($C6="ELF",20000,(HLOOKUP($C6,$B$16:$F$18,2,0)))</f>
        <v>3000</v>
      </c>
      <c r="H6" s="30">
        <f>G6*E6*IF(OR(B6&lt;DATE(2002,6,24),E6&gt;=4000),0.9,1)</f>
        <v>150000</v>
      </c>
    </row>
    <row r="7" spans="1:8">
      <c r="A7" s="30">
        <v>2</v>
      </c>
      <c r="B7" s="812">
        <v>37431</v>
      </c>
      <c r="C7" s="30" t="s">
        <v>480</v>
      </c>
      <c r="D7" s="30" t="str">
        <f t="shared" si="0"/>
        <v>Bỡnh dương 12kg</v>
      </c>
      <c r="E7" s="30">
        <v>270</v>
      </c>
      <c r="F7" s="30" t="str">
        <f t="shared" ref="F7:F13" si="1">IF(OR(LEFT(C7,2)="45",LEFT(C7,2)="48"),"kg","Bình")</f>
        <v>kg</v>
      </c>
      <c r="G7" s="30">
        <f t="shared" ref="G7:G13" si="2">IF($C7="ELF",20000,(HLOOKUP($C7,$B$16:$F$18,2,0)))</f>
        <v>2000</v>
      </c>
      <c r="H7" s="30">
        <f t="shared" ref="H7:H13" si="3">G7*E7*IF(OR(B7&lt;DATE(2002,6,24),E7&gt;=4000),0.9,1)</f>
        <v>540000</v>
      </c>
    </row>
    <row r="8" spans="1:8">
      <c r="A8" s="30">
        <v>3</v>
      </c>
      <c r="B8" s="812">
        <v>37431</v>
      </c>
      <c r="C8" s="30" t="s">
        <v>481</v>
      </c>
      <c r="D8" s="30" t="str">
        <f t="shared" si="0"/>
        <v>Elf 6kg</v>
      </c>
      <c r="E8" s="30">
        <v>50</v>
      </c>
      <c r="F8" s="30" t="str">
        <f t="shared" si="1"/>
        <v>Bình</v>
      </c>
      <c r="G8" s="30">
        <f t="shared" si="2"/>
        <v>20000</v>
      </c>
      <c r="H8" s="30">
        <f t="shared" si="3"/>
        <v>1000000</v>
      </c>
    </row>
    <row r="9" spans="1:8">
      <c r="A9" s="30">
        <v>4</v>
      </c>
      <c r="B9" s="812">
        <v>37432</v>
      </c>
      <c r="C9" s="30" t="s">
        <v>482</v>
      </c>
      <c r="D9" s="30" t="str">
        <f t="shared" si="0"/>
        <v>Uni 48 kg</v>
      </c>
      <c r="E9" s="30">
        <v>240</v>
      </c>
      <c r="F9" s="30" t="str">
        <f t="shared" si="1"/>
        <v>kg</v>
      </c>
      <c r="G9" s="30">
        <f t="shared" si="2"/>
        <v>2000</v>
      </c>
      <c r="H9" s="30">
        <f t="shared" si="3"/>
        <v>480000</v>
      </c>
    </row>
    <row r="10" spans="1:8">
      <c r="A10" s="30">
        <v>5</v>
      </c>
      <c r="B10" s="812">
        <v>37432</v>
      </c>
      <c r="C10" s="30" t="s">
        <v>483</v>
      </c>
      <c r="D10" s="30" t="str">
        <f t="shared" si="0"/>
        <v>Uni 12kg</v>
      </c>
      <c r="E10" s="30">
        <v>30</v>
      </c>
      <c r="F10" s="30" t="str">
        <f t="shared" si="1"/>
        <v>Bình</v>
      </c>
      <c r="G10" s="30">
        <f t="shared" si="2"/>
        <v>32000</v>
      </c>
      <c r="H10" s="30">
        <f t="shared" si="3"/>
        <v>960000</v>
      </c>
    </row>
    <row r="11" spans="1:8">
      <c r="A11" s="30">
        <v>6</v>
      </c>
      <c r="B11" s="812">
        <v>37432</v>
      </c>
      <c r="C11" s="30" t="s">
        <v>484</v>
      </c>
      <c r="D11" s="30" t="str">
        <f t="shared" si="0"/>
        <v>Vn 45 kg</v>
      </c>
      <c r="E11" s="30">
        <v>40</v>
      </c>
      <c r="F11" s="30" t="str">
        <f t="shared" si="1"/>
        <v>kg</v>
      </c>
      <c r="G11" s="30">
        <f t="shared" si="2"/>
        <v>2100</v>
      </c>
      <c r="H11" s="30">
        <f t="shared" si="3"/>
        <v>84000</v>
      </c>
    </row>
    <row r="12" spans="1:8">
      <c r="A12" s="30">
        <v>7</v>
      </c>
      <c r="B12" s="812">
        <v>37432</v>
      </c>
      <c r="C12" s="30" t="s">
        <v>481</v>
      </c>
      <c r="D12" s="30" t="str">
        <f t="shared" si="0"/>
        <v>Elf 6kg</v>
      </c>
      <c r="E12" s="30">
        <v>70</v>
      </c>
      <c r="F12" s="30" t="str">
        <f t="shared" si="1"/>
        <v>Bình</v>
      </c>
      <c r="G12" s="30">
        <f t="shared" si="2"/>
        <v>20000</v>
      </c>
      <c r="H12" s="30">
        <f t="shared" si="3"/>
        <v>1400000</v>
      </c>
    </row>
    <row r="13" spans="1:8">
      <c r="A13" s="30">
        <v>8</v>
      </c>
      <c r="B13" s="812">
        <v>37433</v>
      </c>
      <c r="C13" s="30" t="s">
        <v>480</v>
      </c>
      <c r="D13" s="30" t="str">
        <f t="shared" si="0"/>
        <v>Bỡnh dương 12kg</v>
      </c>
      <c r="E13" s="30">
        <v>450</v>
      </c>
      <c r="F13" s="30" t="str">
        <f t="shared" si="1"/>
        <v>kg</v>
      </c>
      <c r="G13" s="30">
        <f t="shared" si="2"/>
        <v>2000</v>
      </c>
      <c r="H13" s="30">
        <f t="shared" si="3"/>
        <v>900000</v>
      </c>
    </row>
    <row r="15" spans="1:8">
      <c r="B15" s="27" t="s">
        <v>652</v>
      </c>
    </row>
    <row r="16" spans="1:8">
      <c r="A16" s="30" t="s">
        <v>2232</v>
      </c>
      <c r="B16" s="30" t="s">
        <v>479</v>
      </c>
      <c r="C16" s="30" t="s">
        <v>483</v>
      </c>
      <c r="D16" s="30" t="s">
        <v>480</v>
      </c>
      <c r="E16" s="30" t="s">
        <v>482</v>
      </c>
      <c r="F16" s="30" t="s">
        <v>484</v>
      </c>
    </row>
    <row r="17" spans="1:17">
      <c r="A17" s="30" t="s">
        <v>2242</v>
      </c>
      <c r="B17" s="30">
        <v>3000</v>
      </c>
      <c r="C17" s="30">
        <v>32000</v>
      </c>
      <c r="D17" s="30">
        <v>2000</v>
      </c>
      <c r="E17" s="30">
        <v>2000</v>
      </c>
      <c r="F17" s="30">
        <v>2100</v>
      </c>
    </row>
    <row r="18" spans="1:17">
      <c r="A18" s="30" t="s">
        <v>2245</v>
      </c>
      <c r="B18" s="30" t="s">
        <v>2247</v>
      </c>
      <c r="C18" s="30" t="s">
        <v>485</v>
      </c>
      <c r="D18" s="30" t="s">
        <v>2247</v>
      </c>
      <c r="E18" s="30" t="s">
        <v>486</v>
      </c>
      <c r="F18" s="30" t="s">
        <v>487</v>
      </c>
    </row>
    <row r="21" spans="1:17">
      <c r="A21" s="644" t="s">
        <v>2246</v>
      </c>
      <c r="B21" s="58"/>
      <c r="C21" s="58"/>
      <c r="D21" s="58"/>
      <c r="E21" s="58"/>
      <c r="F21" s="58"/>
      <c r="G21" s="58"/>
      <c r="H21" s="58"/>
      <c r="I21" s="58"/>
      <c r="J21" s="58"/>
      <c r="K21" s="58"/>
      <c r="L21" s="58"/>
      <c r="M21" s="58"/>
      <c r="N21" s="58"/>
      <c r="O21" s="58"/>
      <c r="P21" s="58"/>
      <c r="Q21" s="813"/>
    </row>
    <row r="22" spans="1:17">
      <c r="A22" s="60" t="s">
        <v>2249</v>
      </c>
      <c r="B22" s="61"/>
      <c r="C22" s="61"/>
      <c r="D22" s="61"/>
      <c r="E22" s="61"/>
      <c r="F22" s="61"/>
      <c r="G22" s="61"/>
      <c r="H22" s="61"/>
      <c r="I22" s="61"/>
      <c r="J22" s="61"/>
      <c r="K22" s="61"/>
      <c r="L22" s="61"/>
      <c r="M22" s="61"/>
      <c r="N22" s="61"/>
      <c r="O22" s="61"/>
      <c r="P22" s="61"/>
      <c r="Q22" s="814"/>
    </row>
    <row r="23" spans="1:17">
      <c r="A23" s="60" t="s">
        <v>2253</v>
      </c>
      <c r="B23" s="61"/>
      <c r="C23" s="61"/>
      <c r="D23" s="61"/>
      <c r="E23" s="61"/>
      <c r="F23" s="61"/>
      <c r="G23" s="61"/>
      <c r="H23" s="61"/>
      <c r="I23" s="61"/>
      <c r="J23" s="61"/>
      <c r="K23" s="61"/>
      <c r="L23" s="61"/>
      <c r="M23" s="61"/>
      <c r="N23" s="61"/>
      <c r="O23" s="61"/>
      <c r="P23" s="61"/>
      <c r="Q23" s="814"/>
    </row>
    <row r="24" spans="1:17">
      <c r="A24" s="60" t="s">
        <v>2254</v>
      </c>
      <c r="B24" s="61"/>
      <c r="C24" s="61"/>
      <c r="D24" s="61"/>
      <c r="E24" s="61"/>
      <c r="F24" s="61"/>
      <c r="G24" s="61"/>
      <c r="H24" s="61"/>
      <c r="I24" s="61"/>
      <c r="J24" s="61"/>
      <c r="K24" s="61"/>
      <c r="L24" s="61"/>
      <c r="M24" s="61"/>
      <c r="N24" s="61"/>
      <c r="O24" s="61"/>
      <c r="P24" s="61"/>
      <c r="Q24" s="814"/>
    </row>
    <row r="25" spans="1:17">
      <c r="A25" s="60" t="s">
        <v>2255</v>
      </c>
      <c r="B25" s="61"/>
      <c r="C25" s="61"/>
      <c r="D25" s="61"/>
      <c r="E25" s="61"/>
      <c r="F25" s="61"/>
      <c r="G25" s="61"/>
      <c r="H25" s="61"/>
      <c r="I25" s="61"/>
      <c r="J25" s="61"/>
      <c r="K25" s="61"/>
      <c r="L25" s="61"/>
      <c r="M25" s="61"/>
      <c r="N25" s="61"/>
      <c r="O25" s="61"/>
      <c r="P25" s="61"/>
      <c r="Q25" s="814"/>
    </row>
    <row r="26" spans="1:17">
      <c r="A26" s="60" t="s">
        <v>488</v>
      </c>
      <c r="B26" s="61"/>
      <c r="C26" s="61"/>
      <c r="D26" s="61"/>
      <c r="E26" s="61"/>
      <c r="F26" s="61"/>
      <c r="G26" s="61"/>
      <c r="H26" s="61"/>
      <c r="I26" s="61"/>
      <c r="J26" s="61"/>
      <c r="K26" s="61"/>
      <c r="L26" s="61"/>
      <c r="M26" s="61"/>
      <c r="N26" s="61"/>
      <c r="O26" s="61"/>
      <c r="P26" s="61"/>
      <c r="Q26" s="814"/>
    </row>
    <row r="27" spans="1:17">
      <c r="A27" s="60" t="s">
        <v>2257</v>
      </c>
      <c r="B27" s="61"/>
      <c r="C27" s="61"/>
      <c r="D27" s="61"/>
      <c r="E27" s="61"/>
      <c r="F27" s="61"/>
      <c r="G27" s="61"/>
      <c r="H27" s="61"/>
      <c r="I27" s="61"/>
      <c r="J27" s="61"/>
      <c r="K27" s="61"/>
      <c r="L27" s="61"/>
      <c r="M27" s="61"/>
      <c r="N27" s="61"/>
      <c r="O27" s="61"/>
      <c r="P27" s="61"/>
      <c r="Q27" s="814"/>
    </row>
    <row r="28" spans="1:17">
      <c r="A28" s="60" t="s">
        <v>2256</v>
      </c>
      <c r="B28" s="61"/>
      <c r="C28" s="61"/>
      <c r="D28" s="61"/>
      <c r="E28" s="61"/>
      <c r="F28" s="61"/>
      <c r="G28" s="61"/>
      <c r="H28" s="61"/>
      <c r="I28" s="61"/>
      <c r="J28" s="61"/>
      <c r="K28" s="61"/>
      <c r="L28" s="61"/>
      <c r="M28" s="61"/>
      <c r="N28" s="61"/>
      <c r="O28" s="61"/>
      <c r="P28" s="61"/>
      <c r="Q28" s="814"/>
    </row>
    <row r="29" spans="1:17">
      <c r="A29" s="60" t="s">
        <v>2250</v>
      </c>
      <c r="B29" s="61"/>
      <c r="C29" s="61"/>
      <c r="D29" s="61"/>
      <c r="E29" s="61"/>
      <c r="F29" s="61"/>
      <c r="G29" s="61"/>
      <c r="H29" s="61"/>
      <c r="I29" s="61"/>
      <c r="J29" s="61"/>
      <c r="K29" s="61"/>
      <c r="L29" s="61"/>
      <c r="M29" s="61"/>
      <c r="N29" s="61"/>
      <c r="O29" s="61"/>
      <c r="P29" s="61"/>
      <c r="Q29" s="814"/>
    </row>
    <row r="30" spans="1:17">
      <c r="A30" s="645" t="s">
        <v>2258</v>
      </c>
      <c r="B30" s="815"/>
      <c r="C30" s="815"/>
      <c r="D30" s="815"/>
      <c r="E30" s="815"/>
      <c r="F30" s="815"/>
      <c r="G30" s="815"/>
      <c r="H30" s="815"/>
      <c r="I30" s="815"/>
      <c r="J30" s="815"/>
      <c r="K30" s="815"/>
      <c r="L30" s="815"/>
      <c r="M30" s="815"/>
      <c r="N30" s="815"/>
      <c r="O30" s="815"/>
      <c r="P30" s="815"/>
      <c r="Q30" s="816"/>
    </row>
  </sheetData>
  <phoneticPr fontId="0" type="noConversion"/>
  <pageMargins left="0.75" right="0.75" top="1" bottom="1" header="0.5" footer="0.5"/>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1" sqref="C1"/>
    </sheetView>
  </sheetViews>
  <sheetFormatPr defaultColWidth="8" defaultRowHeight="12.75"/>
  <cols>
    <col min="1" max="1" width="26.125" style="2" customWidth="1"/>
    <col min="2" max="2" width="1.125" style="2" customWidth="1"/>
    <col min="3" max="3" width="28.125" style="2" customWidth="1"/>
    <col min="4" max="16384" width="8" style="2"/>
  </cols>
  <sheetData>
    <row r="1" spans="1:3" ht="15">
      <c r="A1" s="1" t="s">
        <v>518</v>
      </c>
      <c r="C1"/>
    </row>
    <row r="2" spans="1:3" ht="13.5" thickBot="1">
      <c r="A2" s="1" t="s">
        <v>1092</v>
      </c>
    </row>
    <row r="3" spans="1:3" ht="13.5" thickBot="1">
      <c r="A3" s="3" t="s">
        <v>975</v>
      </c>
      <c r="C3" s="4" t="s">
        <v>528</v>
      </c>
    </row>
    <row r="4" spans="1:3" ht="15">
      <c r="A4" s="3">
        <v>3</v>
      </c>
      <c r="C4"/>
    </row>
    <row r="5" spans="1:3" ht="15">
      <c r="C5"/>
    </row>
    <row r="6" spans="1:3" ht="15.75" thickBot="1">
      <c r="C6"/>
    </row>
    <row r="7" spans="1:3" ht="15">
      <c r="A7" s="5" t="s">
        <v>529</v>
      </c>
      <c r="C7"/>
    </row>
    <row r="8" spans="1:3" ht="15">
      <c r="A8" s="6" t="s">
        <v>530</v>
      </c>
      <c r="C8"/>
    </row>
    <row r="9" spans="1:3" ht="15">
      <c r="A9" s="7" t="s">
        <v>531</v>
      </c>
      <c r="C9"/>
    </row>
    <row r="10" spans="1:3" ht="15">
      <c r="A10" s="6" t="s">
        <v>532</v>
      </c>
      <c r="C10"/>
    </row>
    <row r="11" spans="1:3" ht="15.75" thickBot="1">
      <c r="A11" s="8" t="s">
        <v>533</v>
      </c>
      <c r="C11"/>
    </row>
    <row r="12" spans="1:3" ht="15">
      <c r="C12"/>
    </row>
    <row r="13" spans="1:3" ht="15.75" thickBot="1">
      <c r="C13"/>
    </row>
    <row r="14" spans="1:3" ht="15.75" thickBot="1">
      <c r="A14" s="4" t="s">
        <v>534</v>
      </c>
      <c r="C14"/>
    </row>
    <row r="15" spans="1:3" ht="15">
      <c r="A15"/>
    </row>
    <row r="16" spans="1:3" ht="15.75" thickBot="1">
      <c r="A16"/>
    </row>
    <row r="17" spans="1:3" ht="15.75" thickBot="1">
      <c r="A17"/>
      <c r="C17" s="4" t="s">
        <v>535</v>
      </c>
    </row>
    <row r="18" spans="1:3" ht="15">
      <c r="C18"/>
    </row>
    <row r="19" spans="1:3" ht="15">
      <c r="C19"/>
    </row>
    <row r="20" spans="1:3" ht="15">
      <c r="A20" s="9" t="s">
        <v>536</v>
      </c>
      <c r="C20"/>
    </row>
    <row r="21" spans="1:3" ht="15">
      <c r="A21"/>
      <c r="C21"/>
    </row>
    <row r="22" spans="1:3" ht="15">
      <c r="A22"/>
      <c r="C22"/>
    </row>
    <row r="23" spans="1:3" ht="15">
      <c r="A23"/>
      <c r="C23"/>
    </row>
    <row r="24" spans="1:3" ht="15">
      <c r="A24"/>
    </row>
    <row r="25" spans="1:3" ht="15">
      <c r="A25"/>
    </row>
    <row r="26" spans="1:3" ht="15.75" thickBot="1">
      <c r="A26"/>
      <c r="C26" s="10" t="s">
        <v>537</v>
      </c>
    </row>
    <row r="27" spans="1:3" ht="15">
      <c r="A27"/>
      <c r="C27"/>
    </row>
    <row r="28" spans="1:3" ht="15">
      <c r="A28"/>
      <c r="C28"/>
    </row>
    <row r="29" spans="1:3" ht="15">
      <c r="A29"/>
      <c r="C29"/>
    </row>
    <row r="30" spans="1:3" ht="15">
      <c r="A30"/>
      <c r="C30"/>
    </row>
    <row r="31" spans="1:3" ht="15">
      <c r="A31"/>
      <c r="C31"/>
    </row>
    <row r="32" spans="1:3" ht="15">
      <c r="A32"/>
      <c r="C32"/>
    </row>
    <row r="33" spans="1:3" ht="15">
      <c r="A33"/>
      <c r="C33"/>
    </row>
    <row r="34" spans="1:3" ht="15">
      <c r="A34"/>
      <c r="C34"/>
    </row>
    <row r="35" spans="1:3" ht="15">
      <c r="A35"/>
      <c r="C35"/>
    </row>
    <row r="36" spans="1:3" ht="15">
      <c r="A36"/>
      <c r="C36"/>
    </row>
    <row r="37" spans="1:3" ht="15">
      <c r="A37"/>
    </row>
    <row r="38" spans="1:3" ht="15">
      <c r="A38"/>
    </row>
    <row r="39" spans="1:3" ht="15">
      <c r="A39"/>
      <c r="C39"/>
    </row>
    <row r="40" spans="1:3" ht="15">
      <c r="A40"/>
      <c r="C40"/>
    </row>
    <row r="41" spans="1:3" ht="15">
      <c r="A41"/>
      <c r="C41"/>
    </row>
  </sheetData>
  <sheetProtection password="8863" sheet="1" objects="1"/>
  <phoneticPr fontId="0" type="noConversion"/>
  <pageMargins left="0.75" right="0.75" top="1" bottom="1" header="0.5" footer="0.5"/>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1" sqref="C1"/>
    </sheetView>
  </sheetViews>
  <sheetFormatPr defaultColWidth="8" defaultRowHeight="12.75"/>
  <cols>
    <col min="1" max="1" width="26.125" style="2" customWidth="1"/>
    <col min="2" max="2" width="1.125" style="2" customWidth="1"/>
    <col min="3" max="3" width="28.125" style="2" customWidth="1"/>
    <col min="4" max="16384" width="8" style="2"/>
  </cols>
  <sheetData>
    <row r="1" spans="1:3" ht="15">
      <c r="A1" s="1" t="s">
        <v>518</v>
      </c>
      <c r="C1"/>
    </row>
    <row r="2" spans="1:3" ht="13.5" thickBot="1">
      <c r="A2" s="1" t="s">
        <v>1092</v>
      </c>
    </row>
    <row r="3" spans="1:3" ht="13.5" thickBot="1">
      <c r="A3" s="3" t="s">
        <v>975</v>
      </c>
      <c r="C3" s="4" t="s">
        <v>528</v>
      </c>
    </row>
    <row r="4" spans="1:3" ht="15">
      <c r="A4" s="3">
        <v>3</v>
      </c>
      <c r="C4"/>
    </row>
    <row r="5" spans="1:3" ht="15">
      <c r="C5"/>
    </row>
    <row r="6" spans="1:3" ht="15.75" thickBot="1">
      <c r="C6"/>
    </row>
    <row r="7" spans="1:3" ht="15">
      <c r="A7" s="5" t="s">
        <v>529</v>
      </c>
      <c r="C7"/>
    </row>
    <row r="8" spans="1:3" ht="15">
      <c r="A8" s="6" t="s">
        <v>530</v>
      </c>
      <c r="C8"/>
    </row>
    <row r="9" spans="1:3" ht="15">
      <c r="A9" s="7" t="s">
        <v>531</v>
      </c>
      <c r="C9"/>
    </row>
    <row r="10" spans="1:3" ht="15">
      <c r="A10" s="6" t="s">
        <v>532</v>
      </c>
      <c r="C10"/>
    </row>
    <row r="11" spans="1:3" ht="15.75" thickBot="1">
      <c r="A11" s="8" t="s">
        <v>533</v>
      </c>
      <c r="C11"/>
    </row>
    <row r="12" spans="1:3" ht="15">
      <c r="C12"/>
    </row>
    <row r="13" spans="1:3" ht="15.75" thickBot="1">
      <c r="C13"/>
    </row>
    <row r="14" spans="1:3" ht="15.75" thickBot="1">
      <c r="A14" s="4" t="s">
        <v>534</v>
      </c>
      <c r="C14"/>
    </row>
    <row r="15" spans="1:3" ht="15">
      <c r="A15"/>
    </row>
    <row r="16" spans="1:3" ht="15.75" thickBot="1">
      <c r="A16"/>
    </row>
    <row r="17" spans="1:3" ht="15.75" thickBot="1">
      <c r="A17"/>
      <c r="C17" s="4" t="s">
        <v>535</v>
      </c>
    </row>
    <row r="18" spans="1:3" ht="15">
      <c r="C18"/>
    </row>
    <row r="19" spans="1:3" ht="15">
      <c r="C19"/>
    </row>
    <row r="20" spans="1:3" ht="15">
      <c r="A20" s="9" t="s">
        <v>536</v>
      </c>
      <c r="C20"/>
    </row>
    <row r="21" spans="1:3" ht="15">
      <c r="A21"/>
      <c r="C21"/>
    </row>
    <row r="22" spans="1:3" ht="15">
      <c r="A22"/>
      <c r="C22"/>
    </row>
    <row r="23" spans="1:3" ht="15">
      <c r="A23"/>
      <c r="C23"/>
    </row>
    <row r="24" spans="1:3" ht="15">
      <c r="A24"/>
    </row>
    <row r="25" spans="1:3" ht="15">
      <c r="A25"/>
    </row>
    <row r="26" spans="1:3" ht="15.75" thickBot="1">
      <c r="A26"/>
      <c r="C26" s="10" t="s">
        <v>537</v>
      </c>
    </row>
    <row r="27" spans="1:3" ht="15">
      <c r="A27"/>
      <c r="C27"/>
    </row>
    <row r="28" spans="1:3" ht="15">
      <c r="A28"/>
      <c r="C28"/>
    </row>
    <row r="29" spans="1:3" ht="15">
      <c r="A29"/>
      <c r="C29"/>
    </row>
    <row r="30" spans="1:3" ht="15">
      <c r="A30"/>
      <c r="C30"/>
    </row>
    <row r="31" spans="1:3" ht="15">
      <c r="A31"/>
      <c r="C31"/>
    </row>
    <row r="32" spans="1:3" ht="15">
      <c r="A32"/>
      <c r="C32"/>
    </row>
    <row r="33" spans="1:3" ht="15">
      <c r="A33"/>
      <c r="C33"/>
    </row>
    <row r="34" spans="1:3" ht="15">
      <c r="A34"/>
      <c r="C34"/>
    </row>
    <row r="35" spans="1:3" ht="15">
      <c r="A35"/>
      <c r="C35"/>
    </row>
    <row r="36" spans="1:3" ht="15">
      <c r="A36"/>
      <c r="C36"/>
    </row>
    <row r="37" spans="1:3" ht="15">
      <c r="A37"/>
    </row>
    <row r="38" spans="1:3" ht="15">
      <c r="A38"/>
    </row>
    <row r="39" spans="1:3" ht="15">
      <c r="A39"/>
      <c r="C39"/>
    </row>
    <row r="40" spans="1:3" ht="15">
      <c r="A40"/>
      <c r="C40"/>
    </row>
    <row r="41" spans="1:3" ht="15">
      <c r="A41"/>
      <c r="C41"/>
    </row>
  </sheetData>
  <sheetProtection password="8863" sheet="1" objects="1"/>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87</vt:i4>
      </vt:variant>
      <vt:variant>
        <vt:lpstr>Named Ranges</vt:lpstr>
      </vt:variant>
      <vt:variant>
        <vt:i4>19</vt:i4>
      </vt:variant>
    </vt:vector>
  </HeadingPairs>
  <TitlesOfParts>
    <vt:vector size="106" baseType="lpstr">
      <vt:lpstr>B1</vt:lpstr>
      <vt:lpstr>B2</vt:lpstr>
      <vt:lpstr>B3</vt:lpstr>
      <vt:lpstr>B4</vt:lpstr>
      <vt:lpstr>B5</vt:lpstr>
      <vt:lpstr>B6</vt:lpstr>
      <vt:lpstr>B7</vt:lpstr>
      <vt:lpstr>B8-N</vt:lpstr>
      <vt:lpstr>B9</vt:lpstr>
      <vt:lpstr>B10</vt:lpstr>
      <vt:lpstr>B11</vt:lpstr>
      <vt:lpstr>B12</vt:lpstr>
      <vt:lpstr>B13</vt:lpstr>
      <vt:lpstr>B14</vt:lpstr>
      <vt:lpstr>B15</vt:lpstr>
      <vt:lpstr>B16</vt:lpstr>
      <vt:lpstr>B17</vt:lpstr>
      <vt:lpstr>B18</vt:lpstr>
      <vt:lpstr>B19</vt:lpstr>
      <vt:lpstr>B20-N</vt:lpstr>
      <vt:lpstr>B21</vt:lpstr>
      <vt:lpstr>B22</vt:lpstr>
      <vt:lpstr>B23</vt:lpstr>
      <vt:lpstr>B24</vt:lpstr>
      <vt:lpstr>B25</vt:lpstr>
      <vt:lpstr>B26</vt:lpstr>
      <vt:lpstr>B27</vt:lpstr>
      <vt:lpstr>B28</vt:lpstr>
      <vt:lpstr>B29</vt:lpstr>
      <vt:lpstr>B30</vt:lpstr>
      <vt:lpstr>B31</vt:lpstr>
      <vt:lpstr>B32</vt:lpstr>
      <vt:lpstr>B33</vt:lpstr>
      <vt:lpstr>B34</vt:lpstr>
      <vt:lpstr>B35</vt:lpstr>
      <vt:lpstr>B36</vt:lpstr>
      <vt:lpstr>B37</vt:lpstr>
      <vt:lpstr>B38</vt:lpstr>
      <vt:lpstr>B39</vt:lpstr>
      <vt:lpstr>B40</vt:lpstr>
      <vt:lpstr>B41</vt:lpstr>
      <vt:lpstr>B42</vt:lpstr>
      <vt:lpstr>B43</vt:lpstr>
      <vt:lpstr>B44</vt:lpstr>
      <vt:lpstr>B45</vt:lpstr>
      <vt:lpstr>B46</vt:lpstr>
      <vt:lpstr>B47</vt:lpstr>
      <vt:lpstr>B48</vt:lpstr>
      <vt:lpstr>B49</vt:lpstr>
      <vt:lpstr>B50</vt:lpstr>
      <vt:lpstr>B51</vt:lpstr>
      <vt:lpstr>B52</vt:lpstr>
      <vt:lpstr>B53</vt:lpstr>
      <vt:lpstr>B54</vt:lpstr>
      <vt:lpstr>B55</vt:lpstr>
      <vt:lpstr>B56</vt:lpstr>
      <vt:lpstr>B57</vt:lpstr>
      <vt:lpstr>B58</vt:lpstr>
      <vt:lpstr>B59</vt:lpstr>
      <vt:lpstr>B60</vt:lpstr>
      <vt:lpstr>B61</vt:lpstr>
      <vt:lpstr>B62</vt:lpstr>
      <vt:lpstr>B63</vt:lpstr>
      <vt:lpstr>B64</vt:lpstr>
      <vt:lpstr>B65</vt:lpstr>
      <vt:lpstr>B66</vt:lpstr>
      <vt:lpstr>B67</vt:lpstr>
      <vt:lpstr>B68</vt:lpstr>
      <vt:lpstr>B69</vt:lpstr>
      <vt:lpstr>B70</vt:lpstr>
      <vt:lpstr>71</vt:lpstr>
      <vt:lpstr>72</vt:lpstr>
      <vt:lpstr>Match</vt:lpstr>
      <vt:lpstr>Validation</vt:lpstr>
      <vt:lpstr>Tiền giảm</vt:lpstr>
      <vt:lpstr>Sheet10</vt:lpstr>
      <vt:lpstr>time hết hạn</vt:lpstr>
      <vt:lpstr>Sheet8</vt:lpstr>
      <vt:lpstr>Tiền điện</vt:lpstr>
      <vt:lpstr>Tham chieu phức tạp</vt:lpstr>
      <vt:lpstr>tham chiếu ngược</vt:lpstr>
      <vt:lpstr>sumif</vt:lpstr>
      <vt:lpstr>thongke</vt:lpstr>
      <vt:lpstr>Dsum and thong ke</vt:lpstr>
      <vt:lpstr>khoang thơi gian</vt:lpstr>
      <vt:lpstr>Sheet3</vt:lpstr>
      <vt:lpstr>Sheet1</vt:lpstr>
      <vt:lpstr>'B21'!Criteria</vt:lpstr>
      <vt:lpstr>'B23'!Criteria</vt:lpstr>
      <vt:lpstr>'B25'!Criteria</vt:lpstr>
      <vt:lpstr>'B34'!Criteria</vt:lpstr>
      <vt:lpstr>'B46'!Criteria</vt:lpstr>
      <vt:lpstr>'B51'!Criteria</vt:lpstr>
      <vt:lpstr>'B70'!Criteria</vt:lpstr>
      <vt:lpstr>'Tiền giảm'!Criteria</vt:lpstr>
      <vt:lpstr>DS</vt:lpstr>
      <vt:lpstr>'B23'!Extract</vt:lpstr>
      <vt:lpstr>'B25'!Extract</vt:lpstr>
      <vt:lpstr>'B51'!Extract</vt:lpstr>
      <vt:lpstr>'B70'!Extract</vt:lpstr>
      <vt:lpstr>'B58'!Print_Area</vt:lpstr>
      <vt:lpstr>'B8-N'!Print_Area</vt:lpstr>
      <vt:lpstr>'B9'!Print_Area</vt:lpstr>
      <vt:lpstr>TenHuyen</vt:lpstr>
      <vt:lpstr>TenTinh</vt:lpstr>
      <vt:lpstr>TenXa</vt:lpstr>
    </vt:vector>
  </TitlesOfParts>
  <Company>Truong QLKTCN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 Tuan</dc:creator>
  <cp:lastModifiedBy>Tran Tan Thinh</cp:lastModifiedBy>
  <cp:lastPrinted>2011-01-06T14:13:11Z</cp:lastPrinted>
  <dcterms:created xsi:type="dcterms:W3CDTF">2003-03-29T16:57:21Z</dcterms:created>
  <dcterms:modified xsi:type="dcterms:W3CDTF">2019-12-29T16:05:08Z</dcterms:modified>
</cp:coreProperties>
</file>