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5" windowWidth="20730" windowHeight="11700" activeTab="2"/>
  </bookViews>
  <sheets>
    <sheet name="Gen Running Costs" sheetId="1" r:id="rId1"/>
    <sheet name="PV Service Costs" sheetId="4" r:id="rId2"/>
    <sheet name="Helper" sheetId="2" r:id="rId3"/>
    <sheet name="autofill" sheetId="3" r:id="rId4"/>
  </sheets>
  <definedNames>
    <definedName name="Column">Helper!$C$30:$C$53</definedName>
    <definedName name="Days_in_a_Year">Helper!#REF!</definedName>
    <definedName name="Finished_On">Helper!$B$4</definedName>
    <definedName name="Gen1_Fuel_Used">Helper!$D$46</definedName>
    <definedName name="Gen1_Run_Hours">Helper!$D$30</definedName>
    <definedName name="Gen1_Run_Time">Helper!$D$30</definedName>
    <definedName name="Gen1_Start_Count">Helper!$D$38</definedName>
    <definedName name="Gen2_Fuel_Used">Helper!$D$47</definedName>
    <definedName name="Gen2_Run_Hours">Helper!$D$31</definedName>
    <definedName name="Gen2_Run_Time">Helper!$D$31</definedName>
    <definedName name="Gen2_Start_Count">Helper!$D$39</definedName>
    <definedName name="Gen3_Fuel_Used">Helper!$D$48</definedName>
    <definedName name="Gen3_Run_Hours">Helper!$D$32</definedName>
    <definedName name="Gen3_Run_Time">Helper!$D$32</definedName>
    <definedName name="Gen3_Start_Count">Helper!$D$40</definedName>
    <definedName name="Gen4_Fuel_Used">Helper!$D$49</definedName>
    <definedName name="Gen4_Run_Hours">Helper!$D$33</definedName>
    <definedName name="Gen4_Run_Time">Helper!$D$33</definedName>
    <definedName name="Gen4_Start_Count">Helper!$D$41</definedName>
    <definedName name="Gen5_Fuel_Used">Helper!$D$50</definedName>
    <definedName name="Gen5_Run_Hours">Helper!$D$34</definedName>
    <definedName name="Gen5_Run_Time">Helper!$D$34</definedName>
    <definedName name="Gen5_Start_Count">Helper!$D$42</definedName>
    <definedName name="Gen6_Fuel_Used">Helper!$D$51</definedName>
    <definedName name="Gen6_Run_Hours">Helper!$D$35</definedName>
    <definedName name="Gen6_Run_Time">Helper!$D$35</definedName>
    <definedName name="Gen6_Start_Count">Helper!$D$43</definedName>
    <definedName name="Gen7_Fuel_Used">Helper!$D$52</definedName>
    <definedName name="Gen7_Run_Hours">Helper!$D$36</definedName>
    <definedName name="Gen7_Run_Time">Helper!$D$36</definedName>
    <definedName name="Gen7_Start_Count">Helper!$D$44</definedName>
    <definedName name="Gen8_Fuel_Used">Helper!$D$53</definedName>
    <definedName name="Gen8_Run_Hours">Helper!$D$37</definedName>
    <definedName name="Gen8_Run_Time">Helper!$D$37</definedName>
    <definedName name="Gen8_Start_Count">Helper!$D$45</definedName>
    <definedName name="Last_Data_Row">Helper!$B$28</definedName>
    <definedName name="Leftover_Days_Run">Helper!$B$16</definedName>
    <definedName name="Leftover_Hours_Run">Helper!$B$17</definedName>
    <definedName name="Leftover_Minutes_Run">Helper!$B$18</definedName>
    <definedName name="Leftover_Months_Run">Helper!$B$15</definedName>
    <definedName name="Leftover_Seconds_Run">Helper!$B$19</definedName>
    <definedName name="Leftover_Years_Run">Helper!$B$14</definedName>
    <definedName name="RangeYear1">Helper!$B$56:$C$57</definedName>
    <definedName name="RangeYear10">Helper!$B$74:$C$75</definedName>
    <definedName name="RangeYear11">Helper!$B$76:$C$77</definedName>
    <definedName name="RangeYear12">Helper!$B$78:$C$79</definedName>
    <definedName name="RangeYear13">Helper!$B$80:$C$81</definedName>
    <definedName name="RangeYear14">Helper!$B$82:$C$83</definedName>
    <definedName name="RangeYear15">Helper!$B$84:$C$85</definedName>
    <definedName name="RangeYear16">Helper!$B$86:$C$87</definedName>
    <definedName name="RangeYear17">Helper!$B$88:$C$89</definedName>
    <definedName name="RangeYear18">Helper!$B$90:$C$91</definedName>
    <definedName name="RangeYear19">Helper!$B$92:$C$93</definedName>
    <definedName name="RangeYear2">Helper!$B$58:$C$59</definedName>
    <definedName name="RangeYear20">Helper!$B$94:$C$95</definedName>
    <definedName name="RangeYear3">Helper!$B$60:$C$61</definedName>
    <definedName name="RangeYear4">Helper!$B$62:$C$63</definedName>
    <definedName name="RangeYear5">Helper!$B$64:$C$65</definedName>
    <definedName name="RangeYear6">Helper!$B$66:$C$67</definedName>
    <definedName name="RangeYear7">Helper!$B$68:$C$69</definedName>
    <definedName name="RangeYear8">Helper!$B$70:$C$71</definedName>
    <definedName name="RangeYear9">Helper!$B$72:$C$73</definedName>
    <definedName name="Real_Name">Helper!$C$30:$X$53</definedName>
    <definedName name="Seconds_in_a_day">Helper!$B$22</definedName>
    <definedName name="Seconds_in_a_Month__30d">Helper!$B$24</definedName>
    <definedName name="Seconds_in_a_week">Helper!$B$23</definedName>
    <definedName name="Seconds_in_a_Year">Helper!$B$25</definedName>
    <definedName name="Seconds_in_an_hour">Helper!$B$21</definedName>
    <definedName name="Started_On">Helper!$B$3</definedName>
    <definedName name="Total">Helper!$D$30:$D$53</definedName>
    <definedName name="Total_Days">Helper!$B$9</definedName>
    <definedName name="Total_for_Y1">Helper!$E$30:$E$53</definedName>
    <definedName name="Total_for_Y10">Helper!$N$30:$N$53</definedName>
    <definedName name="Total_for_Y11">Helper!$O$30:$O$53</definedName>
    <definedName name="Total_for_Y12">Helper!$P$30:$P$53</definedName>
    <definedName name="Total_for_Y13">Helper!$Q$30:$Q$53</definedName>
    <definedName name="Total_for_Y14">Helper!$R$30:$R$53</definedName>
    <definedName name="Total_for_Y15">Helper!$S$30:$S$53</definedName>
    <definedName name="Total_for_Y16">Helper!$T$30:$T$53</definedName>
    <definedName name="Total_for_Y17">Helper!$U$30:$U$53</definedName>
    <definedName name="Total_for_Y18">Helper!$V$30:$V$53</definedName>
    <definedName name="Total_for_Y19">Helper!$W$30:$W$53</definedName>
    <definedName name="Total_for_Y2">Helper!$F$30:$F$53</definedName>
    <definedName name="Total_for_Y20">Helper!$X$30:$X$53</definedName>
    <definedName name="Total_for_Y3">Helper!$G$30:$G$53</definedName>
    <definedName name="Total_for_Y4">Helper!$H$30:$H$53</definedName>
    <definedName name="Total_for_Y5">Helper!$I$30:$I$53</definedName>
    <definedName name="Total_for_Y6">Helper!$J$30:$J$53</definedName>
    <definedName name="Total_for_Y7">Helper!$K$30:$K$53</definedName>
    <definedName name="Total_for_Y8">Helper!$L$30:$L$53</definedName>
    <definedName name="Total_for_Y9">Helper!$M$30:$M$53</definedName>
    <definedName name="Total_Hours">Helper!$B$8</definedName>
    <definedName name="Total_Minutes">Helper!$B$7</definedName>
    <definedName name="Total_Months__30d">Helper!$B$11</definedName>
    <definedName name="Total_Seconds">Helper!$B$6</definedName>
    <definedName name="Total_Weeks">Helper!$B$10</definedName>
    <definedName name="Total_Years">Helper!$B$12</definedName>
  </definedNames>
  <calcPr calcId="145621"/>
</workbook>
</file>

<file path=xl/calcChain.xml><?xml version="1.0" encoding="utf-8"?>
<calcChain xmlns="http://schemas.openxmlformats.org/spreadsheetml/2006/main">
  <c r="A3" i="3" l="1"/>
  <c r="B3" i="2" l="1"/>
  <c r="C30" i="2" l="1"/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A4" i="3"/>
  <c r="A5" i="3" s="1"/>
  <c r="A6" i="3" s="1"/>
  <c r="A7" i="3" s="1"/>
  <c r="A8" i="3" s="1"/>
  <c r="B83" i="2" l="1"/>
  <c r="B61" i="2"/>
  <c r="B69" i="2"/>
  <c r="B77" i="2"/>
  <c r="B85" i="2"/>
  <c r="B93" i="2"/>
  <c r="C69" i="2"/>
  <c r="C77" i="2"/>
  <c r="C85" i="2"/>
  <c r="C93" i="2"/>
  <c r="B63" i="2"/>
  <c r="B71" i="2"/>
  <c r="B79" i="2"/>
  <c r="B87" i="2"/>
  <c r="C63" i="2"/>
  <c r="C79" i="2"/>
  <c r="C95" i="2"/>
  <c r="C61" i="2"/>
  <c r="C59" i="2"/>
  <c r="C67" i="2"/>
  <c r="C75" i="2"/>
  <c r="C83" i="2"/>
  <c r="C91" i="2"/>
  <c r="B65" i="2"/>
  <c r="B73" i="2"/>
  <c r="B81" i="2"/>
  <c r="B89" i="2"/>
  <c r="C57" i="2"/>
  <c r="C65" i="2"/>
  <c r="C73" i="2"/>
  <c r="C81" i="2"/>
  <c r="C89" i="2"/>
  <c r="B57" i="2"/>
  <c r="B59" i="2"/>
  <c r="B67" i="2"/>
  <c r="B75" i="2"/>
  <c r="B91" i="2"/>
  <c r="B95" i="2"/>
  <c r="C71" i="2"/>
  <c r="C87" i="2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B28" i="2" l="1"/>
  <c r="D30" i="2" s="1"/>
  <c r="D39" i="2"/>
  <c r="G17" i="1" s="1"/>
  <c r="O17" i="1" s="1"/>
  <c r="O19" i="1" s="1"/>
  <c r="D42" i="2"/>
  <c r="J17" i="1" s="1"/>
  <c r="R17" i="1" s="1"/>
  <c r="R19" i="1" s="1"/>
  <c r="D32" i="2"/>
  <c r="D53" i="2"/>
  <c r="D40" i="2"/>
  <c r="H17" i="1" s="1"/>
  <c r="P17" i="1" s="1"/>
  <c r="P19" i="1" s="1"/>
  <c r="AR41" i="2"/>
  <c r="AR43" i="2"/>
  <c r="AR45" i="2"/>
  <c r="AR47" i="2"/>
  <c r="AR31" i="2"/>
  <c r="AR36" i="2"/>
  <c r="AR44" i="2"/>
  <c r="AR50" i="2"/>
  <c r="AR52" i="2"/>
  <c r="AR32" i="2"/>
  <c r="AR49" i="2"/>
  <c r="AR51" i="2"/>
  <c r="AR53" i="2"/>
  <c r="AR46" i="2"/>
  <c r="AR40" i="2"/>
  <c r="AR42" i="2"/>
  <c r="AR33" i="2"/>
  <c r="AR37" i="2"/>
  <c r="AR39" i="2"/>
  <c r="AR30" i="2"/>
  <c r="AR35" i="2"/>
  <c r="AR48" i="2"/>
  <c r="AR34" i="2"/>
  <c r="AR38" i="2"/>
  <c r="AN40" i="2"/>
  <c r="AN42" i="2"/>
  <c r="AN44" i="2"/>
  <c r="AN46" i="2"/>
  <c r="AN48" i="2"/>
  <c r="AN32" i="2"/>
  <c r="AN38" i="2"/>
  <c r="AN41" i="2"/>
  <c r="AN49" i="2"/>
  <c r="AN51" i="2"/>
  <c r="AN53" i="2"/>
  <c r="AN33" i="2"/>
  <c r="AN39" i="2"/>
  <c r="AN45" i="2"/>
  <c r="AN50" i="2"/>
  <c r="AN52" i="2"/>
  <c r="AN47" i="2"/>
  <c r="AN35" i="2"/>
  <c r="AN36" i="2"/>
  <c r="AN43" i="2"/>
  <c r="AN34" i="2"/>
  <c r="AN31" i="2"/>
  <c r="AN30" i="2"/>
  <c r="AN37" i="2"/>
  <c r="AQ31" i="2"/>
  <c r="AQ33" i="2"/>
  <c r="AQ35" i="2"/>
  <c r="AQ37" i="2"/>
  <c r="AQ39" i="2"/>
  <c r="AQ36" i="2"/>
  <c r="AQ34" i="2"/>
  <c r="AQ32" i="2"/>
  <c r="AQ46" i="2"/>
  <c r="AQ47" i="2"/>
  <c r="AQ48" i="2"/>
  <c r="AQ38" i="2"/>
  <c r="AQ41" i="2"/>
  <c r="AQ45" i="2"/>
  <c r="AQ40" i="2"/>
  <c r="AQ42" i="2"/>
  <c r="AQ43" i="2"/>
  <c r="AQ44" i="2"/>
  <c r="AQ51" i="2"/>
  <c r="AQ53" i="2"/>
  <c r="AQ49" i="2"/>
  <c r="AQ30" i="2"/>
  <c r="AQ50" i="2"/>
  <c r="AQ52" i="2"/>
  <c r="AG31" i="2"/>
  <c r="AG33" i="2"/>
  <c r="AG35" i="2"/>
  <c r="AG37" i="2"/>
  <c r="AG39" i="2"/>
  <c r="AG36" i="2"/>
  <c r="AG34" i="2"/>
  <c r="AG32" i="2"/>
  <c r="AG40" i="2"/>
  <c r="AG42" i="2"/>
  <c r="AG47" i="2"/>
  <c r="AG30" i="2"/>
  <c r="AG46" i="2"/>
  <c r="AG41" i="2"/>
  <c r="AG38" i="2"/>
  <c r="AG49" i="2"/>
  <c r="AG51" i="2"/>
  <c r="AG53" i="2"/>
  <c r="AG48" i="2"/>
  <c r="AG52" i="2"/>
  <c r="AG43" i="2"/>
  <c r="AG44" i="2"/>
  <c r="AG45" i="2"/>
  <c r="AG50" i="2"/>
  <c r="AP35" i="2"/>
  <c r="AP41" i="2"/>
  <c r="AP43" i="2"/>
  <c r="AP45" i="2"/>
  <c r="AP33" i="2"/>
  <c r="AP31" i="2"/>
  <c r="AP39" i="2"/>
  <c r="AP40" i="2"/>
  <c r="AP42" i="2"/>
  <c r="AP44" i="2"/>
  <c r="AP46" i="2"/>
  <c r="AP37" i="2"/>
  <c r="AP49" i="2"/>
  <c r="AP51" i="2"/>
  <c r="AP53" i="2"/>
  <c r="AP34" i="2"/>
  <c r="AP36" i="2"/>
  <c r="AP47" i="2"/>
  <c r="AP32" i="2"/>
  <c r="AP48" i="2"/>
  <c r="AP50" i="2"/>
  <c r="AP38" i="2"/>
  <c r="AP52" i="2"/>
  <c r="AP30" i="2"/>
  <c r="AJ41" i="2"/>
  <c r="AJ43" i="2"/>
  <c r="AJ45" i="2"/>
  <c r="AJ47" i="2"/>
  <c r="AJ39" i="2"/>
  <c r="AJ50" i="2"/>
  <c r="AJ52" i="2"/>
  <c r="AJ35" i="2"/>
  <c r="AJ40" i="2"/>
  <c r="AJ42" i="2"/>
  <c r="AJ48" i="2"/>
  <c r="AJ36" i="2"/>
  <c r="AJ46" i="2"/>
  <c r="AJ49" i="2"/>
  <c r="AJ51" i="2"/>
  <c r="AJ53" i="2"/>
  <c r="AJ32" i="2"/>
  <c r="AJ31" i="2"/>
  <c r="AJ34" i="2"/>
  <c r="AJ38" i="2"/>
  <c r="AJ37" i="2"/>
  <c r="AJ33" i="2"/>
  <c r="AJ44" i="2"/>
  <c r="AJ30" i="2"/>
  <c r="AM32" i="2"/>
  <c r="AM34" i="2"/>
  <c r="AM36" i="2"/>
  <c r="AM38" i="2"/>
  <c r="AM33" i="2"/>
  <c r="AM31" i="2"/>
  <c r="AM39" i="2"/>
  <c r="AM37" i="2"/>
  <c r="AM43" i="2"/>
  <c r="AM30" i="2"/>
  <c r="AM35" i="2"/>
  <c r="AM42" i="2"/>
  <c r="AM47" i="2"/>
  <c r="AM48" i="2"/>
  <c r="AM50" i="2"/>
  <c r="AM44" i="2"/>
  <c r="AM51" i="2"/>
  <c r="AM41" i="2"/>
  <c r="AM53" i="2"/>
  <c r="AM52" i="2"/>
  <c r="AM45" i="2"/>
  <c r="AM40" i="2"/>
  <c r="AM49" i="2"/>
  <c r="AM46" i="2"/>
  <c r="AH37" i="2"/>
  <c r="AH41" i="2"/>
  <c r="AH43" i="2"/>
  <c r="AH45" i="2"/>
  <c r="AH35" i="2"/>
  <c r="AH33" i="2"/>
  <c r="AH42" i="2"/>
  <c r="AH44" i="2"/>
  <c r="AH46" i="2"/>
  <c r="AH34" i="2"/>
  <c r="AH40" i="2"/>
  <c r="AH48" i="2"/>
  <c r="AH49" i="2"/>
  <c r="AH51" i="2"/>
  <c r="AH53" i="2"/>
  <c r="AH31" i="2"/>
  <c r="AH39" i="2"/>
  <c r="AH30" i="2"/>
  <c r="AH38" i="2"/>
  <c r="AH36" i="2"/>
  <c r="AH50" i="2"/>
  <c r="AH32" i="2"/>
  <c r="AH47" i="2"/>
  <c r="AH52" i="2"/>
  <c r="AF42" i="2"/>
  <c r="AF44" i="2"/>
  <c r="AF46" i="2"/>
  <c r="AF48" i="2"/>
  <c r="AF49" i="2"/>
  <c r="AF51" i="2"/>
  <c r="AF53" i="2"/>
  <c r="AF36" i="2"/>
  <c r="AF31" i="2"/>
  <c r="AF32" i="2"/>
  <c r="AF37" i="2"/>
  <c r="AF38" i="2"/>
  <c r="AF43" i="2"/>
  <c r="AF50" i="2"/>
  <c r="AF52" i="2"/>
  <c r="AF35" i="2"/>
  <c r="AF34" i="2"/>
  <c r="AF30" i="2"/>
  <c r="AF45" i="2"/>
  <c r="AF33" i="2"/>
  <c r="AF41" i="2"/>
  <c r="AF47" i="2"/>
  <c r="AF40" i="2"/>
  <c r="AF39" i="2"/>
  <c r="AI31" i="2"/>
  <c r="AI33" i="2"/>
  <c r="AI35" i="2"/>
  <c r="AI37" i="2"/>
  <c r="AI39" i="2"/>
  <c r="AI38" i="2"/>
  <c r="AI36" i="2"/>
  <c r="AI34" i="2"/>
  <c r="AI44" i="2"/>
  <c r="AI47" i="2"/>
  <c r="AI32" i="2"/>
  <c r="AI52" i="2"/>
  <c r="AI30" i="2"/>
  <c r="AI49" i="2"/>
  <c r="AI51" i="2"/>
  <c r="AI46" i="2"/>
  <c r="AI53" i="2"/>
  <c r="AI41" i="2"/>
  <c r="O41" i="2" s="1"/>
  <c r="AI42" i="2"/>
  <c r="AI43" i="2"/>
  <c r="AI45" i="2"/>
  <c r="AI40" i="2"/>
  <c r="AI48" i="2"/>
  <c r="AI50" i="2"/>
  <c r="Y31" i="2"/>
  <c r="E31" i="2" s="1"/>
  <c r="Y33" i="2"/>
  <c r="E33" i="2" s="1"/>
  <c r="Y35" i="2"/>
  <c r="E35" i="2" s="1"/>
  <c r="Y37" i="2"/>
  <c r="E37" i="2" s="1"/>
  <c r="Y39" i="2"/>
  <c r="E39" i="2" s="1"/>
  <c r="Y38" i="2"/>
  <c r="E38" i="2" s="1"/>
  <c r="Y36" i="2"/>
  <c r="E36" i="2" s="1"/>
  <c r="Y34" i="2"/>
  <c r="E34" i="2" s="1"/>
  <c r="Y43" i="2"/>
  <c r="E43" i="2" s="1"/>
  <c r="Y30" i="2"/>
  <c r="E30" i="2" s="1"/>
  <c r="Y47" i="2"/>
  <c r="E47" i="2" s="1"/>
  <c r="Y49" i="2"/>
  <c r="E49" i="2" s="1"/>
  <c r="Y40" i="2"/>
  <c r="E40" i="2" s="1"/>
  <c r="Y44" i="2"/>
  <c r="E44" i="2" s="1"/>
  <c r="Y46" i="2"/>
  <c r="E46" i="2" s="1"/>
  <c r="Y50" i="2"/>
  <c r="E50" i="2" s="1"/>
  <c r="Y42" i="2"/>
  <c r="E42" i="2" s="1"/>
  <c r="Y45" i="2"/>
  <c r="E45" i="2" s="1"/>
  <c r="Y52" i="2"/>
  <c r="E52" i="2" s="1"/>
  <c r="Y41" i="2"/>
  <c r="E41" i="2" s="1"/>
  <c r="Y48" i="2"/>
  <c r="E48" i="2" s="1"/>
  <c r="Y32" i="2"/>
  <c r="E32" i="2" s="1"/>
  <c r="Y51" i="2"/>
  <c r="E51" i="2" s="1"/>
  <c r="Y53" i="2"/>
  <c r="E53" i="2" s="1"/>
  <c r="AL32" i="2"/>
  <c r="AL40" i="2"/>
  <c r="AL42" i="2"/>
  <c r="AL44" i="2"/>
  <c r="AL46" i="2"/>
  <c r="AL38" i="2"/>
  <c r="AL36" i="2"/>
  <c r="AL41" i="2"/>
  <c r="AL43" i="2"/>
  <c r="AL45" i="2"/>
  <c r="AL47" i="2"/>
  <c r="AL34" i="2"/>
  <c r="AL50" i="2"/>
  <c r="AL52" i="2"/>
  <c r="AL48" i="2"/>
  <c r="AL35" i="2"/>
  <c r="AL39" i="2"/>
  <c r="AL53" i="2"/>
  <c r="AL30" i="2"/>
  <c r="AL31" i="2"/>
  <c r="AL49" i="2"/>
  <c r="AL37" i="2"/>
  <c r="AL51" i="2"/>
  <c r="AL33" i="2"/>
  <c r="AC32" i="2"/>
  <c r="AC34" i="2"/>
  <c r="AC36" i="2"/>
  <c r="AC38" i="2"/>
  <c r="AC40" i="2"/>
  <c r="AC33" i="2"/>
  <c r="AC31" i="2"/>
  <c r="AC39" i="2"/>
  <c r="AC37" i="2"/>
  <c r="AC46" i="2"/>
  <c r="AC43" i="2"/>
  <c r="AC48" i="2"/>
  <c r="AC30" i="2"/>
  <c r="AC53" i="2"/>
  <c r="AC45" i="2"/>
  <c r="AC47" i="2"/>
  <c r="AC41" i="2"/>
  <c r="AC42" i="2"/>
  <c r="AC44" i="2"/>
  <c r="AC50" i="2"/>
  <c r="AC51" i="2"/>
  <c r="AC52" i="2"/>
  <c r="AC49" i="2"/>
  <c r="AC35" i="2"/>
  <c r="AD34" i="2"/>
  <c r="AD42" i="2"/>
  <c r="J42" i="2" s="1"/>
  <c r="AD44" i="2"/>
  <c r="J44" i="2" s="1"/>
  <c r="AD46" i="2"/>
  <c r="AD32" i="2"/>
  <c r="AD40" i="2"/>
  <c r="AD38" i="2"/>
  <c r="AD41" i="2"/>
  <c r="AD43" i="2"/>
  <c r="AD45" i="2"/>
  <c r="AD47" i="2"/>
  <c r="AD35" i="2"/>
  <c r="AD31" i="2"/>
  <c r="AD37" i="2"/>
  <c r="AD50" i="2"/>
  <c r="AD52" i="2"/>
  <c r="AD51" i="2"/>
  <c r="AD53" i="2"/>
  <c r="AD33" i="2"/>
  <c r="AD30" i="2"/>
  <c r="AD39" i="2"/>
  <c r="AD49" i="2"/>
  <c r="AD48" i="2"/>
  <c r="AD36" i="2"/>
  <c r="AO31" i="2"/>
  <c r="AO33" i="2"/>
  <c r="AO35" i="2"/>
  <c r="U35" i="2" s="1"/>
  <c r="AO37" i="2"/>
  <c r="AO39" i="2"/>
  <c r="U39" i="2" s="1"/>
  <c r="AO34" i="2"/>
  <c r="AO32" i="2"/>
  <c r="AO38" i="2"/>
  <c r="AO30" i="2"/>
  <c r="AO43" i="2"/>
  <c r="AO40" i="2"/>
  <c r="AO36" i="2"/>
  <c r="AO41" i="2"/>
  <c r="AO47" i="2"/>
  <c r="AO53" i="2"/>
  <c r="AO49" i="2"/>
  <c r="AO44" i="2"/>
  <c r="AO51" i="2"/>
  <c r="U51" i="2" s="1"/>
  <c r="AO48" i="2"/>
  <c r="AO50" i="2"/>
  <c r="AO52" i="2"/>
  <c r="AO46" i="2"/>
  <c r="AO42" i="2"/>
  <c r="AO45" i="2"/>
  <c r="AB41" i="2"/>
  <c r="AB43" i="2"/>
  <c r="AB45" i="2"/>
  <c r="AB47" i="2"/>
  <c r="AB49" i="2"/>
  <c r="AB36" i="2"/>
  <c r="AB50" i="2"/>
  <c r="AB52" i="2"/>
  <c r="AB31" i="2"/>
  <c r="AB32" i="2"/>
  <c r="AB33" i="2"/>
  <c r="AB39" i="2"/>
  <c r="AB51" i="2"/>
  <c r="AB53" i="2"/>
  <c r="AB38" i="2"/>
  <c r="AB34" i="2"/>
  <c r="AB35" i="2"/>
  <c r="AB37" i="2"/>
  <c r="AB42" i="2"/>
  <c r="AB44" i="2"/>
  <c r="AB46" i="2"/>
  <c r="AB48" i="2"/>
  <c r="AB40" i="2"/>
  <c r="AB30" i="2"/>
  <c r="AE32" i="2"/>
  <c r="AE34" i="2"/>
  <c r="AE36" i="2"/>
  <c r="AE38" i="2"/>
  <c r="AE40" i="2"/>
  <c r="AE35" i="2"/>
  <c r="AE33" i="2"/>
  <c r="AE31" i="2"/>
  <c r="AE39" i="2"/>
  <c r="AE44" i="2"/>
  <c r="AE41" i="2"/>
  <c r="AE30" i="2"/>
  <c r="K30" i="2" s="1"/>
  <c r="AE45" i="2"/>
  <c r="AE49" i="2"/>
  <c r="K49" i="2" s="1"/>
  <c r="AE51" i="2"/>
  <c r="AE53" i="2"/>
  <c r="AE37" i="2"/>
  <c r="AE43" i="2"/>
  <c r="AE46" i="2"/>
  <c r="AE47" i="2"/>
  <c r="AE42" i="2"/>
  <c r="AE50" i="2"/>
  <c r="AE48" i="2"/>
  <c r="K48" i="2" s="1"/>
  <c r="AE52" i="2"/>
  <c r="K52" i="2" s="1"/>
  <c r="Z31" i="2"/>
  <c r="F31" i="2" s="1"/>
  <c r="Z39" i="2"/>
  <c r="Z41" i="2"/>
  <c r="Z43" i="2"/>
  <c r="Z45" i="2"/>
  <c r="Z37" i="2"/>
  <c r="Z35" i="2"/>
  <c r="Z42" i="2"/>
  <c r="Z44" i="2"/>
  <c r="Z46" i="2"/>
  <c r="Z48" i="2"/>
  <c r="Z32" i="2"/>
  <c r="Z38" i="2"/>
  <c r="Z51" i="2"/>
  <c r="Z53" i="2"/>
  <c r="Z33" i="2"/>
  <c r="Z34" i="2"/>
  <c r="Z47" i="2"/>
  <c r="Z50" i="2"/>
  <c r="Z52" i="2"/>
  <c r="Z40" i="2"/>
  <c r="F40" i="2" s="1"/>
  <c r="Z36" i="2"/>
  <c r="Z49" i="2"/>
  <c r="Z30" i="2"/>
  <c r="AK32" i="2"/>
  <c r="Q32" i="2" s="1"/>
  <c r="AK34" i="2"/>
  <c r="AK36" i="2"/>
  <c r="AK38" i="2"/>
  <c r="Q38" i="2" s="1"/>
  <c r="AK40" i="2"/>
  <c r="AK31" i="2"/>
  <c r="AK39" i="2"/>
  <c r="AK37" i="2"/>
  <c r="AK35" i="2"/>
  <c r="AK33" i="2"/>
  <c r="AK45" i="2"/>
  <c r="Q45" i="2" s="1"/>
  <c r="AK44" i="2"/>
  <c r="AK30" i="2"/>
  <c r="AK48" i="2"/>
  <c r="AK50" i="2"/>
  <c r="AK52" i="2"/>
  <c r="AK41" i="2"/>
  <c r="Q41" i="2" s="1"/>
  <c r="AK47" i="2"/>
  <c r="AK49" i="2"/>
  <c r="AK42" i="2"/>
  <c r="AK51" i="2"/>
  <c r="AK46" i="2"/>
  <c r="AK53" i="2"/>
  <c r="AK43" i="2"/>
  <c r="AA31" i="2"/>
  <c r="G31" i="2" s="1"/>
  <c r="AA33" i="2"/>
  <c r="AA35" i="2"/>
  <c r="AA37" i="2"/>
  <c r="AA39" i="2"/>
  <c r="AA32" i="2"/>
  <c r="AA40" i="2"/>
  <c r="AA38" i="2"/>
  <c r="AA36" i="2"/>
  <c r="AA41" i="2"/>
  <c r="AA45" i="2"/>
  <c r="AA48" i="2"/>
  <c r="AA42" i="2"/>
  <c r="AA47" i="2"/>
  <c r="AA49" i="2"/>
  <c r="G49" i="2" s="1"/>
  <c r="AA34" i="2"/>
  <c r="AA44" i="2"/>
  <c r="G44" i="2" s="1"/>
  <c r="AA46" i="2"/>
  <c r="G46" i="2" s="1"/>
  <c r="AA43" i="2"/>
  <c r="AA50" i="2"/>
  <c r="AA52" i="2"/>
  <c r="AA53" i="2"/>
  <c r="AA30" i="2"/>
  <c r="AA51" i="2"/>
  <c r="B4" i="2"/>
  <c r="B6" i="2" s="1"/>
  <c r="B7" i="2" s="1"/>
  <c r="B8" i="2" s="1"/>
  <c r="B9" i="2" s="1"/>
  <c r="B25" i="2"/>
  <c r="B24" i="2"/>
  <c r="B23" i="2"/>
  <c r="B22" i="2"/>
  <c r="B21" i="2"/>
  <c r="D35" i="2" l="1"/>
  <c r="K7" i="1" s="1"/>
  <c r="S7" i="1" s="1"/>
  <c r="D52" i="2"/>
  <c r="D45" i="2"/>
  <c r="M17" i="1" s="1"/>
  <c r="U17" i="1" s="1"/>
  <c r="U19" i="1" s="1"/>
  <c r="D50" i="2"/>
  <c r="Q50" i="2"/>
  <c r="U32" i="2"/>
  <c r="O51" i="2"/>
  <c r="D38" i="2"/>
  <c r="F17" i="1" s="1"/>
  <c r="N17" i="1" s="1"/>
  <c r="N19" i="1" s="1"/>
  <c r="D46" i="2"/>
  <c r="D41" i="2"/>
  <c r="I17" i="1" s="1"/>
  <c r="Q17" i="1" s="1"/>
  <c r="Q19" i="1" s="1"/>
  <c r="G39" i="2"/>
  <c r="F45" i="2"/>
  <c r="K42" i="2"/>
  <c r="F38" i="2"/>
  <c r="G37" i="2"/>
  <c r="Q44" i="2"/>
  <c r="F32" i="2"/>
  <c r="K38" i="2"/>
  <c r="U50" i="2"/>
  <c r="N36" i="2"/>
  <c r="N45" i="2"/>
  <c r="D37" i="2"/>
  <c r="M9" i="1" s="1"/>
  <c r="U9" i="1" s="1"/>
  <c r="D34" i="2"/>
  <c r="J8" i="1" s="1"/>
  <c r="R8" i="1" s="1"/>
  <c r="K40" i="2"/>
  <c r="Q49" i="2"/>
  <c r="J33" i="2"/>
  <c r="O32" i="2"/>
  <c r="Q33" i="2"/>
  <c r="J53" i="2"/>
  <c r="O33" i="2"/>
  <c r="N41" i="2"/>
  <c r="D36" i="2"/>
  <c r="L9" i="1" s="1"/>
  <c r="T9" i="1" s="1"/>
  <c r="D49" i="2"/>
  <c r="G36" i="2"/>
  <c r="F44" i="2"/>
  <c r="K37" i="2"/>
  <c r="U30" i="2"/>
  <c r="U31" i="2"/>
  <c r="O53" i="2"/>
  <c r="G51" i="2"/>
  <c r="Q52" i="2"/>
  <c r="H30" i="2"/>
  <c r="U45" i="2"/>
  <c r="U38" i="2"/>
  <c r="J52" i="2"/>
  <c r="N44" i="2"/>
  <c r="B12" i="2"/>
  <c r="J34" i="2"/>
  <c r="O34" i="2"/>
  <c r="L35" i="2"/>
  <c r="S37" i="2"/>
  <c r="V34" i="2"/>
  <c r="M50" i="2"/>
  <c r="M32" i="2"/>
  <c r="W52" i="2"/>
  <c r="T41" i="2"/>
  <c r="X50" i="2"/>
  <c r="D44" i="2"/>
  <c r="L17" i="1" s="1"/>
  <c r="T17" i="1" s="1"/>
  <c r="T19" i="1" s="1"/>
  <c r="Q43" i="2"/>
  <c r="F30" i="2"/>
  <c r="K53" i="2"/>
  <c r="U42" i="2"/>
  <c r="N53" i="2"/>
  <c r="N42" i="2"/>
  <c r="D43" i="2"/>
  <c r="K17" i="1" s="1"/>
  <c r="S17" i="1" s="1"/>
  <c r="S19" i="1" s="1"/>
  <c r="D31" i="2"/>
  <c r="G6" i="1" s="1"/>
  <c r="O6" i="1" s="1"/>
  <c r="F33" i="2"/>
  <c r="R33" i="2"/>
  <c r="G47" i="2"/>
  <c r="Q31" i="2"/>
  <c r="N33" i="2"/>
  <c r="K45" i="2"/>
  <c r="O30" i="2"/>
  <c r="N35" i="2"/>
  <c r="G50" i="2"/>
  <c r="G48" i="2"/>
  <c r="Q42" i="2"/>
  <c r="F52" i="2"/>
  <c r="K47" i="2"/>
  <c r="H47" i="2"/>
  <c r="U36" i="2"/>
  <c r="J46" i="2"/>
  <c r="I48" i="2"/>
  <c r="R31" i="2"/>
  <c r="R34" i="2"/>
  <c r="O43" i="2"/>
  <c r="N48" i="2"/>
  <c r="S52" i="2"/>
  <c r="S42" i="2"/>
  <c r="S38" i="2"/>
  <c r="P38" i="2"/>
  <c r="P47" i="2"/>
  <c r="V48" i="2"/>
  <c r="M30" i="2"/>
  <c r="M37" i="2"/>
  <c r="W38" i="2"/>
  <c r="X30" i="2"/>
  <c r="X51" i="2"/>
  <c r="X47" i="2"/>
  <c r="D47" i="2"/>
  <c r="D48" i="2"/>
  <c r="D51" i="2"/>
  <c r="D33" i="2"/>
  <c r="I7" i="1" s="1"/>
  <c r="Q7" i="1" s="1"/>
  <c r="W32" i="2"/>
  <c r="J30" i="2"/>
  <c r="G45" i="2"/>
  <c r="G41" i="2"/>
  <c r="Q34" i="2"/>
  <c r="F47" i="2"/>
  <c r="F39" i="2"/>
  <c r="K44" i="2"/>
  <c r="H39" i="2"/>
  <c r="U48" i="2"/>
  <c r="O35" i="2"/>
  <c r="N43" i="2"/>
  <c r="Q35" i="2"/>
  <c r="F34" i="2"/>
  <c r="K39" i="2"/>
  <c r="K32" i="2"/>
  <c r="H35" i="2"/>
  <c r="H41" i="2"/>
  <c r="U44" i="2"/>
  <c r="J51" i="2"/>
  <c r="J43" i="2"/>
  <c r="I37" i="2"/>
  <c r="I32" i="2"/>
  <c r="R39" i="2"/>
  <c r="R43" i="2"/>
  <c r="O44" i="2"/>
  <c r="O31" i="2"/>
  <c r="L34" i="2"/>
  <c r="L31" i="2"/>
  <c r="L42" i="2"/>
  <c r="N39" i="2"/>
  <c r="N46" i="2"/>
  <c r="N37" i="2"/>
  <c r="S51" i="2"/>
  <c r="P32" i="2"/>
  <c r="P40" i="2"/>
  <c r="P41" i="2"/>
  <c r="V36" i="2"/>
  <c r="V42" i="2"/>
  <c r="V35" i="2"/>
  <c r="M51" i="2"/>
  <c r="M40" i="2"/>
  <c r="W43" i="2"/>
  <c r="W46" i="2"/>
  <c r="W31" i="2"/>
  <c r="T47" i="2"/>
  <c r="T49" i="2"/>
  <c r="T40" i="2"/>
  <c r="X33" i="2"/>
  <c r="X52" i="2"/>
  <c r="X41" i="2"/>
  <c r="H52" i="2"/>
  <c r="J36" i="2"/>
  <c r="I47" i="2"/>
  <c r="O50" i="2"/>
  <c r="N52" i="2"/>
  <c r="S44" i="2"/>
  <c r="P30" i="2"/>
  <c r="P35" i="2"/>
  <c r="V40" i="2"/>
  <c r="M49" i="2"/>
  <c r="Q39" i="2"/>
  <c r="F49" i="2"/>
  <c r="F35" i="2"/>
  <c r="K33" i="2"/>
  <c r="U53" i="2"/>
  <c r="J48" i="2"/>
  <c r="J50" i="2"/>
  <c r="J38" i="2"/>
  <c r="I49" i="2"/>
  <c r="I45" i="2"/>
  <c r="R51" i="2"/>
  <c r="R48" i="2"/>
  <c r="R36" i="2"/>
  <c r="O48" i="2"/>
  <c r="O36" i="2"/>
  <c r="L40" i="2"/>
  <c r="N47" i="2"/>
  <c r="S49" i="2"/>
  <c r="S50" i="2"/>
  <c r="V52" i="2"/>
  <c r="V39" i="2"/>
  <c r="M45" i="2"/>
  <c r="W50" i="2"/>
  <c r="T30" i="2"/>
  <c r="X44" i="2"/>
  <c r="T33" i="2"/>
  <c r="F48" i="2"/>
  <c r="G38" i="2"/>
  <c r="Q37" i="2"/>
  <c r="K31" i="2"/>
  <c r="I39" i="2"/>
  <c r="L36" i="2"/>
  <c r="S46" i="2"/>
  <c r="T52" i="2"/>
  <c r="X38" i="2"/>
  <c r="G40" i="2"/>
  <c r="Q46" i="2"/>
  <c r="Q48" i="2"/>
  <c r="U34" i="2"/>
  <c r="J40" i="2"/>
  <c r="O40" i="2"/>
  <c r="O49" i="2"/>
  <c r="O38" i="2"/>
  <c r="R32" i="2"/>
  <c r="G34" i="2"/>
  <c r="H34" i="2"/>
  <c r="O46" i="2"/>
  <c r="T37" i="2"/>
  <c r="X42" i="2"/>
  <c r="G30" i="2"/>
  <c r="K51" i="2"/>
  <c r="H40" i="2"/>
  <c r="H50" i="2"/>
  <c r="L53" i="2"/>
  <c r="S39" i="2"/>
  <c r="P51" i="2"/>
  <c r="M38" i="2"/>
  <c r="W34" i="2"/>
  <c r="T50" i="2"/>
  <c r="X34" i="2"/>
  <c r="G53" i="2"/>
  <c r="G32" i="2"/>
  <c r="F36" i="2"/>
  <c r="F51" i="2"/>
  <c r="F37" i="2"/>
  <c r="K50" i="2"/>
  <c r="K35" i="2"/>
  <c r="H48" i="2"/>
  <c r="H53" i="2"/>
  <c r="H36" i="2"/>
  <c r="U46" i="2"/>
  <c r="U47" i="2"/>
  <c r="J49" i="2"/>
  <c r="J37" i="2"/>
  <c r="I52" i="2"/>
  <c r="I53" i="2"/>
  <c r="I33" i="2"/>
  <c r="R37" i="2"/>
  <c r="R52" i="2"/>
  <c r="R38" i="2"/>
  <c r="L47" i="2"/>
  <c r="L50" i="2"/>
  <c r="L51" i="2"/>
  <c r="N32" i="2"/>
  <c r="N51" i="2"/>
  <c r="S40" i="2"/>
  <c r="S48" i="2"/>
  <c r="S31" i="2"/>
  <c r="P33" i="2"/>
  <c r="P49" i="2"/>
  <c r="P50" i="2"/>
  <c r="V38" i="2"/>
  <c r="V51" i="2"/>
  <c r="V31" i="2"/>
  <c r="M44" i="2"/>
  <c r="M41" i="2"/>
  <c r="M36" i="2"/>
  <c r="W30" i="2"/>
  <c r="W45" i="2"/>
  <c r="W36" i="2"/>
  <c r="T31" i="2"/>
  <c r="T45" i="2"/>
  <c r="T32" i="2"/>
  <c r="X48" i="2"/>
  <c r="X46" i="2"/>
  <c r="X36" i="2"/>
  <c r="I41" i="2"/>
  <c r="S32" i="2"/>
  <c r="W42" i="2"/>
  <c r="Q53" i="2"/>
  <c r="F53" i="2"/>
  <c r="H38" i="2"/>
  <c r="I31" i="2"/>
  <c r="L52" i="2"/>
  <c r="P44" i="2"/>
  <c r="P52" i="2"/>
  <c r="V53" i="2"/>
  <c r="M34" i="2"/>
  <c r="W40" i="2"/>
  <c r="T38" i="2"/>
  <c r="X40" i="2"/>
  <c r="G52" i="2"/>
  <c r="G42" i="2"/>
  <c r="Q51" i="2"/>
  <c r="Q30" i="2"/>
  <c r="Q40" i="2"/>
  <c r="H46" i="2"/>
  <c r="H51" i="2"/>
  <c r="H49" i="2"/>
  <c r="U52" i="2"/>
  <c r="U41" i="2"/>
  <c r="J39" i="2"/>
  <c r="J31" i="2"/>
  <c r="J32" i="2"/>
  <c r="I51" i="2"/>
  <c r="I30" i="2"/>
  <c r="I40" i="2"/>
  <c r="R49" i="2"/>
  <c r="R50" i="2"/>
  <c r="R46" i="2"/>
  <c r="O45" i="2"/>
  <c r="O39" i="2"/>
  <c r="L41" i="2"/>
  <c r="L43" i="2"/>
  <c r="L49" i="2"/>
  <c r="N50" i="2"/>
  <c r="N49" i="2"/>
  <c r="S45" i="2"/>
  <c r="S47" i="2"/>
  <c r="S33" i="2"/>
  <c r="P37" i="2"/>
  <c r="P46" i="2"/>
  <c r="P39" i="2"/>
  <c r="V50" i="2"/>
  <c r="V49" i="2"/>
  <c r="V33" i="2"/>
  <c r="M43" i="2"/>
  <c r="M46" i="2"/>
  <c r="M39" i="2"/>
  <c r="W49" i="2"/>
  <c r="W41" i="2"/>
  <c r="W39" i="2"/>
  <c r="T34" i="2"/>
  <c r="T39" i="2"/>
  <c r="T48" i="2"/>
  <c r="X35" i="2"/>
  <c r="X53" i="2"/>
  <c r="X31" i="2"/>
  <c r="S43" i="2"/>
  <c r="F42" i="2"/>
  <c r="U49" i="2"/>
  <c r="J41" i="2"/>
  <c r="R41" i="2"/>
  <c r="P53" i="2"/>
  <c r="F43" i="2"/>
  <c r="H44" i="2"/>
  <c r="U37" i="2"/>
  <c r="J35" i="2"/>
  <c r="I50" i="2"/>
  <c r="I38" i="2"/>
  <c r="R44" i="2"/>
  <c r="O37" i="2"/>
  <c r="L38" i="2"/>
  <c r="V37" i="2"/>
  <c r="M52" i="2"/>
  <c r="W53" i="2"/>
  <c r="W37" i="2"/>
  <c r="G43" i="2"/>
  <c r="G35" i="2"/>
  <c r="Q36" i="2"/>
  <c r="F50" i="2"/>
  <c r="F41" i="2"/>
  <c r="K46" i="2"/>
  <c r="K41" i="2"/>
  <c r="K36" i="2"/>
  <c r="H42" i="2"/>
  <c r="H33" i="2"/>
  <c r="H45" i="2"/>
  <c r="U40" i="2"/>
  <c r="J47" i="2"/>
  <c r="I44" i="2"/>
  <c r="I43" i="2"/>
  <c r="I36" i="2"/>
  <c r="R30" i="2"/>
  <c r="R47" i="2"/>
  <c r="R42" i="2"/>
  <c r="O42" i="2"/>
  <c r="L45" i="2"/>
  <c r="L37" i="2"/>
  <c r="L46" i="2"/>
  <c r="N38" i="2"/>
  <c r="N40" i="2"/>
  <c r="S53" i="2"/>
  <c r="S35" i="2"/>
  <c r="S36" i="2"/>
  <c r="P34" i="2"/>
  <c r="P48" i="2"/>
  <c r="P45" i="2"/>
  <c r="V32" i="2"/>
  <c r="V46" i="2"/>
  <c r="V43" i="2"/>
  <c r="M48" i="2"/>
  <c r="M47" i="2"/>
  <c r="M35" i="2"/>
  <c r="W51" i="2"/>
  <c r="W48" i="2"/>
  <c r="W35" i="2"/>
  <c r="T36" i="2"/>
  <c r="T53" i="2"/>
  <c r="T44" i="2"/>
  <c r="X39" i="2"/>
  <c r="X49" i="2"/>
  <c r="X45" i="2"/>
  <c r="H31" i="2"/>
  <c r="M31" i="2"/>
  <c r="I35" i="2"/>
  <c r="R35" i="2"/>
  <c r="L39" i="2"/>
  <c r="N31" i="2"/>
  <c r="V30" i="2"/>
  <c r="O52" i="2"/>
  <c r="L33" i="2"/>
  <c r="L48" i="2"/>
  <c r="P36" i="2"/>
  <c r="V45" i="2"/>
  <c r="T43" i="2"/>
  <c r="T46" i="2"/>
  <c r="G33" i="2"/>
  <c r="Q47" i="2"/>
  <c r="F46" i="2"/>
  <c r="K43" i="2"/>
  <c r="K34" i="2"/>
  <c r="H37" i="2"/>
  <c r="H32" i="2"/>
  <c r="H43" i="2"/>
  <c r="U43" i="2"/>
  <c r="U33" i="2"/>
  <c r="J45" i="2"/>
  <c r="I42" i="2"/>
  <c r="I46" i="2"/>
  <c r="I34" i="2"/>
  <c r="R53" i="2"/>
  <c r="R45" i="2"/>
  <c r="R40" i="2"/>
  <c r="O47" i="2"/>
  <c r="L30" i="2"/>
  <c r="L32" i="2"/>
  <c r="L44" i="2"/>
  <c r="N30" i="2"/>
  <c r="N34" i="2"/>
  <c r="S41" i="2"/>
  <c r="S30" i="2"/>
  <c r="S34" i="2"/>
  <c r="P31" i="2"/>
  <c r="P42" i="2"/>
  <c r="P43" i="2"/>
  <c r="V47" i="2"/>
  <c r="V44" i="2"/>
  <c r="V41" i="2"/>
  <c r="M53" i="2"/>
  <c r="M42" i="2"/>
  <c r="M33" i="2"/>
  <c r="W44" i="2"/>
  <c r="W47" i="2"/>
  <c r="W33" i="2"/>
  <c r="T35" i="2"/>
  <c r="T51" i="2"/>
  <c r="T42" i="2"/>
  <c r="X37" i="2"/>
  <c r="X32" i="2"/>
  <c r="X43" i="2"/>
  <c r="H7" i="1"/>
  <c r="P7" i="1" s="1"/>
  <c r="H8" i="1"/>
  <c r="P8" i="1" s="1"/>
  <c r="H9" i="1"/>
  <c r="P9" i="1" s="1"/>
  <c r="F7" i="1"/>
  <c r="N7" i="1" s="1"/>
  <c r="F8" i="1"/>
  <c r="N8" i="1" s="1"/>
  <c r="F9" i="1"/>
  <c r="N9" i="1" s="1"/>
  <c r="H6" i="1"/>
  <c r="P6" i="1" s="1"/>
  <c r="F6" i="1"/>
  <c r="L7" i="1" l="1"/>
  <c r="T7" i="1" s="1"/>
  <c r="K6" i="1"/>
  <c r="S6" i="1" s="1"/>
  <c r="K9" i="1"/>
  <c r="S9" i="1" s="1"/>
  <c r="K8" i="1"/>
  <c r="S8" i="1" s="1"/>
  <c r="L8" i="1"/>
  <c r="T8" i="1" s="1"/>
  <c r="I9" i="1"/>
  <c r="Q9" i="1" s="1"/>
  <c r="M7" i="1"/>
  <c r="U7" i="1" s="1"/>
  <c r="M6" i="1"/>
  <c r="U6" i="1" s="1"/>
  <c r="J6" i="1"/>
  <c r="R6" i="1" s="1"/>
  <c r="M8" i="1"/>
  <c r="U8" i="1" s="1"/>
  <c r="G9" i="1"/>
  <c r="O9" i="1" s="1"/>
  <c r="G7" i="1"/>
  <c r="O7" i="1" s="1"/>
  <c r="L6" i="1"/>
  <c r="T6" i="1" s="1"/>
  <c r="J9" i="1"/>
  <c r="R9" i="1" s="1"/>
  <c r="C23" i="1"/>
  <c r="U23" i="1" s="1"/>
  <c r="I8" i="1"/>
  <c r="Q8" i="1" s="1"/>
  <c r="J7" i="1"/>
  <c r="R7" i="1" s="1"/>
  <c r="U20" i="1"/>
  <c r="I6" i="1"/>
  <c r="Q6" i="1" s="1"/>
  <c r="G8" i="1"/>
  <c r="O8" i="1" s="1"/>
  <c r="B10" i="2"/>
  <c r="B11" i="2"/>
  <c r="N6" i="1"/>
  <c r="N11" i="1" s="1"/>
  <c r="P11" i="1"/>
  <c r="T11" i="1" l="1"/>
  <c r="S11" i="1"/>
  <c r="U11" i="1"/>
  <c r="O11" i="1"/>
  <c r="R11" i="1"/>
  <c r="Q11" i="1"/>
  <c r="D25" i="1"/>
  <c r="U25" i="1" s="1"/>
  <c r="U26" i="1" s="1"/>
  <c r="U12" i="1" l="1"/>
  <c r="T1" i="1" s="1"/>
  <c r="E7" i="4"/>
  <c r="E4" i="4" l="1"/>
  <c r="E6" i="4"/>
  <c r="B14" i="2"/>
  <c r="B15" i="2" s="1"/>
  <c r="B16" i="2" s="1"/>
  <c r="E5" i="4"/>
  <c r="E9" i="4" l="1"/>
  <c r="E1" i="4" s="1"/>
  <c r="A2" i="1"/>
  <c r="B17" i="2"/>
</calcChain>
</file>

<file path=xl/comments1.xml><?xml version="1.0" encoding="utf-8"?>
<comments xmlns="http://schemas.openxmlformats.org/spreadsheetml/2006/main">
  <authors>
    <author>Iain Buchanan</author>
  </authors>
  <commentList>
    <comment ref="D29" authorId="0">
      <text>
        <r>
          <rPr>
            <sz val="9"/>
            <color indexed="81"/>
            <rFont val="Tahoma"/>
            <family val="2"/>
          </rPr>
          <t>Total:
This is the total for the entire simulation duration.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Total to Yn:
This is the elapsed count during the nth year of operation</t>
        </r>
      </text>
    </comment>
    <comment ref="Y29" authorId="0">
      <text>
        <r>
          <rPr>
            <sz val="9"/>
            <color indexed="81"/>
            <rFont val="Tahoma"/>
            <family val="2"/>
          </rPr>
          <t>Sum to Yn:
This is the total elapsed count from the beginning of the simulation to year n.</t>
        </r>
      </text>
    </comment>
  </commentList>
</comments>
</file>

<file path=xl/sharedStrings.xml><?xml version="1.0" encoding="utf-8"?>
<sst xmlns="http://schemas.openxmlformats.org/spreadsheetml/2006/main" count="259" uniqueCount="172">
  <si>
    <t>Top Overhaul</t>
  </si>
  <si>
    <t>Inframe Overhaul</t>
  </si>
  <si>
    <t>Item</t>
  </si>
  <si>
    <t>Generator Running Costs</t>
  </si>
  <si>
    <t>Number Starts</t>
  </si>
  <si>
    <t>Starter Motor Replacement</t>
  </si>
  <si>
    <t>Oil &amp; Filter every 100hrs</t>
  </si>
  <si>
    <t>Tune Up every 3000hrs</t>
  </si>
  <si>
    <t>Interval (hrs)</t>
  </si>
  <si>
    <t>Recurring Service hours</t>
  </si>
  <si>
    <t>Start Costs</t>
  </si>
  <si>
    <t>t</t>
  </si>
  <si>
    <t>Gen1RunCnt</t>
  </si>
  <si>
    <t>Gen2RunCnt</t>
  </si>
  <si>
    <t>Gen3RunCnt</t>
  </si>
  <si>
    <t>Gen4RunCnt</t>
  </si>
  <si>
    <t>Gen5RunCnt</t>
  </si>
  <si>
    <t>Gen6RunCnt</t>
  </si>
  <si>
    <t>Gen7RunCnt</t>
  </si>
  <si>
    <t>Gen8RunCnt</t>
  </si>
  <si>
    <t>Item Cost</t>
  </si>
  <si>
    <t>Total:</t>
  </si>
  <si>
    <t>Gen1 Cost</t>
  </si>
  <si>
    <t>Total all Generators</t>
  </si>
  <si>
    <t>Gen2 Cost</t>
  </si>
  <si>
    <t>Gen3 Cost</t>
  </si>
  <si>
    <t>Gen4 Cost</t>
  </si>
  <si>
    <t>Gen5 Cost</t>
  </si>
  <si>
    <t>Gen6 Cost</t>
  </si>
  <si>
    <t>Gen7 Cost</t>
  </si>
  <si>
    <t>Gen8 Cost</t>
  </si>
  <si>
    <t>Helper functions and numbers - do not edit</t>
  </si>
  <si>
    <t>Simulation Run time:</t>
  </si>
  <si>
    <t>Total Seconds:</t>
  </si>
  <si>
    <t>Total Minutes:</t>
  </si>
  <si>
    <t>Total Hours:</t>
  </si>
  <si>
    <t>Total Days:</t>
  </si>
  <si>
    <t>Total Weeks:</t>
  </si>
  <si>
    <t>Total Months (30d):</t>
  </si>
  <si>
    <t>Total Years:</t>
  </si>
  <si>
    <t>Seconds in an hour</t>
  </si>
  <si>
    <t>Seconds in a day</t>
  </si>
  <si>
    <t>Seconds in a week</t>
  </si>
  <si>
    <t>Seconds in a Month (30d)</t>
  </si>
  <si>
    <t>Seconds in a Year</t>
  </si>
  <si>
    <t>Max Values From Sim:</t>
  </si>
  <si>
    <t>Gen1 Run Hours</t>
  </si>
  <si>
    <t>Gen3 Run Hours</t>
  </si>
  <si>
    <t>Gen4 Run Hours</t>
  </si>
  <si>
    <t>Gen5 Run Hours</t>
  </si>
  <si>
    <t>Gen6 Run Hours</t>
  </si>
  <si>
    <t>Gen7 Run Hours</t>
  </si>
  <si>
    <t>Gen8 Run Hours</t>
  </si>
  <si>
    <t>Gen2 Run Hours</t>
  </si>
  <si>
    <t>Gen1StartCnt</t>
  </si>
  <si>
    <t>Gen1 Start Count</t>
  </si>
  <si>
    <t>Gen2StartCnt</t>
  </si>
  <si>
    <t>Gen2 Start Count</t>
  </si>
  <si>
    <t>Gen3StartCnt</t>
  </si>
  <si>
    <t>Gen3 Start Count</t>
  </si>
  <si>
    <t>Gen4StartCnt</t>
  </si>
  <si>
    <t>Gen4 Start Count</t>
  </si>
  <si>
    <t>Gen5StartCnt</t>
  </si>
  <si>
    <t>Gen5 Start Count</t>
  </si>
  <si>
    <t>Gen6StartCnt</t>
  </si>
  <si>
    <t>Gen6 Start Count</t>
  </si>
  <si>
    <t>Gen7StartCnt</t>
  </si>
  <si>
    <t>Gen7 Start Count</t>
  </si>
  <si>
    <t>Gen8StartCnt</t>
  </si>
  <si>
    <t>Gen8 Start Count</t>
  </si>
  <si>
    <t>First (hrs)</t>
  </si>
  <si>
    <t>Last (hrs)</t>
  </si>
  <si>
    <t>G1#</t>
  </si>
  <si>
    <t>G2#</t>
  </si>
  <si>
    <t>G3#</t>
  </si>
  <si>
    <t>G4#</t>
  </si>
  <si>
    <t>G5#</t>
  </si>
  <si>
    <t>G6#</t>
  </si>
  <si>
    <t>G7#</t>
  </si>
  <si>
    <t>G8#</t>
  </si>
  <si>
    <t>Leftover Years Run</t>
  </si>
  <si>
    <t>Leftover Months Run</t>
  </si>
  <si>
    <t>Leftover Days Run</t>
  </si>
  <si>
    <t>Leftover Hours Run</t>
  </si>
  <si>
    <t>Leftover Minutes Run</t>
  </si>
  <si>
    <t>Leftover Seconds Run</t>
  </si>
  <si>
    <t>Gen1FuelCnt</t>
  </si>
  <si>
    <t>Gen2FuelCnt</t>
  </si>
  <si>
    <t>Gen3FuelCnt</t>
  </si>
  <si>
    <t>Gen4FuelCnt</t>
  </si>
  <si>
    <t>Gen5FuelCnt</t>
  </si>
  <si>
    <t>Gen6FuelCnt</t>
  </si>
  <si>
    <t>Gen7FuelCnt</t>
  </si>
  <si>
    <t>Gen8FuelCnt</t>
  </si>
  <si>
    <t>PvECnt</t>
  </si>
  <si>
    <t>StatBlackCnt</t>
  </si>
  <si>
    <t>Consumables</t>
  </si>
  <si>
    <t>Fuel</t>
  </si>
  <si>
    <t>L Total</t>
  </si>
  <si>
    <t>$/L</t>
  </si>
  <si>
    <t>Sim Name</t>
  </si>
  <si>
    <t>Real Name</t>
  </si>
  <si>
    <t>Gen1 Fuel Used</t>
  </si>
  <si>
    <t>Gen2 Fuel Used</t>
  </si>
  <si>
    <t>Gen3 Fuel Used</t>
  </si>
  <si>
    <t>Gen4 Fuel Used</t>
  </si>
  <si>
    <t>Gen5 Fuel Used</t>
  </si>
  <si>
    <t>Gen6 Fuel Used</t>
  </si>
  <si>
    <t>Gen7 Fuel Used</t>
  </si>
  <si>
    <t>Gen8 Fuel Used</t>
  </si>
  <si>
    <t>Oil</t>
  </si>
  <si>
    <t>L/change</t>
  </si>
  <si>
    <t>Total Consumables</t>
  </si>
  <si>
    <t>Yard maintenance</t>
  </si>
  <si>
    <t>Annual Inspection</t>
  </si>
  <si>
    <t>Performance Checks</t>
  </si>
  <si>
    <t>PV Inverter renewal</t>
  </si>
  <si>
    <t>PV Running Costs</t>
  </si>
  <si>
    <t>Period (years)</t>
  </si>
  <si>
    <t>Cost/Period</t>
  </si>
  <si>
    <t>Cost*</t>
  </si>
  <si>
    <t>* Note costs are incurred in whole periods, not parts thereof.</t>
  </si>
  <si>
    <t>Total PV Farm Costs</t>
  </si>
  <si>
    <t>Total Generator Running Costs:</t>
  </si>
  <si>
    <t>Total PV Running Costs:</t>
  </si>
  <si>
    <t>Started On</t>
  </si>
  <si>
    <t>Finished On</t>
  </si>
  <si>
    <t>Total</t>
  </si>
  <si>
    <t>Column</t>
  </si>
  <si>
    <t>Last Data Row</t>
  </si>
  <si>
    <t>Sum to Y1</t>
  </si>
  <si>
    <t>Sum to Y2</t>
  </si>
  <si>
    <t>Sum to Y3</t>
  </si>
  <si>
    <t>Sum to Y4</t>
  </si>
  <si>
    <t>Sum to Y5</t>
  </si>
  <si>
    <t>Sum to Y6</t>
  </si>
  <si>
    <t>Sum to Y7</t>
  </si>
  <si>
    <t>Sum to Y8</t>
  </si>
  <si>
    <t>Sum to Y9</t>
  </si>
  <si>
    <t>Sum to Y10</t>
  </si>
  <si>
    <t>Sum to Y11</t>
  </si>
  <si>
    <t>Sum to Y12</t>
  </si>
  <si>
    <t>Sum to Y13</t>
  </si>
  <si>
    <t>Sum to Y14</t>
  </si>
  <si>
    <t>Sum to Y15</t>
  </si>
  <si>
    <t>Sum to Y16</t>
  </si>
  <si>
    <t>Sum to Y17</t>
  </si>
  <si>
    <t>Sum to Y18</t>
  </si>
  <si>
    <t>Sum to Y19</t>
  </si>
  <si>
    <t>Sum to Y20</t>
  </si>
  <si>
    <t>Total for Y1</t>
  </si>
  <si>
    <t>Total for Y2</t>
  </si>
  <si>
    <t>Total for Y3</t>
  </si>
  <si>
    <t>Total for Y4</t>
  </si>
  <si>
    <t>Total for Y5</t>
  </si>
  <si>
    <t>Total for Y6</t>
  </si>
  <si>
    <t>Total for Y7</t>
  </si>
  <si>
    <t>Total for Y8</t>
  </si>
  <si>
    <t>Total for Y9</t>
  </si>
  <si>
    <t>Total for Y10</t>
  </si>
  <si>
    <t>Total for Y11</t>
  </si>
  <si>
    <t>Total for Y12</t>
  </si>
  <si>
    <t>Total for Y13</t>
  </si>
  <si>
    <t>Total for Y14</t>
  </si>
  <si>
    <t>Total for Y15</t>
  </si>
  <si>
    <t>Total for Y16</t>
  </si>
  <si>
    <t>Total for Y17</t>
  </si>
  <si>
    <t>Total for Y18</t>
  </si>
  <si>
    <t>Total for Y19</t>
  </si>
  <si>
    <t>Total for Y20</t>
  </si>
  <si>
    <t>Named Ranges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</si>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</sst>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4B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4" applyNumberFormat="0" applyFill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0" fillId="0" borderId="0" xfId="0"/>
    <xf numFmtId="164" fontId="0" fillId="0" borderId="0" xfId="1" applyNumberFormat="1" applyFont="1"/>
    <xf numFmtId="0" fontId="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2" xfId="4"/>
    <xf numFmtId="2" fontId="0" fillId="0" borderId="0" xfId="0" applyNumberFormat="1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6" fillId="0" borderId="0" xfId="0" applyNumberFormat="1" applyFont="1"/>
    <xf numFmtId="0" fontId="0" fillId="2" borderId="3" xfId="5" applyNumberFormat="1" applyFont="1"/>
    <xf numFmtId="0" fontId="2" fillId="0" borderId="0" xfId="2" applyBorder="1"/>
    <xf numFmtId="0" fontId="4" fillId="0" borderId="2" xfId="4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3" fillId="0" borderId="1" xfId="3"/>
    <xf numFmtId="164" fontId="0" fillId="0" borderId="0" xfId="1" applyNumberFormat="1" applyFont="1"/>
    <xf numFmtId="164" fontId="0" fillId="0" borderId="0" xfId="0" applyNumberFormat="1"/>
    <xf numFmtId="0" fontId="4" fillId="0" borderId="2" xfId="4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1" fillId="3" borderId="0" xfId="7" applyNumberFormat="1"/>
    <xf numFmtId="0" fontId="7" fillId="0" borderId="0" xfId="8" applyNumberFormat="1"/>
    <xf numFmtId="0" fontId="7" fillId="0" borderId="2" xfId="8" applyNumberFormat="1" applyBorder="1"/>
    <xf numFmtId="0" fontId="7" fillId="3" borderId="0" xfId="8" applyNumberFormat="1" applyFill="1"/>
    <xf numFmtId="164" fontId="4" fillId="0" borderId="2" xfId="4" applyNumberFormat="1"/>
    <xf numFmtId="164" fontId="9" fillId="0" borderId="4" xfId="6" applyNumberFormat="1" applyFont="1" applyAlignment="1">
      <alignment horizontal="center"/>
    </xf>
    <xf numFmtId="0" fontId="10" fillId="0" borderId="0" xfId="9"/>
    <xf numFmtId="0" fontId="10" fillId="0" borderId="0" xfId="9"/>
    <xf numFmtId="0" fontId="8" fillId="0" borderId="0" xfId="9" applyFont="1"/>
    <xf numFmtId="0" fontId="10" fillId="0" borderId="0" xfId="9" applyFont="1"/>
    <xf numFmtId="0" fontId="2" fillId="0" borderId="0" xfId="2" applyFont="1"/>
    <xf numFmtId="164" fontId="10" fillId="0" borderId="0" xfId="1" applyNumberFormat="1" applyFont="1"/>
    <xf numFmtId="164" fontId="8" fillId="0" borderId="0" xfId="1" applyNumberFormat="1" applyFont="1"/>
    <xf numFmtId="0" fontId="5" fillId="3" borderId="4" xfId="6" applyFill="1" applyAlignment="1">
      <alignment horizontal="right"/>
    </xf>
    <xf numFmtId="0" fontId="9" fillId="0" borderId="4" xfId="6" applyFont="1"/>
    <xf numFmtId="0" fontId="9" fillId="0" borderId="4" xfId="6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0" fillId="0" borderId="0" xfId="10" applyNumberFormat="1" applyFont="1"/>
    <xf numFmtId="164" fontId="9" fillId="0" borderId="4" xfId="6" applyNumberFormat="1" applyFont="1" applyAlignment="1">
      <alignment horizontal="center"/>
    </xf>
  </cellXfs>
  <cellStyles count="11">
    <cellStyle name="20% - Accent5" xfId="7" builtinId="46"/>
    <cellStyle name="Comma" xfId="10" builtinId="3"/>
    <cellStyle name="Currency" xfId="1" builtinId="4"/>
    <cellStyle name="Explanatory Text" xfId="8" builtinId="53"/>
    <cellStyle name="Heading 1" xfId="3" builtinId="16"/>
    <cellStyle name="Heading 3" xfId="4" builtinId="18"/>
    <cellStyle name="Normal" xfId="0" builtinId="0"/>
    <cellStyle name="Normal 2" xfId="9"/>
    <cellStyle name="Note" xfId="5" builtinId="10"/>
    <cellStyle name="Title" xfId="2" builtinId="15"/>
    <cellStyle name="Total" xfId="6" builtinId="25"/>
  </cellStyles>
  <dxfs count="19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b/>
      </font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5:U9" totalsRowShown="0" headerRowBorderDxfId="18" headerRowCellStyle="Heading 3">
  <tableColumns count="21">
    <tableColumn id="1" name="Item" dataDxfId="17" dataCellStyle="Normal"/>
    <tableColumn id="2" name="First (hrs)"/>
    <tableColumn id="3" name="Last (hrs)"/>
    <tableColumn id="4" name="Interval (hrs)"/>
    <tableColumn id="5" name="Item Cost" dataDxfId="16" dataCellStyle="Currency"/>
    <tableColumn id="6" name="G1#" dataDxfId="15" dataCellStyle="Explanatory Text">
      <calculatedColumnFormula>IF(Gen1_Run_Hours&gt;=$B6,ROUNDDOWN((MIN(Gen1_Run_Hours,$C6)-$B6)/$D6,0)+1,0)</calculatedColumnFormula>
    </tableColumn>
    <tableColumn id="7" name="G2#" dataDxfId="14" dataCellStyle="Explanatory Text">
      <calculatedColumnFormula>IF(Gen2_Run_Hours&gt;=$B6,ROUNDDOWN((MIN(Gen2_Run_Hours,$C6)-$B6)/$D6,0)+1,0)</calculatedColumnFormula>
    </tableColumn>
    <tableColumn id="8" name="G3#" dataDxfId="13" dataCellStyle="Explanatory Text">
      <calculatedColumnFormula>IF(Gen3_Run_Hours&gt;=$B6,ROUNDDOWN((MIN(Gen3_Run_Hours,$C6)-$B6)/$D6,0)+1,0)</calculatedColumnFormula>
    </tableColumn>
    <tableColumn id="9" name="G4#" dataDxfId="12" dataCellStyle="Explanatory Text">
      <calculatedColumnFormula>IF(Gen4_Run_Hours&gt;=$B6,ROUNDDOWN((MIN(Gen4_Run_Hours,$C6)-$B6)/$D6,0)+1,0)</calculatedColumnFormula>
    </tableColumn>
    <tableColumn id="10" name="G5#" dataDxfId="11" dataCellStyle="Explanatory Text">
      <calculatedColumnFormula>IF(Gen5_Run_Hours&gt;=$B6,ROUNDDOWN((MIN(Gen5_Run_Hours,$C6)-$B6)/$D6,0)+1,0)</calculatedColumnFormula>
    </tableColumn>
    <tableColumn id="11" name="G6#" dataDxfId="10" dataCellStyle="Explanatory Text">
      <calculatedColumnFormula>IF(Gen6_Run_Hours&gt;=$B6,ROUNDDOWN((MIN(Gen6_Run_Hours,$C6)-$B6)/$D6,0)+1,0)</calculatedColumnFormula>
    </tableColumn>
    <tableColumn id="12" name="G7#" dataDxfId="9" dataCellStyle="Explanatory Text">
      <calculatedColumnFormula>IF(Gen7_Run_Hours&gt;=$B6,ROUNDDOWN((MIN(Gen7_Run_Hours,$C6)-$B6)/$D6,0)+1,0)</calculatedColumnFormula>
    </tableColumn>
    <tableColumn id="13" name="G8#" dataDxfId="8" dataCellStyle="Explanatory Text">
      <calculatedColumnFormula>IF(Gen8_Run_Hours&gt;=$B6,ROUNDDOWN((MIN(Gen8_Run_Hours,$C6)-$B6)/$D6,0)+1,0)</calculatedColumnFormula>
    </tableColumn>
    <tableColumn id="14" name="Gen1 Cost" dataDxfId="7">
      <calculatedColumnFormula>F6*$E$6</calculatedColumnFormula>
    </tableColumn>
    <tableColumn id="15" name="Gen2 Cost" dataDxfId="6">
      <calculatedColumnFormula>G6*$E$6</calculatedColumnFormula>
    </tableColumn>
    <tableColumn id="16" name="Gen3 Cost" dataDxfId="5">
      <calculatedColumnFormula>H6*$E$6</calculatedColumnFormula>
    </tableColumn>
    <tableColumn id="17" name="Gen4 Cost" dataDxfId="4">
      <calculatedColumnFormula>I6*$E$6</calculatedColumnFormula>
    </tableColumn>
    <tableColumn id="18" name="Gen5 Cost" dataDxfId="3">
      <calculatedColumnFormula>J6*$E$6</calculatedColumnFormula>
    </tableColumn>
    <tableColumn id="19" name="Gen6 Cost" dataDxfId="2">
      <calculatedColumnFormula>K6*$E$6</calculatedColumnFormula>
    </tableColumn>
    <tableColumn id="20" name="Gen7 Cost" dataDxfId="1">
      <calculatedColumnFormula>L6*$E$6</calculatedColumnFormula>
    </tableColumn>
    <tableColumn id="21" name="Gen8 Cost" dataDxfId="0">
      <calculatedColumnFormula>M6*$E$6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9"/>
  <sheetViews>
    <sheetView workbookViewId="0">
      <selection activeCell="O6" sqref="O6"/>
    </sheetView>
  </sheetViews>
  <sheetFormatPr defaultRowHeight="15" x14ac:dyDescent="0.25"/>
  <cols>
    <col min="1" max="1" width="25.42578125" style="4" customWidth="1"/>
    <col min="2" max="2" width="11.28515625" customWidth="1"/>
    <col min="3" max="3" width="11.28515625" style="21" customWidth="1"/>
    <col min="4" max="4" width="11.28515625" customWidth="1"/>
    <col min="5" max="5" width="11.28515625" style="6" customWidth="1"/>
    <col min="6" max="13" width="4.5703125" style="33" customWidth="1"/>
    <col min="14" max="17" width="10.28515625" customWidth="1"/>
    <col min="18" max="18" width="10.28515625" style="6" customWidth="1"/>
    <col min="19" max="20" width="10.28515625" customWidth="1"/>
    <col min="21" max="21" width="12.42578125" customWidth="1"/>
    <col min="22" max="24" width="11.85546875" customWidth="1"/>
  </cols>
  <sheetData>
    <row r="1" spans="1:21" ht="23.25" customHeight="1" thickBot="1" x14ac:dyDescent="0.4">
      <c r="A1" s="1" t="s">
        <v>3</v>
      </c>
      <c r="B1" s="1"/>
      <c r="C1" s="17"/>
      <c r="P1" s="46"/>
      <c r="Q1" s="46"/>
      <c r="R1" s="46"/>
      <c r="S1" s="47" t="s">
        <v>123</v>
      </c>
      <c r="T1" s="51">
        <f ca="1">U12+U20+U26</f>
        <v>490720.70977339993</v>
      </c>
      <c r="U1" s="51"/>
    </row>
    <row r="2" spans="1:21" s="7" customFormat="1" ht="15.75" thickTop="1" x14ac:dyDescent="0.25">
      <c r="A2" s="4" t="str">
        <f>CONCATENATE("Approximate Run Time: ", Leftover_Years_Run, " year(s) ", Leftover_Months_Run, " month(s) ", Leftover_Days_Run, " day(s)")</f>
        <v>Approximate Run Time: 1 year(s) 10 month(s) 21 day(s)</v>
      </c>
      <c r="F2" s="33"/>
      <c r="G2" s="33"/>
      <c r="H2" s="33"/>
      <c r="I2" s="33"/>
      <c r="J2" s="33"/>
      <c r="K2" s="33"/>
      <c r="L2" s="33"/>
      <c r="M2" s="33"/>
      <c r="N2"/>
      <c r="P2"/>
      <c r="R2" s="6"/>
    </row>
    <row r="4" spans="1:21" ht="20.25" thickBot="1" x14ac:dyDescent="0.35">
      <c r="A4" s="23" t="s">
        <v>9</v>
      </c>
      <c r="B4" s="23"/>
      <c r="C4" s="23"/>
    </row>
    <row r="5" spans="1:21" ht="16.5" thickTop="1" thickBot="1" x14ac:dyDescent="0.3">
      <c r="A5" s="26" t="s">
        <v>2</v>
      </c>
      <c r="B5" s="8" t="s">
        <v>70</v>
      </c>
      <c r="C5" s="26" t="s">
        <v>71</v>
      </c>
      <c r="D5" s="8" t="s">
        <v>8</v>
      </c>
      <c r="E5" s="8" t="s">
        <v>20</v>
      </c>
      <c r="F5" s="34" t="s">
        <v>72</v>
      </c>
      <c r="G5" s="34" t="s">
        <v>73</v>
      </c>
      <c r="H5" s="34" t="s">
        <v>74</v>
      </c>
      <c r="I5" s="34" t="s">
        <v>75</v>
      </c>
      <c r="J5" s="34" t="s">
        <v>76</v>
      </c>
      <c r="K5" s="34" t="s">
        <v>77</v>
      </c>
      <c r="L5" s="34" t="s">
        <v>78</v>
      </c>
      <c r="M5" s="34" t="s">
        <v>79</v>
      </c>
      <c r="N5" s="8" t="s">
        <v>22</v>
      </c>
      <c r="O5" s="8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</row>
    <row r="6" spans="1:21" x14ac:dyDescent="0.25">
      <c r="A6" s="4" t="s">
        <v>6</v>
      </c>
      <c r="B6">
        <v>250</v>
      </c>
      <c r="C6" s="21">
        <v>52000</v>
      </c>
      <c r="D6">
        <v>250</v>
      </c>
      <c r="E6" s="3">
        <v>500</v>
      </c>
      <c r="F6" s="33">
        <f ca="1">IF(Gen1_Run_Hours&gt;=$B6,ROUNDDOWN((MIN(Gen1_Run_Hours,$C6)-$B6)/$D6,0)+1,0)</f>
        <v>66</v>
      </c>
      <c r="G6" s="33">
        <f ca="1">IF(Gen2_Run_Hours&gt;=$B6,ROUNDDOWN((MIN(Gen2_Run_Hours,$C6)-$B6)/$D6,0)+1,0)</f>
        <v>66</v>
      </c>
      <c r="H6" s="33">
        <f ca="1">IF(Gen3_Run_Hours&gt;=$B6,ROUNDDOWN((MIN(Gen3_Run_Hours,$C6)-$B6)/$D6,0)+1,0)</f>
        <v>66</v>
      </c>
      <c r="I6" s="33">
        <f ca="1">IF(Gen4_Run_Hours&gt;=$B6,ROUNDDOWN((MIN(Gen4_Run_Hours,$C6)-$B6)/$D6,0)+1,0)</f>
        <v>0</v>
      </c>
      <c r="J6" s="33">
        <f ca="1">IF(Gen5_Run_Hours&gt;=$B6,ROUNDDOWN((MIN(Gen5_Run_Hours,$C6)-$B6)/$D6,0)+1,0)</f>
        <v>0</v>
      </c>
      <c r="K6" s="33">
        <f ca="1">IF(Gen6_Run_Hours&gt;=$B6,ROUNDDOWN((MIN(Gen6_Run_Hours,$C6)-$B6)/$D6,0)+1,0)</f>
        <v>0</v>
      </c>
      <c r="L6" s="33">
        <f ca="1">IF(Gen7_Run_Hours&gt;=$B6,ROUNDDOWN((MIN(Gen7_Run_Hours,$C6)-$B6)/$D6,0)+1,0)</f>
        <v>0</v>
      </c>
      <c r="M6" s="33">
        <f ca="1">IF(Gen8_Run_Hours&gt;=$B6,ROUNDDOWN((MIN(Gen8_Run_Hours,$C6)-$B6)/$D6,0)+1,0)</f>
        <v>0</v>
      </c>
      <c r="N6" s="5">
        <f t="shared" ref="N6:U9" ca="1" si="0">F6*$E$6</f>
        <v>33000</v>
      </c>
      <c r="O6" s="25">
        <f t="shared" ca="1" si="0"/>
        <v>33000</v>
      </c>
      <c r="P6" s="25">
        <f t="shared" ca="1" si="0"/>
        <v>33000</v>
      </c>
      <c r="Q6" s="25">
        <f t="shared" ca="1" si="0"/>
        <v>0</v>
      </c>
      <c r="R6" s="25">
        <f t="shared" ca="1" si="0"/>
        <v>0</v>
      </c>
      <c r="S6" s="25">
        <f t="shared" ca="1" si="0"/>
        <v>0</v>
      </c>
      <c r="T6" s="25">
        <f t="shared" ca="1" si="0"/>
        <v>0</v>
      </c>
      <c r="U6" s="25">
        <f t="shared" ca="1" si="0"/>
        <v>0</v>
      </c>
    </row>
    <row r="7" spans="1:21" s="21" customFormat="1" x14ac:dyDescent="0.25">
      <c r="A7" s="4" t="s">
        <v>7</v>
      </c>
      <c r="B7" s="21">
        <v>1000</v>
      </c>
      <c r="C7" s="22">
        <v>52000</v>
      </c>
      <c r="D7" s="21">
        <v>3000</v>
      </c>
      <c r="E7" s="24">
        <v>1000</v>
      </c>
      <c r="F7" s="33">
        <f ca="1">IF(Gen1_Run_Hours&gt;=$B7,ROUNDDOWN((MIN(Gen1_Run_Hours,$C7)-$B7)/$D7,0)+1,0)</f>
        <v>6</v>
      </c>
      <c r="G7" s="33">
        <f ca="1">IF(Gen2_Run_Hours&gt;=$B7,ROUNDDOWN((MIN(Gen2_Run_Hours,$C7)-$B7)/$D7,0)+1,0)</f>
        <v>6</v>
      </c>
      <c r="H7" s="33">
        <f ca="1">IF(Gen3_Run_Hours&gt;=$B7,ROUNDDOWN((MIN(Gen3_Run_Hours,$C7)-$B7)/$D7,0)+1,0)</f>
        <v>6</v>
      </c>
      <c r="I7" s="33">
        <f ca="1">IF(Gen4_Run_Hours&gt;=$B7,ROUNDDOWN((MIN(Gen4_Run_Hours,$C7)-$B7)/$D7,0)+1,0)</f>
        <v>0</v>
      </c>
      <c r="J7" s="33">
        <f ca="1">IF(Gen5_Run_Hours&gt;=$B7,ROUNDDOWN((MIN(Gen5_Run_Hours,$C7)-$B7)/$D7,0)+1,0)</f>
        <v>0</v>
      </c>
      <c r="K7" s="33">
        <f ca="1">IF(Gen6_Run_Hours&gt;=$B7,ROUNDDOWN((MIN(Gen6_Run_Hours,$C7)-$B7)/$D7,0)+1,0)</f>
        <v>0</v>
      </c>
      <c r="L7" s="33">
        <f ca="1">IF(Gen7_Run_Hours&gt;=$B7,ROUNDDOWN((MIN(Gen7_Run_Hours,$C7)-$B7)/$D7,0)+1,0)</f>
        <v>0</v>
      </c>
      <c r="M7" s="33">
        <f ca="1">IF(Gen8_Run_Hours&gt;=$B7,ROUNDDOWN((MIN(Gen8_Run_Hours,$C7)-$B7)/$D7,0)+1,0)</f>
        <v>0</v>
      </c>
      <c r="N7" s="25">
        <f t="shared" ca="1" si="0"/>
        <v>3000</v>
      </c>
      <c r="O7" s="25">
        <f t="shared" ca="1" si="0"/>
        <v>3000</v>
      </c>
      <c r="P7" s="25">
        <f t="shared" ca="1" si="0"/>
        <v>3000</v>
      </c>
      <c r="Q7" s="25">
        <f t="shared" ca="1" si="0"/>
        <v>0</v>
      </c>
      <c r="R7" s="25">
        <f t="shared" ca="1" si="0"/>
        <v>0</v>
      </c>
      <c r="S7" s="25">
        <f t="shared" ca="1" si="0"/>
        <v>0</v>
      </c>
      <c r="T7" s="25">
        <f t="shared" ca="1" si="0"/>
        <v>0</v>
      </c>
      <c r="U7" s="25">
        <f t="shared" ca="1" si="0"/>
        <v>0</v>
      </c>
    </row>
    <row r="8" spans="1:21" s="22" customFormat="1" x14ac:dyDescent="0.25">
      <c r="A8" s="4" t="s">
        <v>0</v>
      </c>
      <c r="B8" s="22">
        <v>13000</v>
      </c>
      <c r="C8" s="22">
        <v>52000</v>
      </c>
      <c r="D8" s="22">
        <v>26000</v>
      </c>
      <c r="E8" s="24">
        <v>25000</v>
      </c>
      <c r="F8" s="33">
        <f ca="1">IF(Gen1_Run_Hours&gt;=$B8,ROUNDDOWN((MIN(Gen1_Run_Hours,$C8)-$B8)/$D8,0)+1,0)</f>
        <v>1</v>
      </c>
      <c r="G8" s="33">
        <f ca="1">IF(Gen2_Run_Hours&gt;=$B8,ROUNDDOWN((MIN(Gen2_Run_Hours,$C8)-$B8)/$D8,0)+1,0)</f>
        <v>1</v>
      </c>
      <c r="H8" s="33">
        <f ca="1">IF(Gen3_Run_Hours&gt;=$B8,ROUNDDOWN((MIN(Gen3_Run_Hours,$C8)-$B8)/$D8,0)+1,0)</f>
        <v>1</v>
      </c>
      <c r="I8" s="33">
        <f ca="1">IF(Gen4_Run_Hours&gt;=$B8,ROUNDDOWN((MIN(Gen4_Run_Hours,$C8)-$B8)/$D8,0)+1,0)</f>
        <v>0</v>
      </c>
      <c r="J8" s="33">
        <f ca="1">IF(Gen5_Run_Hours&gt;=$B8,ROUNDDOWN((MIN(Gen5_Run_Hours,$C8)-$B8)/$D8,0)+1,0)</f>
        <v>0</v>
      </c>
      <c r="K8" s="33">
        <f ca="1">IF(Gen6_Run_Hours&gt;=$B8,ROUNDDOWN((MIN(Gen6_Run_Hours,$C8)-$B8)/$D8,0)+1,0)</f>
        <v>0</v>
      </c>
      <c r="L8" s="33">
        <f ca="1">IF(Gen7_Run_Hours&gt;=$B8,ROUNDDOWN((MIN(Gen7_Run_Hours,$C8)-$B8)/$D8,0)+1,0)</f>
        <v>0</v>
      </c>
      <c r="M8" s="33">
        <f ca="1">IF(Gen8_Run_Hours&gt;=$B8,ROUNDDOWN((MIN(Gen8_Run_Hours,$C8)-$B8)/$D8,0)+1,0)</f>
        <v>0</v>
      </c>
      <c r="N8" s="25">
        <f t="shared" ca="1" si="0"/>
        <v>500</v>
      </c>
      <c r="O8" s="25">
        <f t="shared" ca="1" si="0"/>
        <v>500</v>
      </c>
      <c r="P8" s="25">
        <f t="shared" ca="1" si="0"/>
        <v>500</v>
      </c>
      <c r="Q8" s="25">
        <f t="shared" ca="1" si="0"/>
        <v>0</v>
      </c>
      <c r="R8" s="25">
        <f t="shared" ca="1" si="0"/>
        <v>0</v>
      </c>
      <c r="S8" s="25">
        <f t="shared" ca="1" si="0"/>
        <v>0</v>
      </c>
      <c r="T8" s="25">
        <f t="shared" ca="1" si="0"/>
        <v>0</v>
      </c>
      <c r="U8" s="25">
        <f t="shared" ca="1" si="0"/>
        <v>0</v>
      </c>
    </row>
    <row r="9" spans="1:21" s="22" customFormat="1" x14ac:dyDescent="0.25">
      <c r="A9" s="4" t="s">
        <v>1</v>
      </c>
      <c r="B9" s="22">
        <v>26000</v>
      </c>
      <c r="C9" s="22">
        <v>52000</v>
      </c>
      <c r="D9" s="22">
        <v>1</v>
      </c>
      <c r="E9" s="24">
        <v>45000</v>
      </c>
      <c r="F9" s="33">
        <f ca="1">IF(Gen1_Run_Hours&gt;=$B9,ROUNDDOWN((MIN(Gen1_Run_Hours,$C9)-$B9)/$D9,0)+1,0)</f>
        <v>0</v>
      </c>
      <c r="G9" s="33">
        <f ca="1">IF(Gen2_Run_Hours&gt;=$B9,ROUNDDOWN((MIN(Gen2_Run_Hours,$C9)-$B9)/$D9,0)+1,0)</f>
        <v>0</v>
      </c>
      <c r="H9" s="33">
        <f ca="1">IF(Gen3_Run_Hours&gt;=$B9,ROUNDDOWN((MIN(Gen3_Run_Hours,$C9)-$B9)/$D9,0)+1,0)</f>
        <v>0</v>
      </c>
      <c r="I9" s="33">
        <f ca="1">IF(Gen4_Run_Hours&gt;=$B9,ROUNDDOWN((MIN(Gen4_Run_Hours,$C9)-$B9)/$D9,0)+1,0)</f>
        <v>0</v>
      </c>
      <c r="J9" s="33">
        <f ca="1">IF(Gen5_Run_Hours&gt;=$B9,ROUNDDOWN((MIN(Gen5_Run_Hours,$C9)-$B9)/$D9,0)+1,0)</f>
        <v>0</v>
      </c>
      <c r="K9" s="33">
        <f ca="1">IF(Gen6_Run_Hours&gt;=$B9,ROUNDDOWN((MIN(Gen6_Run_Hours,$C9)-$B9)/$D9,0)+1,0)</f>
        <v>0</v>
      </c>
      <c r="L9" s="33">
        <f ca="1">IF(Gen7_Run_Hours&gt;=$B9,ROUNDDOWN((MIN(Gen7_Run_Hours,$C9)-$B9)/$D9,0)+1,0)</f>
        <v>0</v>
      </c>
      <c r="M9" s="33">
        <f ca="1">IF(Gen8_Run_Hours&gt;=$B9,ROUNDDOWN((MIN(Gen8_Run_Hours,$C9)-$B9)/$D9,0)+1,0)</f>
        <v>0</v>
      </c>
      <c r="N9" s="25">
        <f t="shared" ca="1" si="0"/>
        <v>0</v>
      </c>
      <c r="O9" s="25">
        <f t="shared" ca="1" si="0"/>
        <v>0</v>
      </c>
      <c r="P9" s="25">
        <f t="shared" ca="1" si="0"/>
        <v>0</v>
      </c>
      <c r="Q9" s="25">
        <f t="shared" ca="1" si="0"/>
        <v>0</v>
      </c>
      <c r="R9" s="25">
        <f t="shared" ca="1" si="0"/>
        <v>0</v>
      </c>
      <c r="S9" s="25">
        <f t="shared" ca="1" si="0"/>
        <v>0</v>
      </c>
      <c r="T9" s="25">
        <f t="shared" ca="1" si="0"/>
        <v>0</v>
      </c>
      <c r="U9" s="25">
        <f t="shared" ca="1" si="0"/>
        <v>0</v>
      </c>
    </row>
    <row r="10" spans="1:21" x14ac:dyDescent="0.25">
      <c r="E10" s="24"/>
      <c r="N10" s="25"/>
      <c r="O10" s="25"/>
      <c r="P10" s="25"/>
      <c r="Q10" s="25"/>
      <c r="R10" s="25"/>
      <c r="S10" s="25"/>
      <c r="T10" s="25"/>
      <c r="U10" s="25"/>
    </row>
    <row r="11" spans="1:21" x14ac:dyDescent="0.25">
      <c r="E11" s="10" t="s">
        <v>21</v>
      </c>
      <c r="F11" s="35"/>
      <c r="G11" s="35"/>
      <c r="H11" s="35"/>
      <c r="I11" s="35"/>
      <c r="J11" s="35"/>
      <c r="K11" s="35"/>
      <c r="L11" s="35"/>
      <c r="M11" s="35"/>
      <c r="N11" s="11">
        <f t="shared" ref="N11:U11" ca="1" si="1">SUM(N6:N9)</f>
        <v>36500</v>
      </c>
      <c r="O11" s="28">
        <f t="shared" ca="1" si="1"/>
        <v>36500</v>
      </c>
      <c r="P11" s="28">
        <f t="shared" ca="1" si="1"/>
        <v>36500</v>
      </c>
      <c r="Q11" s="28">
        <f t="shared" ca="1" si="1"/>
        <v>0</v>
      </c>
      <c r="R11" s="28">
        <f t="shared" ca="1" si="1"/>
        <v>0</v>
      </c>
      <c r="S11" s="28">
        <f t="shared" ca="1" si="1"/>
        <v>0</v>
      </c>
      <c r="T11" s="28">
        <f t="shared" ca="1" si="1"/>
        <v>0</v>
      </c>
      <c r="U11" s="28">
        <f t="shared" ca="1" si="1"/>
        <v>0</v>
      </c>
    </row>
    <row r="12" spans="1:21" ht="15.75" thickBot="1" x14ac:dyDescent="0.3">
      <c r="N12" s="3"/>
      <c r="S12" s="12" t="s">
        <v>23</v>
      </c>
      <c r="T12" s="12"/>
      <c r="U12" s="13">
        <f ca="1">SUM(N11:U11)</f>
        <v>109500</v>
      </c>
    </row>
    <row r="13" spans="1:21" ht="15.75" thickTop="1" x14ac:dyDescent="0.25"/>
    <row r="15" spans="1:21" ht="20.25" thickBot="1" x14ac:dyDescent="0.35">
      <c r="A15" s="23" t="s">
        <v>10</v>
      </c>
      <c r="B15" s="23"/>
      <c r="C15" s="23"/>
      <c r="E15"/>
    </row>
    <row r="16" spans="1:21" ht="16.5" thickTop="1" thickBot="1" x14ac:dyDescent="0.3">
      <c r="A16" s="26" t="s">
        <v>2</v>
      </c>
      <c r="B16" s="8" t="s">
        <v>4</v>
      </c>
      <c r="C16" s="26"/>
      <c r="D16" s="8"/>
      <c r="E16" s="8" t="s">
        <v>20</v>
      </c>
      <c r="F16" s="34" t="s">
        <v>72</v>
      </c>
      <c r="G16" s="34" t="s">
        <v>73</v>
      </c>
      <c r="H16" s="34" t="s">
        <v>74</v>
      </c>
      <c r="I16" s="34" t="s">
        <v>75</v>
      </c>
      <c r="J16" s="34" t="s">
        <v>76</v>
      </c>
      <c r="K16" s="34" t="s">
        <v>77</v>
      </c>
      <c r="L16" s="34" t="s">
        <v>78</v>
      </c>
      <c r="M16" s="34" t="s">
        <v>79</v>
      </c>
      <c r="N16" s="8" t="s">
        <v>22</v>
      </c>
      <c r="O16" s="8" t="s">
        <v>24</v>
      </c>
      <c r="P16" s="8" t="s">
        <v>25</v>
      </c>
      <c r="Q16" s="8" t="s">
        <v>26</v>
      </c>
      <c r="R16" s="8" t="s">
        <v>27</v>
      </c>
      <c r="S16" s="8" t="s">
        <v>28</v>
      </c>
      <c r="T16" s="8" t="s">
        <v>29</v>
      </c>
      <c r="U16" s="8" t="s">
        <v>30</v>
      </c>
    </row>
    <row r="17" spans="1:21" x14ac:dyDescent="0.25">
      <c r="A17" s="4" t="s">
        <v>5</v>
      </c>
      <c r="B17" s="22">
        <v>500</v>
      </c>
      <c r="C17" s="22"/>
      <c r="D17" s="22"/>
      <c r="E17" s="24">
        <v>500</v>
      </c>
      <c r="F17" s="33">
        <f ca="1">ROUNDDOWN(Gen1_Start_Count/$B17, 0)</f>
        <v>1</v>
      </c>
      <c r="G17" s="33">
        <f ca="1">ROUNDDOWN(Gen2_Start_Count/$B17, 0)</f>
        <v>1</v>
      </c>
      <c r="H17" s="33">
        <f ca="1">ROUNDDOWN(Gen3_Start_Count/$B17, 0)</f>
        <v>0</v>
      </c>
      <c r="I17" s="33">
        <f ca="1">ROUNDDOWN(Gen4_Start_Count/$B17, 0)</f>
        <v>0</v>
      </c>
      <c r="J17" s="33">
        <f ca="1">ROUNDDOWN(Gen5_Start_Count/$B17, 0)</f>
        <v>0</v>
      </c>
      <c r="K17" s="33">
        <f ca="1">ROUNDDOWN(Gen6_Start_Count/$B17, 0)</f>
        <v>0</v>
      </c>
      <c r="L17" s="33">
        <f ca="1">ROUNDDOWN(Gen7_Start_Count/$B17, 0)</f>
        <v>0</v>
      </c>
      <c r="M17" s="33">
        <f ca="1">ROUNDDOWN(Gen8_Start_Count/$B17, 0)</f>
        <v>0</v>
      </c>
      <c r="N17" s="25">
        <f ca="1">F17*$E$17</f>
        <v>500</v>
      </c>
      <c r="O17" s="25">
        <f t="shared" ref="O17:U17" ca="1" si="2">G17*$E$17</f>
        <v>500</v>
      </c>
      <c r="P17" s="25">
        <f t="shared" ca="1" si="2"/>
        <v>0</v>
      </c>
      <c r="Q17" s="25">
        <f t="shared" ca="1" si="2"/>
        <v>0</v>
      </c>
      <c r="R17" s="25">
        <f t="shared" ca="1" si="2"/>
        <v>0</v>
      </c>
      <c r="S17" s="25">
        <f t="shared" ca="1" si="2"/>
        <v>0</v>
      </c>
      <c r="T17" s="25">
        <f t="shared" ca="1" si="2"/>
        <v>0</v>
      </c>
      <c r="U17" s="25">
        <f t="shared" ca="1" si="2"/>
        <v>0</v>
      </c>
    </row>
    <row r="18" spans="1:21" x14ac:dyDescent="0.25">
      <c r="E18"/>
    </row>
    <row r="19" spans="1:21" x14ac:dyDescent="0.25">
      <c r="E19" s="27" t="s">
        <v>21</v>
      </c>
      <c r="F19" s="35"/>
      <c r="G19" s="35"/>
      <c r="H19" s="35"/>
      <c r="I19" s="35"/>
      <c r="J19" s="35"/>
      <c r="K19" s="35"/>
      <c r="L19" s="35"/>
      <c r="M19" s="35"/>
      <c r="N19" s="28">
        <f t="shared" ref="N19:U19" ca="1" si="3">SUM(N17)</f>
        <v>500</v>
      </c>
      <c r="O19" s="28">
        <f t="shared" ca="1" si="3"/>
        <v>500</v>
      </c>
      <c r="P19" s="28">
        <f t="shared" ca="1" si="3"/>
        <v>0</v>
      </c>
      <c r="Q19" s="28">
        <f t="shared" ca="1" si="3"/>
        <v>0</v>
      </c>
      <c r="R19" s="28">
        <f t="shared" ca="1" si="3"/>
        <v>0</v>
      </c>
      <c r="S19" s="28">
        <f t="shared" ca="1" si="3"/>
        <v>0</v>
      </c>
      <c r="T19" s="28">
        <f t="shared" ca="1" si="3"/>
        <v>0</v>
      </c>
      <c r="U19" s="28">
        <f t="shared" ca="1" si="3"/>
        <v>0</v>
      </c>
    </row>
    <row r="20" spans="1:21" ht="15.75" thickBot="1" x14ac:dyDescent="0.3">
      <c r="B20" s="2"/>
      <c r="C20" s="22"/>
      <c r="D20" s="2"/>
      <c r="E20" s="21"/>
      <c r="N20" s="24"/>
      <c r="O20" s="21"/>
      <c r="P20" s="21"/>
      <c r="Q20" s="21"/>
      <c r="R20" s="21"/>
      <c r="S20" s="29" t="s">
        <v>23</v>
      </c>
      <c r="T20" s="29"/>
      <c r="U20" s="30">
        <f ca="1">SUM(N19:U19)</f>
        <v>1000</v>
      </c>
    </row>
    <row r="21" spans="1:21" ht="21" thickTop="1" thickBot="1" x14ac:dyDescent="0.35">
      <c r="A21" s="23" t="s">
        <v>96</v>
      </c>
      <c r="B21" s="23"/>
      <c r="C21" s="23"/>
    </row>
    <row r="22" spans="1:21" ht="15.75" thickTop="1" x14ac:dyDescent="0.25">
      <c r="A22" s="4" t="s">
        <v>97</v>
      </c>
      <c r="B22" s="22" t="s">
        <v>99</v>
      </c>
      <c r="C22" s="22" t="s">
        <v>98</v>
      </c>
      <c r="D22" s="22"/>
      <c r="E22" s="24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B23" s="27">
        <v>0.4</v>
      </c>
      <c r="C23" s="27">
        <f ca="1">SUM(Helper!D46:D53)</f>
        <v>901051.77443349978</v>
      </c>
      <c r="D23" s="27"/>
      <c r="E23" s="28"/>
      <c r="F23" s="32"/>
      <c r="G23" s="32"/>
      <c r="H23" s="32"/>
      <c r="I23" s="32"/>
      <c r="J23" s="32"/>
      <c r="K23" s="32"/>
      <c r="L23" s="32"/>
      <c r="M23" s="32"/>
      <c r="N23" s="28"/>
      <c r="O23" s="28"/>
      <c r="P23" s="28"/>
      <c r="Q23" s="28"/>
      <c r="R23" s="28"/>
      <c r="S23" s="28"/>
      <c r="T23" s="28"/>
      <c r="U23" s="28">
        <f ca="1">B23*C23</f>
        <v>360420.70977339993</v>
      </c>
    </row>
    <row r="24" spans="1:21" x14ac:dyDescent="0.25">
      <c r="A24" s="4" t="s">
        <v>110</v>
      </c>
      <c r="B24" s="22" t="s">
        <v>99</v>
      </c>
      <c r="C24" s="22" t="s">
        <v>111</v>
      </c>
      <c r="D24" s="22" t="s">
        <v>98</v>
      </c>
      <c r="E24" s="24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B25" s="27">
        <v>10</v>
      </c>
      <c r="C25" s="27">
        <v>10</v>
      </c>
      <c r="D25" s="27">
        <f ca="1">SUM(F6:M6)*C25</f>
        <v>1980</v>
      </c>
      <c r="E25" s="28"/>
      <c r="F25" s="32"/>
      <c r="G25" s="32"/>
      <c r="H25" s="32"/>
      <c r="I25" s="32"/>
      <c r="J25" s="32"/>
      <c r="K25" s="32"/>
      <c r="L25" s="32"/>
      <c r="M25" s="32"/>
      <c r="N25" s="28"/>
      <c r="O25" s="28"/>
      <c r="P25" s="28"/>
      <c r="Q25" s="28"/>
      <c r="R25" s="28"/>
      <c r="S25" s="28"/>
      <c r="T25" s="28"/>
      <c r="U25" s="28">
        <f ca="1">D25*B25</f>
        <v>19800</v>
      </c>
    </row>
    <row r="26" spans="1:21" ht="15.75" thickBot="1" x14ac:dyDescent="0.3">
      <c r="S26" s="29" t="s">
        <v>112</v>
      </c>
      <c r="T26" s="29"/>
      <c r="U26" s="30">
        <f ca="1">SUM(U22:U25)</f>
        <v>380220.70977339993</v>
      </c>
    </row>
    <row r="27" spans="1:21" ht="15.75" thickTop="1" x14ac:dyDescent="0.25">
      <c r="B27" s="2"/>
      <c r="C27" s="22"/>
      <c r="D27" s="2"/>
      <c r="E27" s="7"/>
      <c r="N27" s="2"/>
      <c r="O27" s="2"/>
      <c r="P27" s="2"/>
      <c r="Q27" s="2"/>
      <c r="R27" s="7"/>
    </row>
    <row r="29" spans="1:21" x14ac:dyDescent="0.25">
      <c r="B29" s="2"/>
      <c r="C29" s="22"/>
      <c r="D29" s="2"/>
      <c r="E29" s="7"/>
      <c r="N29" s="2"/>
      <c r="O29" s="2"/>
      <c r="P29" s="2"/>
      <c r="Q29" s="2"/>
      <c r="R29" s="7"/>
    </row>
  </sheetData>
  <mergeCells count="1">
    <mergeCell ref="T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35.5703125" style="4" customWidth="1"/>
    <col min="2" max="2" width="13.140625" style="4" customWidth="1"/>
    <col min="3" max="3" width="12.28515625" style="24" bestFit="1" customWidth="1"/>
    <col min="4" max="4" width="13.5703125" bestFit="1" customWidth="1"/>
    <col min="5" max="5" width="13.140625" style="24" bestFit="1" customWidth="1"/>
  </cols>
  <sheetData>
    <row r="1" spans="1:8" ht="24" thickBot="1" x14ac:dyDescent="0.4">
      <c r="A1" s="42" t="s">
        <v>117</v>
      </c>
      <c r="B1" s="46"/>
      <c r="C1" s="46"/>
      <c r="D1" s="47" t="s">
        <v>124</v>
      </c>
      <c r="E1" s="37">
        <f>E9</f>
        <v>15000</v>
      </c>
      <c r="F1" s="22"/>
    </row>
    <row r="2" spans="1:8" s="22" customFormat="1" ht="23.25" thickTop="1" x14ac:dyDescent="0.3">
      <c r="A2" s="42"/>
      <c r="B2" s="42"/>
      <c r="C2" s="24"/>
      <c r="E2" s="24"/>
    </row>
    <row r="3" spans="1:8" ht="15.75" thickBot="1" x14ac:dyDescent="0.3">
      <c r="A3" s="18" t="s">
        <v>2</v>
      </c>
      <c r="B3" s="18"/>
      <c r="C3" s="36" t="s">
        <v>119</v>
      </c>
      <c r="D3" s="26" t="s">
        <v>118</v>
      </c>
      <c r="E3" s="36" t="s">
        <v>120</v>
      </c>
    </row>
    <row r="4" spans="1:8" x14ac:dyDescent="0.25">
      <c r="A4" s="40" t="s">
        <v>113</v>
      </c>
      <c r="B4" s="40"/>
      <c r="C4" s="43">
        <v>10000</v>
      </c>
      <c r="D4" s="39">
        <v>1</v>
      </c>
      <c r="E4" s="43">
        <f>ROUNDDOWN(Total_Seconds/Seconds_in_a_Year/D4, 0)*C4</f>
        <v>10000</v>
      </c>
      <c r="F4" s="39"/>
      <c r="G4" s="39"/>
      <c r="H4" s="39"/>
    </row>
    <row r="5" spans="1:8" x14ac:dyDescent="0.25">
      <c r="A5" s="40" t="s">
        <v>114</v>
      </c>
      <c r="B5" s="40"/>
      <c r="C5" s="43">
        <v>5000</v>
      </c>
      <c r="D5" s="39">
        <v>1</v>
      </c>
      <c r="E5" s="43">
        <f>ROUNDDOWN(Total_Seconds/Seconds_in_a_Year/D5, 0)*C5</f>
        <v>5000</v>
      </c>
      <c r="F5" s="39"/>
      <c r="G5" s="39"/>
      <c r="H5" s="39"/>
    </row>
    <row r="6" spans="1:8" x14ac:dyDescent="0.25">
      <c r="A6" s="40" t="s">
        <v>115</v>
      </c>
      <c r="B6" s="40"/>
      <c r="C6" s="43">
        <v>15000</v>
      </c>
      <c r="D6" s="39">
        <v>5</v>
      </c>
      <c r="E6" s="43">
        <f>ROUNDDOWN(Total_Seconds/Seconds_in_a_Year/D6, 0)*C6</f>
        <v>0</v>
      </c>
      <c r="F6" s="39"/>
      <c r="G6" s="39"/>
      <c r="H6" s="39"/>
    </row>
    <row r="7" spans="1:8" x14ac:dyDescent="0.25">
      <c r="A7" s="40" t="s">
        <v>116</v>
      </c>
      <c r="B7" s="40"/>
      <c r="C7" s="43">
        <v>500000</v>
      </c>
      <c r="D7" s="39">
        <v>10</v>
      </c>
      <c r="E7" s="43">
        <f>ROUNDDOWN(Total_Seconds/Seconds_in_a_Year/D7, 0)*C7</f>
        <v>0</v>
      </c>
      <c r="F7" s="38"/>
      <c r="G7" s="38"/>
      <c r="H7" s="38"/>
    </row>
    <row r="8" spans="1:8" s="22" customFormat="1" x14ac:dyDescent="0.25">
      <c r="A8" s="40"/>
      <c r="B8" s="40"/>
      <c r="C8" s="43"/>
      <c r="D8" s="39"/>
      <c r="E8" s="43"/>
      <c r="F8" s="39"/>
      <c r="G8" s="39"/>
      <c r="H8" s="39"/>
    </row>
    <row r="9" spans="1:8" s="22" customFormat="1" ht="15.75" thickBot="1" x14ac:dyDescent="0.3">
      <c r="C9" s="30"/>
      <c r="D9" s="45" t="s">
        <v>122</v>
      </c>
      <c r="E9" s="30">
        <f>SUM(E4:E7)</f>
        <v>15000</v>
      </c>
      <c r="F9" s="39"/>
      <c r="G9" s="39"/>
      <c r="H9" s="39"/>
    </row>
    <row r="10" spans="1:8" ht="15.75" thickTop="1" x14ac:dyDescent="0.25"/>
    <row r="11" spans="1:8" x14ac:dyDescent="0.25">
      <c r="A11" s="41" t="s">
        <v>121</v>
      </c>
      <c r="B11" s="41"/>
      <c r="C11" s="43"/>
      <c r="D11" s="39"/>
      <c r="E11" s="43"/>
      <c r="F11" s="39"/>
      <c r="G11" s="39"/>
      <c r="H11" s="39"/>
    </row>
    <row r="13" spans="1:8" x14ac:dyDescent="0.25">
      <c r="A13" s="40"/>
      <c r="B13" s="40"/>
      <c r="C13" s="44"/>
      <c r="D13" s="39"/>
      <c r="E13" s="43"/>
      <c r="F13" s="39"/>
      <c r="G13" s="39"/>
      <c r="H13" s="40"/>
    </row>
    <row r="15" spans="1:8" x14ac:dyDescent="0.25">
      <c r="E15" s="43"/>
      <c r="F15" s="39"/>
      <c r="G15" s="39"/>
      <c r="H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R95"/>
  <sheetViews>
    <sheetView tabSelected="1" topLeftCell="A22" workbookViewId="0">
      <selection activeCell="B4" sqref="B4"/>
    </sheetView>
  </sheetViews>
  <sheetFormatPr defaultRowHeight="15" x14ac:dyDescent="0.25"/>
  <cols>
    <col min="1" max="1" width="24.5703125" style="14" customWidth="1"/>
    <col min="2" max="2" width="18.5703125" style="14" bestFit="1" customWidth="1"/>
    <col min="3" max="3" width="7.85546875" style="14" bestFit="1" customWidth="1"/>
    <col min="4" max="8" width="11.140625" style="14" customWidth="1"/>
    <col min="9" max="24" width="11.140625" customWidth="1"/>
    <col min="25" max="33" width="9.7109375" bestFit="1" customWidth="1"/>
    <col min="34" max="44" width="10.5703125" bestFit="1" customWidth="1"/>
  </cols>
  <sheetData>
    <row r="1" spans="1:8" x14ac:dyDescent="0.25">
      <c r="A1" s="16" t="s">
        <v>31</v>
      </c>
      <c r="B1" s="16"/>
    </row>
    <row r="2" spans="1:8" x14ac:dyDescent="0.25">
      <c r="F2" s="15"/>
    </row>
    <row r="3" spans="1:8" s="22" customFormat="1" x14ac:dyDescent="0.25">
      <c r="A3" s="31" t="s">
        <v>125</v>
      </c>
      <c r="B3" s="48">
        <f>autofill!A2</f>
        <v>25569</v>
      </c>
      <c r="C3" s="31"/>
      <c r="D3" s="31"/>
      <c r="E3" s="31"/>
      <c r="F3" s="15"/>
      <c r="G3" s="31"/>
      <c r="H3" s="31"/>
    </row>
    <row r="4" spans="1:8" s="22" customFormat="1" x14ac:dyDescent="0.25">
      <c r="A4" s="31" t="s">
        <v>126</v>
      </c>
      <c r="B4" s="48">
        <f>INDEX(autofill!$A:$A, COUNTA(autofill!$A:$A), 1)</f>
        <v>26254.999988425927</v>
      </c>
      <c r="C4" s="31"/>
      <c r="D4" s="31"/>
      <c r="E4" s="31"/>
      <c r="F4" s="15"/>
      <c r="G4" s="31"/>
      <c r="H4" s="31"/>
    </row>
    <row r="5" spans="1:8" x14ac:dyDescent="0.25">
      <c r="A5" s="31" t="s">
        <v>32</v>
      </c>
      <c r="B5" s="31"/>
    </row>
    <row r="6" spans="1:8" x14ac:dyDescent="0.25">
      <c r="A6" s="31" t="s">
        <v>33</v>
      </c>
      <c r="B6" s="9">
        <f>(Finished_On-Started_On)*86400+1</f>
        <v>59270400.000000082</v>
      </c>
    </row>
    <row r="7" spans="1:8" x14ac:dyDescent="0.25">
      <c r="A7" s="31" t="s">
        <v>34</v>
      </c>
      <c r="B7" s="9">
        <f>Total_Seconds/60</f>
        <v>987840.0000000014</v>
      </c>
    </row>
    <row r="8" spans="1:8" x14ac:dyDescent="0.25">
      <c r="A8" s="31" t="s">
        <v>35</v>
      </c>
      <c r="B8" s="9">
        <f>Total_Minutes/60</f>
        <v>16464.000000000022</v>
      </c>
    </row>
    <row r="9" spans="1:8" x14ac:dyDescent="0.25">
      <c r="A9" s="31" t="s">
        <v>36</v>
      </c>
      <c r="B9" s="9">
        <f>Total_Hours/24</f>
        <v>686.00000000000091</v>
      </c>
    </row>
    <row r="10" spans="1:8" x14ac:dyDescent="0.25">
      <c r="A10" s="31" t="s">
        <v>37</v>
      </c>
      <c r="B10" s="9">
        <f>Total_Days/7</f>
        <v>98.000000000000128</v>
      </c>
      <c r="E10" s="49"/>
      <c r="F10" s="49"/>
    </row>
    <row r="11" spans="1:8" x14ac:dyDescent="0.25">
      <c r="A11" s="31" t="s">
        <v>38</v>
      </c>
      <c r="B11" s="9">
        <f>Total_Days/30</f>
        <v>22.866666666666696</v>
      </c>
    </row>
    <row r="12" spans="1:8" x14ac:dyDescent="0.25">
      <c r="A12" s="31" t="s">
        <v>39</v>
      </c>
      <c r="B12" s="9">
        <f>YEARFRAC(Started_On,Finished_On,1)</f>
        <v>1.8767123287671232</v>
      </c>
    </row>
    <row r="14" spans="1:8" s="22" customFormat="1" x14ac:dyDescent="0.25">
      <c r="A14" s="31" t="s">
        <v>80</v>
      </c>
      <c r="B14" s="6">
        <f>ROUNDDOWN(Total_Seconds/Seconds_in_a_Year,0)</f>
        <v>1</v>
      </c>
      <c r="C14" s="31"/>
      <c r="D14" s="31"/>
      <c r="E14" s="31"/>
      <c r="F14" s="31"/>
      <c r="G14" s="31"/>
      <c r="H14" s="31"/>
    </row>
    <row r="15" spans="1:8" s="22" customFormat="1" x14ac:dyDescent="0.25">
      <c r="A15" s="31" t="s">
        <v>81</v>
      </c>
      <c r="B15">
        <f>ROUNDDOWN((Total_Seconds-Leftover_Years_Run*Seconds_in_a_Year)/Seconds_in_a_Month__30d,0)</f>
        <v>10</v>
      </c>
      <c r="C15" s="31"/>
      <c r="D15" s="31"/>
      <c r="E15" s="31"/>
      <c r="F15" s="31"/>
      <c r="G15" s="31"/>
      <c r="H15" s="31"/>
    </row>
    <row r="16" spans="1:8" s="22" customFormat="1" x14ac:dyDescent="0.25">
      <c r="A16" s="31" t="s">
        <v>82</v>
      </c>
      <c r="B16">
        <f>ROUNDDOWN((Total_Seconds-(Leftover_Months_Run*Seconds_in_a_Month__30d+Leftover_Years_Run*Seconds_in_a_Year))/Seconds_in_a_day,0)</f>
        <v>21</v>
      </c>
      <c r="C16" s="31"/>
      <c r="D16" s="31"/>
      <c r="E16" s="31"/>
      <c r="F16" s="31"/>
      <c r="G16" s="31"/>
      <c r="H16" s="31"/>
    </row>
    <row r="17" spans="1:44" s="22" customFormat="1" x14ac:dyDescent="0.25">
      <c r="A17" s="31" t="s">
        <v>83</v>
      </c>
      <c r="B17" s="31">
        <f>ROUNDDOWN((Total_Seconds-(Leftover_Years_Run*Seconds_in_a_Year+Leftover_Months_Run*Seconds_in_a_Month__30d+Leftover_Days_Run*Seconds_in_a_day))/Seconds_in_an_hour,0)</f>
        <v>0</v>
      </c>
      <c r="C17" s="31"/>
      <c r="D17" s="31"/>
      <c r="E17" s="31"/>
      <c r="F17" s="31"/>
      <c r="G17" s="31"/>
      <c r="H17" s="31"/>
    </row>
    <row r="18" spans="1:44" s="22" customFormat="1" x14ac:dyDescent="0.25">
      <c r="A18" s="31" t="s">
        <v>84</v>
      </c>
      <c r="B18" s="31"/>
      <c r="C18" s="31"/>
      <c r="D18" s="31"/>
      <c r="E18" s="31"/>
      <c r="F18" s="31"/>
      <c r="G18" s="31"/>
      <c r="H18" s="31"/>
    </row>
    <row r="19" spans="1:44" s="22" customFormat="1" x14ac:dyDescent="0.25">
      <c r="A19" s="31" t="s">
        <v>85</v>
      </c>
      <c r="B19" s="31"/>
      <c r="C19" s="31"/>
      <c r="D19" s="31"/>
      <c r="E19" s="31"/>
      <c r="F19" s="31"/>
      <c r="G19" s="31"/>
      <c r="H19" s="31"/>
    </row>
    <row r="20" spans="1:44" s="22" customFormat="1" x14ac:dyDescent="0.25">
      <c r="A20" s="31"/>
      <c r="B20" s="31"/>
      <c r="C20" s="31"/>
      <c r="D20" s="31"/>
      <c r="E20" s="31"/>
      <c r="F20" s="31"/>
      <c r="G20" s="31"/>
      <c r="H20" s="31"/>
    </row>
    <row r="21" spans="1:44" x14ac:dyDescent="0.25">
      <c r="A21" s="14" t="s">
        <v>40</v>
      </c>
      <c r="B21" s="14">
        <f>60*60</f>
        <v>3600</v>
      </c>
    </row>
    <row r="22" spans="1:44" x14ac:dyDescent="0.25">
      <c r="A22" s="14" t="s">
        <v>41</v>
      </c>
      <c r="B22" s="14">
        <f>60*60*24</f>
        <v>86400</v>
      </c>
    </row>
    <row r="23" spans="1:44" x14ac:dyDescent="0.25">
      <c r="A23" s="14" t="s">
        <v>42</v>
      </c>
      <c r="B23" s="14">
        <f>60*60*24*7</f>
        <v>604800</v>
      </c>
    </row>
    <row r="24" spans="1:44" x14ac:dyDescent="0.25">
      <c r="A24" s="14" t="s">
        <v>43</v>
      </c>
      <c r="B24" s="14">
        <f>60*60*24*30</f>
        <v>2592000</v>
      </c>
    </row>
    <row r="25" spans="1:44" x14ac:dyDescent="0.25">
      <c r="A25" s="14" t="s">
        <v>44</v>
      </c>
      <c r="B25" s="14">
        <f>60*60*24*365</f>
        <v>31536000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44" x14ac:dyDescent="0.25">
      <c r="E26" s="49"/>
      <c r="F26" s="49"/>
      <c r="G26" s="49"/>
      <c r="H26" s="49"/>
      <c r="I26" s="49"/>
      <c r="J26" s="49"/>
      <c r="K26" s="49"/>
      <c r="L26" s="49"/>
      <c r="M26" s="49"/>
    </row>
    <row r="27" spans="1:44" x14ac:dyDescent="0.25">
      <c r="A27" s="14" t="s">
        <v>45</v>
      </c>
      <c r="E27" s="49"/>
      <c r="F27" s="49"/>
      <c r="G27" s="49"/>
      <c r="H27" s="49"/>
      <c r="I27" s="49"/>
      <c r="J27" s="49"/>
      <c r="K27" s="49"/>
      <c r="L27" s="49"/>
      <c r="M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s="22" customFormat="1" x14ac:dyDescent="0.25">
      <c r="A28" s="31" t="s">
        <v>129</v>
      </c>
      <c r="B28" s="31">
        <f>COUNTA(autofill!A:A)</f>
        <v>100</v>
      </c>
      <c r="C28" s="31"/>
      <c r="D28" s="31"/>
      <c r="E28" s="31"/>
      <c r="F28" s="31"/>
      <c r="G28" s="31"/>
      <c r="H28" s="31"/>
    </row>
    <row r="29" spans="1:44" s="22" customFormat="1" x14ac:dyDescent="0.25">
      <c r="A29" s="31" t="s">
        <v>100</v>
      </c>
      <c r="B29" s="31" t="s">
        <v>101</v>
      </c>
      <c r="C29" s="31" t="s">
        <v>128</v>
      </c>
      <c r="D29" s="31" t="s">
        <v>127</v>
      </c>
      <c r="E29" s="31" t="s">
        <v>150</v>
      </c>
      <c r="F29" s="31" t="s">
        <v>151</v>
      </c>
      <c r="G29" s="31" t="s">
        <v>152</v>
      </c>
      <c r="H29" s="31" t="s">
        <v>153</v>
      </c>
      <c r="I29" s="31" t="s">
        <v>154</v>
      </c>
      <c r="J29" s="31" t="s">
        <v>155</v>
      </c>
      <c r="K29" s="31" t="s">
        <v>156</v>
      </c>
      <c r="L29" s="31" t="s">
        <v>157</v>
      </c>
      <c r="M29" s="31" t="s">
        <v>158</v>
      </c>
      <c r="N29" s="31" t="s">
        <v>159</v>
      </c>
      <c r="O29" s="31" t="s">
        <v>160</v>
      </c>
      <c r="P29" s="31" t="s">
        <v>161</v>
      </c>
      <c r="Q29" s="31" t="s">
        <v>162</v>
      </c>
      <c r="R29" s="31" t="s">
        <v>163</v>
      </c>
      <c r="S29" s="31" t="s">
        <v>164</v>
      </c>
      <c r="T29" s="31" t="s">
        <v>165</v>
      </c>
      <c r="U29" s="31" t="s">
        <v>166</v>
      </c>
      <c r="V29" s="31" t="s">
        <v>167</v>
      </c>
      <c r="W29" s="31" t="s">
        <v>168</v>
      </c>
      <c r="X29" s="31" t="s">
        <v>169</v>
      </c>
      <c r="Y29" s="31" t="s">
        <v>130</v>
      </c>
      <c r="Z29" s="31" t="s">
        <v>131</v>
      </c>
      <c r="AA29" s="31" t="s">
        <v>132</v>
      </c>
      <c r="AB29" s="31" t="s">
        <v>133</v>
      </c>
      <c r="AC29" s="31" t="s">
        <v>134</v>
      </c>
      <c r="AD29" s="31" t="s">
        <v>135</v>
      </c>
      <c r="AE29" s="31" t="s">
        <v>136</v>
      </c>
      <c r="AF29" s="31" t="s">
        <v>137</v>
      </c>
      <c r="AG29" s="31" t="s">
        <v>138</v>
      </c>
      <c r="AH29" s="31" t="s">
        <v>139</v>
      </c>
      <c r="AI29" s="31" t="s">
        <v>140</v>
      </c>
      <c r="AJ29" s="31" t="s">
        <v>141</v>
      </c>
      <c r="AK29" s="31" t="s">
        <v>142</v>
      </c>
      <c r="AL29" s="31" t="s">
        <v>143</v>
      </c>
      <c r="AM29" s="31" t="s">
        <v>144</v>
      </c>
      <c r="AN29" s="31" t="s">
        <v>145</v>
      </c>
      <c r="AO29" s="31" t="s">
        <v>146</v>
      </c>
      <c r="AP29" s="31" t="s">
        <v>147</v>
      </c>
      <c r="AQ29" s="31" t="s">
        <v>148</v>
      </c>
      <c r="AR29" s="31" t="s">
        <v>149</v>
      </c>
    </row>
    <row r="30" spans="1:44" x14ac:dyDescent="0.25">
      <c r="A30" s="14" t="s">
        <v>12</v>
      </c>
      <c r="B30" s="14" t="s">
        <v>46</v>
      </c>
      <c r="C30" s="14">
        <f>MATCH(A30,autofill!$1:$1,0)</f>
        <v>2</v>
      </c>
      <c r="D30" s="50">
        <f ca="1" xml:space="preserve"> INDEX(OFFSET(autofill!A:A,0,C30-1), Last_Data_Row, 1)</f>
        <v>16630.983611111111</v>
      </c>
      <c r="E30" s="31">
        <f>Y30</f>
        <v>8902.9836111111108</v>
      </c>
      <c r="F30" s="31">
        <f>MAX(Z30-Y30,0)</f>
        <v>7728</v>
      </c>
      <c r="G30" s="31">
        <f t="shared" ref="G30:X30" si="0">MAX(AA30-Z30,0)</f>
        <v>0</v>
      </c>
      <c r="H30" s="31">
        <f t="shared" si="0"/>
        <v>0</v>
      </c>
      <c r="I30" s="31">
        <f t="shared" si="0"/>
        <v>0</v>
      </c>
      <c r="J30" s="31">
        <f t="shared" si="0"/>
        <v>0</v>
      </c>
      <c r="K30" s="31">
        <f t="shared" si="0"/>
        <v>0</v>
      </c>
      <c r="L30" s="31">
        <f t="shared" si="0"/>
        <v>0</v>
      </c>
      <c r="M30" s="31">
        <f t="shared" si="0"/>
        <v>0</v>
      </c>
      <c r="N30" s="31">
        <f t="shared" si="0"/>
        <v>0</v>
      </c>
      <c r="O30" s="31">
        <f t="shared" si="0"/>
        <v>0</v>
      </c>
      <c r="P30" s="31">
        <f t="shared" si="0"/>
        <v>0</v>
      </c>
      <c r="Q30" s="31">
        <f t="shared" si="0"/>
        <v>0</v>
      </c>
      <c r="R30" s="31">
        <f t="shared" si="0"/>
        <v>0</v>
      </c>
      <c r="S30" s="31">
        <f t="shared" si="0"/>
        <v>0</v>
      </c>
      <c r="T30" s="31">
        <f t="shared" si="0"/>
        <v>0</v>
      </c>
      <c r="U30" s="31">
        <f t="shared" si="0"/>
        <v>0</v>
      </c>
      <c r="V30" s="31">
        <f t="shared" si="0"/>
        <v>0</v>
      </c>
      <c r="W30" s="31">
        <f t="shared" si="0"/>
        <v>0</v>
      </c>
      <c r="X30" s="31">
        <f t="shared" si="0"/>
        <v>0</v>
      </c>
      <c r="Y30" s="31">
        <f>DMAX(autofill!$1:$1048576,$A30,RangeYear1)</f>
        <v>8902.9836111111108</v>
      </c>
      <c r="Z30" s="31">
        <f>DMAX(autofill!$1:$1048576,$A30,RangeYear2)</f>
        <v>16630.983611111111</v>
      </c>
      <c r="AA30" s="31">
        <f>DMAX(autofill!$1:$1048576,$A30,RangeYear3)</f>
        <v>0</v>
      </c>
      <c r="AB30" s="31">
        <f>DMAX(autofill!$1:$1048576,$A30,RangeYear4)</f>
        <v>0</v>
      </c>
      <c r="AC30" s="31">
        <f>DMAX(autofill!$1:$1048576,$A30,RangeYear5)</f>
        <v>0</v>
      </c>
      <c r="AD30" s="31">
        <f>DMAX(autofill!$1:$1048576,$A30,RangeYear6)</f>
        <v>0</v>
      </c>
      <c r="AE30" s="31">
        <f>DMAX(autofill!$1:$1048576,$A30,RangeYear7)</f>
        <v>0</v>
      </c>
      <c r="AF30" s="31">
        <f>DMAX(autofill!$1:$1048576,$A30,RangeYear8)</f>
        <v>0</v>
      </c>
      <c r="AG30" s="31">
        <f>DMAX(autofill!$1:$1048576,$A30,RangeYear9)</f>
        <v>0</v>
      </c>
      <c r="AH30" s="31">
        <f>DMAX(autofill!$1:$1048576,$A30,RangeYear10)</f>
        <v>0</v>
      </c>
      <c r="AI30" s="31">
        <f>DMAX(autofill!$1:$1048576,$A30,RangeYear11)</f>
        <v>0</v>
      </c>
      <c r="AJ30" s="31">
        <f>DMAX(autofill!$1:$1048576,$A30,RangeYear12)</f>
        <v>0</v>
      </c>
      <c r="AK30" s="31">
        <f>DMAX(autofill!$1:$1048576,$A30,RangeYear13)</f>
        <v>0</v>
      </c>
      <c r="AL30" s="31">
        <f>DMAX(autofill!$1:$1048576,$A30,RangeYear14)</f>
        <v>0</v>
      </c>
      <c r="AM30" s="31">
        <f>DMAX(autofill!$1:$1048576,$A30,RangeYear15)</f>
        <v>0</v>
      </c>
      <c r="AN30" s="31">
        <f>DMAX(autofill!$1:$1048576,$A30,RangeYear16)</f>
        <v>0</v>
      </c>
      <c r="AO30" s="31">
        <f>DMAX(autofill!$1:$1048576,$A30,RangeYear17)</f>
        <v>0</v>
      </c>
      <c r="AP30" s="31">
        <f>DMAX(autofill!$1:$1048576,$A30,RangeYear18)</f>
        <v>0</v>
      </c>
      <c r="AQ30" s="31">
        <f>DMAX(autofill!$1:$1048576,$A30,RangeYear19)</f>
        <v>0</v>
      </c>
      <c r="AR30" s="31">
        <f>DMAX(autofill!$1:$1048576,$A30,RangeYear20)</f>
        <v>0</v>
      </c>
    </row>
    <row r="31" spans="1:44" x14ac:dyDescent="0.25">
      <c r="A31" s="14" t="s">
        <v>13</v>
      </c>
      <c r="B31" s="14" t="s">
        <v>53</v>
      </c>
      <c r="C31" s="31">
        <f>MATCH(A31,autofill!$1:$1,0)</f>
        <v>3</v>
      </c>
      <c r="D31" s="50">
        <f ca="1" xml:space="preserve"> INDEX(OFFSET(autofill!A:A,0,C31-1), Last_Data_Row, 1)</f>
        <v>16613.077499999999</v>
      </c>
      <c r="E31" s="31">
        <f t="shared" ref="E31:E53" si="1">Y31</f>
        <v>8885.0774999999994</v>
      </c>
      <c r="F31" s="31">
        <f t="shared" ref="F31:F53" si="2">MAX(Z31-Y31,0)</f>
        <v>7728</v>
      </c>
      <c r="G31" s="31">
        <f t="shared" ref="G31:G53" si="3">MAX(AA31-Z31,0)</f>
        <v>0</v>
      </c>
      <c r="H31" s="31">
        <f t="shared" ref="H31:H53" si="4">MAX(AB31-AA31,0)</f>
        <v>0</v>
      </c>
      <c r="I31" s="31">
        <f t="shared" ref="I31:I53" si="5">MAX(AC31-AB31,0)</f>
        <v>0</v>
      </c>
      <c r="J31" s="31">
        <f t="shared" ref="J31:J53" si="6">MAX(AD31-AC31,0)</f>
        <v>0</v>
      </c>
      <c r="K31" s="31">
        <f t="shared" ref="K31:K53" si="7">MAX(AE31-AD31,0)</f>
        <v>0</v>
      </c>
      <c r="L31" s="31">
        <f t="shared" ref="L31:L53" si="8">MAX(AF31-AE31,0)</f>
        <v>0</v>
      </c>
      <c r="M31" s="31">
        <f t="shared" ref="M31:M53" si="9">MAX(AG31-AF31,0)</f>
        <v>0</v>
      </c>
      <c r="N31" s="31">
        <f t="shared" ref="N31:N53" si="10">MAX(AH31-AG31,0)</f>
        <v>0</v>
      </c>
      <c r="O31" s="31">
        <f t="shared" ref="O31:O53" si="11">MAX(AI31-AH31,0)</f>
        <v>0</v>
      </c>
      <c r="P31" s="31">
        <f t="shared" ref="P31:P53" si="12">MAX(AJ31-AI31,0)</f>
        <v>0</v>
      </c>
      <c r="Q31" s="31">
        <f t="shared" ref="Q31:Q53" si="13">MAX(AK31-AJ31,0)</f>
        <v>0</v>
      </c>
      <c r="R31" s="31">
        <f t="shared" ref="R31:R53" si="14">MAX(AL31-AK31,0)</f>
        <v>0</v>
      </c>
      <c r="S31" s="31">
        <f t="shared" ref="S31:S53" si="15">MAX(AM31-AL31,0)</f>
        <v>0</v>
      </c>
      <c r="T31" s="31">
        <f t="shared" ref="T31:T53" si="16">MAX(AN31-AM31,0)</f>
        <v>0</v>
      </c>
      <c r="U31" s="31">
        <f t="shared" ref="U31:U53" si="17">MAX(AO31-AN31,0)</f>
        <v>0</v>
      </c>
      <c r="V31" s="31">
        <f t="shared" ref="V31:V53" si="18">MAX(AP31-AO31,0)</f>
        <v>0</v>
      </c>
      <c r="W31" s="31">
        <f t="shared" ref="W31:W53" si="19">MAX(AQ31-AP31,0)</f>
        <v>0</v>
      </c>
      <c r="X31" s="31">
        <f t="shared" ref="X31:X53" si="20">MAX(AR31-AQ31,0)</f>
        <v>0</v>
      </c>
      <c r="Y31" s="31">
        <f>DMAX(autofill!$1:$1048576,$A31,RangeYear1)</f>
        <v>8885.0774999999994</v>
      </c>
      <c r="Z31" s="31">
        <f>DMAX(autofill!$1:$1048576,$A31,RangeYear2)</f>
        <v>16613.077499999999</v>
      </c>
      <c r="AA31" s="31">
        <f>DMAX(autofill!$1:$1048576,$A31,RangeYear3)</f>
        <v>0</v>
      </c>
      <c r="AB31" s="31">
        <f>DMAX(autofill!$1:$1048576,$A31,RangeYear4)</f>
        <v>0</v>
      </c>
      <c r="AC31" s="31">
        <f>DMAX(autofill!$1:$1048576,$A31,RangeYear5)</f>
        <v>0</v>
      </c>
      <c r="AD31" s="31">
        <f>DMAX(autofill!$1:$1048576,$A31,RangeYear6)</f>
        <v>0</v>
      </c>
      <c r="AE31" s="31">
        <f>DMAX(autofill!$1:$1048576,$A31,RangeYear7)</f>
        <v>0</v>
      </c>
      <c r="AF31" s="31">
        <f>DMAX(autofill!$1:$1048576,$A31,RangeYear8)</f>
        <v>0</v>
      </c>
      <c r="AG31" s="31">
        <f>DMAX(autofill!$1:$1048576,$A31,RangeYear9)</f>
        <v>0</v>
      </c>
      <c r="AH31" s="31">
        <f>DMAX(autofill!$1:$1048576,$A31,RangeYear10)</f>
        <v>0</v>
      </c>
      <c r="AI31" s="31">
        <f>DMAX(autofill!$1:$1048576,$A31,RangeYear11)</f>
        <v>0</v>
      </c>
      <c r="AJ31" s="31">
        <f>DMAX(autofill!$1:$1048576,$A31,RangeYear12)</f>
        <v>0</v>
      </c>
      <c r="AK31" s="31">
        <f>DMAX(autofill!$1:$1048576,$A31,RangeYear13)</f>
        <v>0</v>
      </c>
      <c r="AL31" s="31">
        <f>DMAX(autofill!$1:$1048576,$A31,RangeYear14)</f>
        <v>0</v>
      </c>
      <c r="AM31" s="31">
        <f>DMAX(autofill!$1:$1048576,$A31,RangeYear15)</f>
        <v>0</v>
      </c>
      <c r="AN31" s="31">
        <f>DMAX(autofill!$1:$1048576,$A31,RangeYear16)</f>
        <v>0</v>
      </c>
      <c r="AO31" s="31">
        <f>DMAX(autofill!$1:$1048576,$A31,RangeYear17)</f>
        <v>0</v>
      </c>
      <c r="AP31" s="31">
        <f>DMAX(autofill!$1:$1048576,$A31,RangeYear18)</f>
        <v>0</v>
      </c>
      <c r="AQ31" s="31">
        <f>DMAX(autofill!$1:$1048576,$A31,RangeYear19)</f>
        <v>0</v>
      </c>
      <c r="AR31" s="31">
        <f>DMAX(autofill!$1:$1048576,$A31,RangeYear20)</f>
        <v>0</v>
      </c>
    </row>
    <row r="32" spans="1:44" x14ac:dyDescent="0.25">
      <c r="A32" s="14" t="s">
        <v>14</v>
      </c>
      <c r="B32" s="14" t="s">
        <v>47</v>
      </c>
      <c r="C32" s="31">
        <f>MATCH(A32,autofill!$1:$1,0)</f>
        <v>4</v>
      </c>
      <c r="D32" s="50">
        <f ca="1" xml:space="preserve"> INDEX(OFFSET(autofill!A:A,0,C32-1), Last_Data_Row, 1)</f>
        <v>16585.793888888889</v>
      </c>
      <c r="E32" s="31">
        <f t="shared" si="1"/>
        <v>8857.7938888888893</v>
      </c>
      <c r="F32" s="31">
        <f t="shared" si="2"/>
        <v>7728</v>
      </c>
      <c r="G32" s="31">
        <f t="shared" si="3"/>
        <v>0</v>
      </c>
      <c r="H32" s="31">
        <f t="shared" si="4"/>
        <v>0</v>
      </c>
      <c r="I32" s="31">
        <f t="shared" si="5"/>
        <v>0</v>
      </c>
      <c r="J32" s="31">
        <f t="shared" si="6"/>
        <v>0</v>
      </c>
      <c r="K32" s="31">
        <f t="shared" si="7"/>
        <v>0</v>
      </c>
      <c r="L32" s="31">
        <f t="shared" si="8"/>
        <v>0</v>
      </c>
      <c r="M32" s="31">
        <f t="shared" si="9"/>
        <v>0</v>
      </c>
      <c r="N32" s="31">
        <f t="shared" si="10"/>
        <v>0</v>
      </c>
      <c r="O32" s="31">
        <f t="shared" si="11"/>
        <v>0</v>
      </c>
      <c r="P32" s="31">
        <f t="shared" si="12"/>
        <v>0</v>
      </c>
      <c r="Q32" s="31">
        <f t="shared" si="13"/>
        <v>0</v>
      </c>
      <c r="R32" s="31">
        <f t="shared" si="14"/>
        <v>0</v>
      </c>
      <c r="S32" s="31">
        <f t="shared" si="15"/>
        <v>0</v>
      </c>
      <c r="T32" s="31">
        <f t="shared" si="16"/>
        <v>0</v>
      </c>
      <c r="U32" s="31">
        <f t="shared" si="17"/>
        <v>0</v>
      </c>
      <c r="V32" s="31">
        <f t="shared" si="18"/>
        <v>0</v>
      </c>
      <c r="W32" s="31">
        <f t="shared" si="19"/>
        <v>0</v>
      </c>
      <c r="X32" s="31">
        <f t="shared" si="20"/>
        <v>0</v>
      </c>
      <c r="Y32" s="31">
        <f>DMAX(autofill!$1:$1048576,$A32,RangeYear1)</f>
        <v>8857.7938888888893</v>
      </c>
      <c r="Z32" s="31">
        <f>DMAX(autofill!$1:$1048576,$A32,RangeYear2)</f>
        <v>16585.793888888889</v>
      </c>
      <c r="AA32" s="31">
        <f>DMAX(autofill!$1:$1048576,$A32,RangeYear3)</f>
        <v>0</v>
      </c>
      <c r="AB32" s="31">
        <f>DMAX(autofill!$1:$1048576,$A32,RangeYear4)</f>
        <v>0</v>
      </c>
      <c r="AC32" s="31">
        <f>DMAX(autofill!$1:$1048576,$A32,RangeYear5)</f>
        <v>0</v>
      </c>
      <c r="AD32" s="31">
        <f>DMAX(autofill!$1:$1048576,$A32,RangeYear6)</f>
        <v>0</v>
      </c>
      <c r="AE32" s="31">
        <f>DMAX(autofill!$1:$1048576,$A32,RangeYear7)</f>
        <v>0</v>
      </c>
      <c r="AF32" s="31">
        <f>DMAX(autofill!$1:$1048576,$A32,RangeYear8)</f>
        <v>0</v>
      </c>
      <c r="AG32" s="31">
        <f>DMAX(autofill!$1:$1048576,$A32,RangeYear9)</f>
        <v>0</v>
      </c>
      <c r="AH32" s="31">
        <f>DMAX(autofill!$1:$1048576,$A32,RangeYear10)</f>
        <v>0</v>
      </c>
      <c r="AI32" s="31">
        <f>DMAX(autofill!$1:$1048576,$A32,RangeYear11)</f>
        <v>0</v>
      </c>
      <c r="AJ32" s="31">
        <f>DMAX(autofill!$1:$1048576,$A32,RangeYear12)</f>
        <v>0</v>
      </c>
      <c r="AK32" s="31">
        <f>DMAX(autofill!$1:$1048576,$A32,RangeYear13)</f>
        <v>0</v>
      </c>
      <c r="AL32" s="31">
        <f>DMAX(autofill!$1:$1048576,$A32,RangeYear14)</f>
        <v>0</v>
      </c>
      <c r="AM32" s="31">
        <f>DMAX(autofill!$1:$1048576,$A32,RangeYear15)</f>
        <v>0</v>
      </c>
      <c r="AN32" s="31">
        <f>DMAX(autofill!$1:$1048576,$A32,RangeYear16)</f>
        <v>0</v>
      </c>
      <c r="AO32" s="31">
        <f>DMAX(autofill!$1:$1048576,$A32,RangeYear17)</f>
        <v>0</v>
      </c>
      <c r="AP32" s="31">
        <f>DMAX(autofill!$1:$1048576,$A32,RangeYear18)</f>
        <v>0</v>
      </c>
      <c r="AQ32" s="31">
        <f>DMAX(autofill!$1:$1048576,$A32,RangeYear19)</f>
        <v>0</v>
      </c>
      <c r="AR32" s="31">
        <f>DMAX(autofill!$1:$1048576,$A32,RangeYear20)</f>
        <v>0</v>
      </c>
    </row>
    <row r="33" spans="1:44" x14ac:dyDescent="0.25">
      <c r="A33" s="14" t="s">
        <v>15</v>
      </c>
      <c r="B33" s="14" t="s">
        <v>48</v>
      </c>
      <c r="C33" s="31">
        <f>MATCH(A33,autofill!$1:$1,0)</f>
        <v>5</v>
      </c>
      <c r="D33" s="50">
        <f ca="1" xml:space="preserve"> INDEX(OFFSET(autofill!A:A,0,C33-1), Last_Data_Row, 1)</f>
        <v>21.074722222222221</v>
      </c>
      <c r="E33" s="31">
        <f t="shared" si="1"/>
        <v>21.074722222222221</v>
      </c>
      <c r="F33" s="31">
        <f t="shared" si="2"/>
        <v>0</v>
      </c>
      <c r="G33" s="31">
        <f t="shared" si="3"/>
        <v>0</v>
      </c>
      <c r="H33" s="31">
        <f t="shared" si="4"/>
        <v>0</v>
      </c>
      <c r="I33" s="31">
        <f t="shared" si="5"/>
        <v>0</v>
      </c>
      <c r="J33" s="31">
        <f t="shared" si="6"/>
        <v>0</v>
      </c>
      <c r="K33" s="31">
        <f t="shared" si="7"/>
        <v>0</v>
      </c>
      <c r="L33" s="31">
        <f t="shared" si="8"/>
        <v>0</v>
      </c>
      <c r="M33" s="31">
        <f t="shared" si="9"/>
        <v>0</v>
      </c>
      <c r="N33" s="31">
        <f t="shared" si="10"/>
        <v>0</v>
      </c>
      <c r="O33" s="31">
        <f t="shared" si="11"/>
        <v>0</v>
      </c>
      <c r="P33" s="31">
        <f t="shared" si="12"/>
        <v>0</v>
      </c>
      <c r="Q33" s="31">
        <f t="shared" si="13"/>
        <v>0</v>
      </c>
      <c r="R33" s="31">
        <f t="shared" si="14"/>
        <v>0</v>
      </c>
      <c r="S33" s="31">
        <f t="shared" si="15"/>
        <v>0</v>
      </c>
      <c r="T33" s="31">
        <f t="shared" si="16"/>
        <v>0</v>
      </c>
      <c r="U33" s="31">
        <f t="shared" si="17"/>
        <v>0</v>
      </c>
      <c r="V33" s="31">
        <f t="shared" si="18"/>
        <v>0</v>
      </c>
      <c r="W33" s="31">
        <f t="shared" si="19"/>
        <v>0</v>
      </c>
      <c r="X33" s="31">
        <f t="shared" si="20"/>
        <v>0</v>
      </c>
      <c r="Y33" s="31">
        <f>DMAX(autofill!$1:$1048576,$A33,RangeYear1)</f>
        <v>21.074722222222221</v>
      </c>
      <c r="Z33" s="31">
        <f>DMAX(autofill!$1:$1048576,$A33,RangeYear2)</f>
        <v>21.074722222222221</v>
      </c>
      <c r="AA33" s="31">
        <f>DMAX(autofill!$1:$1048576,$A33,RangeYear3)</f>
        <v>0</v>
      </c>
      <c r="AB33" s="31">
        <f>DMAX(autofill!$1:$1048576,$A33,RangeYear4)</f>
        <v>0</v>
      </c>
      <c r="AC33" s="31">
        <f>DMAX(autofill!$1:$1048576,$A33,RangeYear5)</f>
        <v>0</v>
      </c>
      <c r="AD33" s="31">
        <f>DMAX(autofill!$1:$1048576,$A33,RangeYear6)</f>
        <v>0</v>
      </c>
      <c r="AE33" s="31">
        <f>DMAX(autofill!$1:$1048576,$A33,RangeYear7)</f>
        <v>0</v>
      </c>
      <c r="AF33" s="31">
        <f>DMAX(autofill!$1:$1048576,$A33,RangeYear8)</f>
        <v>0</v>
      </c>
      <c r="AG33" s="31">
        <f>DMAX(autofill!$1:$1048576,$A33,RangeYear9)</f>
        <v>0</v>
      </c>
      <c r="AH33" s="31">
        <f>DMAX(autofill!$1:$1048576,$A33,RangeYear10)</f>
        <v>0</v>
      </c>
      <c r="AI33" s="31">
        <f>DMAX(autofill!$1:$1048576,$A33,RangeYear11)</f>
        <v>0</v>
      </c>
      <c r="AJ33" s="31">
        <f>DMAX(autofill!$1:$1048576,$A33,RangeYear12)</f>
        <v>0</v>
      </c>
      <c r="AK33" s="31">
        <f>DMAX(autofill!$1:$1048576,$A33,RangeYear13)</f>
        <v>0</v>
      </c>
      <c r="AL33" s="31">
        <f>DMAX(autofill!$1:$1048576,$A33,RangeYear14)</f>
        <v>0</v>
      </c>
      <c r="AM33" s="31">
        <f>DMAX(autofill!$1:$1048576,$A33,RangeYear15)</f>
        <v>0</v>
      </c>
      <c r="AN33" s="31">
        <f>DMAX(autofill!$1:$1048576,$A33,RangeYear16)</f>
        <v>0</v>
      </c>
      <c r="AO33" s="31">
        <f>DMAX(autofill!$1:$1048576,$A33,RangeYear17)</f>
        <v>0</v>
      </c>
      <c r="AP33" s="31">
        <f>DMAX(autofill!$1:$1048576,$A33,RangeYear18)</f>
        <v>0</v>
      </c>
      <c r="AQ33" s="31">
        <f>DMAX(autofill!$1:$1048576,$A33,RangeYear19)</f>
        <v>0</v>
      </c>
      <c r="AR33" s="31">
        <f>DMAX(autofill!$1:$1048576,$A33,RangeYear20)</f>
        <v>0</v>
      </c>
    </row>
    <row r="34" spans="1:44" x14ac:dyDescent="0.25">
      <c r="A34" s="14" t="s">
        <v>16</v>
      </c>
      <c r="B34" s="14" t="s">
        <v>49</v>
      </c>
      <c r="C34" s="31">
        <f>MATCH(A34,autofill!$1:$1,0)</f>
        <v>6</v>
      </c>
      <c r="D34" s="50">
        <f ca="1" xml:space="preserve"> INDEX(OFFSET(autofill!A:A,0,C34-1), Last_Data_Row, 1)</f>
        <v>9.9877777777777776</v>
      </c>
      <c r="E34" s="31">
        <f t="shared" si="1"/>
        <v>9.9877777777777776</v>
      </c>
      <c r="F34" s="31">
        <f t="shared" si="2"/>
        <v>0</v>
      </c>
      <c r="G34" s="31">
        <f t="shared" si="3"/>
        <v>0</v>
      </c>
      <c r="H34" s="31">
        <f t="shared" si="4"/>
        <v>0</v>
      </c>
      <c r="I34" s="31">
        <f t="shared" si="5"/>
        <v>0</v>
      </c>
      <c r="J34" s="31">
        <f t="shared" si="6"/>
        <v>0</v>
      </c>
      <c r="K34" s="31">
        <f t="shared" si="7"/>
        <v>0</v>
      </c>
      <c r="L34" s="31">
        <f t="shared" si="8"/>
        <v>0</v>
      </c>
      <c r="M34" s="31">
        <f t="shared" si="9"/>
        <v>0</v>
      </c>
      <c r="N34" s="31">
        <f t="shared" si="10"/>
        <v>0</v>
      </c>
      <c r="O34" s="31">
        <f t="shared" si="11"/>
        <v>0</v>
      </c>
      <c r="P34" s="31">
        <f t="shared" si="12"/>
        <v>0</v>
      </c>
      <c r="Q34" s="31">
        <f t="shared" si="13"/>
        <v>0</v>
      </c>
      <c r="R34" s="31">
        <f t="shared" si="14"/>
        <v>0</v>
      </c>
      <c r="S34" s="31">
        <f t="shared" si="15"/>
        <v>0</v>
      </c>
      <c r="T34" s="31">
        <f t="shared" si="16"/>
        <v>0</v>
      </c>
      <c r="U34" s="31">
        <f t="shared" si="17"/>
        <v>0</v>
      </c>
      <c r="V34" s="31">
        <f t="shared" si="18"/>
        <v>0</v>
      </c>
      <c r="W34" s="31">
        <f t="shared" si="19"/>
        <v>0</v>
      </c>
      <c r="X34" s="31">
        <f t="shared" si="20"/>
        <v>0</v>
      </c>
      <c r="Y34" s="31">
        <f>DMAX(autofill!$1:$1048576,$A34,RangeYear1)</f>
        <v>9.9877777777777776</v>
      </c>
      <c r="Z34" s="31">
        <f>DMAX(autofill!$1:$1048576,$A34,RangeYear2)</f>
        <v>9.9877777777777776</v>
      </c>
      <c r="AA34" s="31">
        <f>DMAX(autofill!$1:$1048576,$A34,RangeYear3)</f>
        <v>0</v>
      </c>
      <c r="AB34" s="31">
        <f>DMAX(autofill!$1:$1048576,$A34,RangeYear4)</f>
        <v>0</v>
      </c>
      <c r="AC34" s="31">
        <f>DMAX(autofill!$1:$1048576,$A34,RangeYear5)</f>
        <v>0</v>
      </c>
      <c r="AD34" s="31">
        <f>DMAX(autofill!$1:$1048576,$A34,RangeYear6)</f>
        <v>0</v>
      </c>
      <c r="AE34" s="31">
        <f>DMAX(autofill!$1:$1048576,$A34,RangeYear7)</f>
        <v>0</v>
      </c>
      <c r="AF34" s="31">
        <f>DMAX(autofill!$1:$1048576,$A34,RangeYear8)</f>
        <v>0</v>
      </c>
      <c r="AG34" s="31">
        <f>DMAX(autofill!$1:$1048576,$A34,RangeYear9)</f>
        <v>0</v>
      </c>
      <c r="AH34" s="31">
        <f>DMAX(autofill!$1:$1048576,$A34,RangeYear10)</f>
        <v>0</v>
      </c>
      <c r="AI34" s="31">
        <f>DMAX(autofill!$1:$1048576,$A34,RangeYear11)</f>
        <v>0</v>
      </c>
      <c r="AJ34" s="31">
        <f>DMAX(autofill!$1:$1048576,$A34,RangeYear12)</f>
        <v>0</v>
      </c>
      <c r="AK34" s="31">
        <f>DMAX(autofill!$1:$1048576,$A34,RangeYear13)</f>
        <v>0</v>
      </c>
      <c r="AL34" s="31">
        <f>DMAX(autofill!$1:$1048576,$A34,RangeYear14)</f>
        <v>0</v>
      </c>
      <c r="AM34" s="31">
        <f>DMAX(autofill!$1:$1048576,$A34,RangeYear15)</f>
        <v>0</v>
      </c>
      <c r="AN34" s="31">
        <f>DMAX(autofill!$1:$1048576,$A34,RangeYear16)</f>
        <v>0</v>
      </c>
      <c r="AO34" s="31">
        <f>DMAX(autofill!$1:$1048576,$A34,RangeYear17)</f>
        <v>0</v>
      </c>
      <c r="AP34" s="31">
        <f>DMAX(autofill!$1:$1048576,$A34,RangeYear18)</f>
        <v>0</v>
      </c>
      <c r="AQ34" s="31">
        <f>DMAX(autofill!$1:$1048576,$A34,RangeYear19)</f>
        <v>0</v>
      </c>
      <c r="AR34" s="31">
        <f>DMAX(autofill!$1:$1048576,$A34,RangeYear20)</f>
        <v>0</v>
      </c>
    </row>
    <row r="35" spans="1:44" x14ac:dyDescent="0.25">
      <c r="A35" s="14" t="s">
        <v>17</v>
      </c>
      <c r="B35" s="14" t="s">
        <v>50</v>
      </c>
      <c r="C35" s="31">
        <f>MATCH(A35,autofill!$1:$1,0)</f>
        <v>7</v>
      </c>
      <c r="D35" s="50">
        <f ca="1" xml:space="preserve"> INDEX(OFFSET(autofill!A:A,0,C35-1), Last_Data_Row, 1)</f>
        <v>90.223055555555561</v>
      </c>
      <c r="E35" s="31">
        <f t="shared" si="1"/>
        <v>90.223055555555561</v>
      </c>
      <c r="F35" s="31">
        <f t="shared" si="2"/>
        <v>0</v>
      </c>
      <c r="G35" s="31">
        <f t="shared" si="3"/>
        <v>0</v>
      </c>
      <c r="H35" s="31">
        <f t="shared" si="4"/>
        <v>0</v>
      </c>
      <c r="I35" s="31">
        <f t="shared" si="5"/>
        <v>0</v>
      </c>
      <c r="J35" s="31">
        <f t="shared" si="6"/>
        <v>0</v>
      </c>
      <c r="K35" s="31">
        <f t="shared" si="7"/>
        <v>0</v>
      </c>
      <c r="L35" s="31">
        <f t="shared" si="8"/>
        <v>0</v>
      </c>
      <c r="M35" s="31">
        <f t="shared" si="9"/>
        <v>0</v>
      </c>
      <c r="N35" s="31">
        <f t="shared" si="10"/>
        <v>0</v>
      </c>
      <c r="O35" s="31">
        <f t="shared" si="11"/>
        <v>0</v>
      </c>
      <c r="P35" s="31">
        <f t="shared" si="12"/>
        <v>0</v>
      </c>
      <c r="Q35" s="31">
        <f t="shared" si="13"/>
        <v>0</v>
      </c>
      <c r="R35" s="31">
        <f t="shared" si="14"/>
        <v>0</v>
      </c>
      <c r="S35" s="31">
        <f t="shared" si="15"/>
        <v>0</v>
      </c>
      <c r="T35" s="31">
        <f t="shared" si="16"/>
        <v>0</v>
      </c>
      <c r="U35" s="31">
        <f t="shared" si="17"/>
        <v>0</v>
      </c>
      <c r="V35" s="31">
        <f t="shared" si="18"/>
        <v>0</v>
      </c>
      <c r="W35" s="31">
        <f t="shared" si="19"/>
        <v>0</v>
      </c>
      <c r="X35" s="31">
        <f t="shared" si="20"/>
        <v>0</v>
      </c>
      <c r="Y35" s="31">
        <f>DMAX(autofill!$1:$1048576,$A35,RangeYear1)</f>
        <v>90.223055555555561</v>
      </c>
      <c r="Z35" s="31">
        <f>DMAX(autofill!$1:$1048576,$A35,RangeYear2)</f>
        <v>90.223055555555561</v>
      </c>
      <c r="AA35" s="31">
        <f>DMAX(autofill!$1:$1048576,$A35,RangeYear3)</f>
        <v>0</v>
      </c>
      <c r="AB35" s="31">
        <f>DMAX(autofill!$1:$1048576,$A35,RangeYear4)</f>
        <v>0</v>
      </c>
      <c r="AC35" s="31">
        <f>DMAX(autofill!$1:$1048576,$A35,RangeYear5)</f>
        <v>0</v>
      </c>
      <c r="AD35" s="31">
        <f>DMAX(autofill!$1:$1048576,$A35,RangeYear6)</f>
        <v>0</v>
      </c>
      <c r="AE35" s="31">
        <f>DMAX(autofill!$1:$1048576,$A35,RangeYear7)</f>
        <v>0</v>
      </c>
      <c r="AF35" s="31">
        <f>DMAX(autofill!$1:$1048576,$A35,RangeYear8)</f>
        <v>0</v>
      </c>
      <c r="AG35" s="31">
        <f>DMAX(autofill!$1:$1048576,$A35,RangeYear9)</f>
        <v>0</v>
      </c>
      <c r="AH35" s="31">
        <f>DMAX(autofill!$1:$1048576,$A35,RangeYear10)</f>
        <v>0</v>
      </c>
      <c r="AI35" s="31">
        <f>DMAX(autofill!$1:$1048576,$A35,RangeYear11)</f>
        <v>0</v>
      </c>
      <c r="AJ35" s="31">
        <f>DMAX(autofill!$1:$1048576,$A35,RangeYear12)</f>
        <v>0</v>
      </c>
      <c r="AK35" s="31">
        <f>DMAX(autofill!$1:$1048576,$A35,RangeYear13)</f>
        <v>0</v>
      </c>
      <c r="AL35" s="31">
        <f>DMAX(autofill!$1:$1048576,$A35,RangeYear14)</f>
        <v>0</v>
      </c>
      <c r="AM35" s="31">
        <f>DMAX(autofill!$1:$1048576,$A35,RangeYear15)</f>
        <v>0</v>
      </c>
      <c r="AN35" s="31">
        <f>DMAX(autofill!$1:$1048576,$A35,RangeYear16)</f>
        <v>0</v>
      </c>
      <c r="AO35" s="31">
        <f>DMAX(autofill!$1:$1048576,$A35,RangeYear17)</f>
        <v>0</v>
      </c>
      <c r="AP35" s="31">
        <f>DMAX(autofill!$1:$1048576,$A35,RangeYear18)</f>
        <v>0</v>
      </c>
      <c r="AQ35" s="31">
        <f>DMAX(autofill!$1:$1048576,$A35,RangeYear19)</f>
        <v>0</v>
      </c>
      <c r="AR35" s="31">
        <f>DMAX(autofill!$1:$1048576,$A35,RangeYear20)</f>
        <v>0</v>
      </c>
    </row>
    <row r="36" spans="1:44" x14ac:dyDescent="0.25">
      <c r="A36" s="14" t="s">
        <v>18</v>
      </c>
      <c r="B36" s="14" t="s">
        <v>51</v>
      </c>
      <c r="C36" s="31">
        <f>MATCH(A36,autofill!$1:$1,0)</f>
        <v>8</v>
      </c>
      <c r="D36" s="50">
        <f ca="1" xml:space="preserve"> INDEX(OFFSET(autofill!A:A,0,C36-1), Last_Data_Row, 1)</f>
        <v>90.05638888888889</v>
      </c>
      <c r="E36" s="31">
        <f t="shared" si="1"/>
        <v>90.05638888888889</v>
      </c>
      <c r="F36" s="31">
        <f t="shared" si="2"/>
        <v>0</v>
      </c>
      <c r="G36" s="31">
        <f t="shared" si="3"/>
        <v>0</v>
      </c>
      <c r="H36" s="31">
        <f t="shared" si="4"/>
        <v>0</v>
      </c>
      <c r="I36" s="31">
        <f t="shared" si="5"/>
        <v>0</v>
      </c>
      <c r="J36" s="31">
        <f t="shared" si="6"/>
        <v>0</v>
      </c>
      <c r="K36" s="31">
        <f t="shared" si="7"/>
        <v>0</v>
      </c>
      <c r="L36" s="31">
        <f t="shared" si="8"/>
        <v>0</v>
      </c>
      <c r="M36" s="31">
        <f t="shared" si="9"/>
        <v>0</v>
      </c>
      <c r="N36" s="31">
        <f t="shared" si="10"/>
        <v>0</v>
      </c>
      <c r="O36" s="31">
        <f t="shared" si="11"/>
        <v>0</v>
      </c>
      <c r="P36" s="31">
        <f t="shared" si="12"/>
        <v>0</v>
      </c>
      <c r="Q36" s="31">
        <f t="shared" si="13"/>
        <v>0</v>
      </c>
      <c r="R36" s="31">
        <f t="shared" si="14"/>
        <v>0</v>
      </c>
      <c r="S36" s="31">
        <f t="shared" si="15"/>
        <v>0</v>
      </c>
      <c r="T36" s="31">
        <f t="shared" si="16"/>
        <v>0</v>
      </c>
      <c r="U36" s="31">
        <f t="shared" si="17"/>
        <v>0</v>
      </c>
      <c r="V36" s="31">
        <f t="shared" si="18"/>
        <v>0</v>
      </c>
      <c r="W36" s="31">
        <f t="shared" si="19"/>
        <v>0</v>
      </c>
      <c r="X36" s="31">
        <f t="shared" si="20"/>
        <v>0</v>
      </c>
      <c r="Y36" s="31">
        <f>DMAX(autofill!$1:$1048576,$A36,RangeYear1)</f>
        <v>90.05638888888889</v>
      </c>
      <c r="Z36" s="31">
        <f>DMAX(autofill!$1:$1048576,$A36,RangeYear2)</f>
        <v>90.05638888888889</v>
      </c>
      <c r="AA36" s="31">
        <f>DMAX(autofill!$1:$1048576,$A36,RangeYear3)</f>
        <v>0</v>
      </c>
      <c r="AB36" s="31">
        <f>DMAX(autofill!$1:$1048576,$A36,RangeYear4)</f>
        <v>0</v>
      </c>
      <c r="AC36" s="31">
        <f>DMAX(autofill!$1:$1048576,$A36,RangeYear5)</f>
        <v>0</v>
      </c>
      <c r="AD36" s="31">
        <f>DMAX(autofill!$1:$1048576,$A36,RangeYear6)</f>
        <v>0</v>
      </c>
      <c r="AE36" s="31">
        <f>DMAX(autofill!$1:$1048576,$A36,RangeYear7)</f>
        <v>0</v>
      </c>
      <c r="AF36" s="31">
        <f>DMAX(autofill!$1:$1048576,$A36,RangeYear8)</f>
        <v>0</v>
      </c>
      <c r="AG36" s="31">
        <f>DMAX(autofill!$1:$1048576,$A36,RangeYear9)</f>
        <v>0</v>
      </c>
      <c r="AH36" s="31">
        <f>DMAX(autofill!$1:$1048576,$A36,RangeYear10)</f>
        <v>0</v>
      </c>
      <c r="AI36" s="31">
        <f>DMAX(autofill!$1:$1048576,$A36,RangeYear11)</f>
        <v>0</v>
      </c>
      <c r="AJ36" s="31">
        <f>DMAX(autofill!$1:$1048576,$A36,RangeYear12)</f>
        <v>0</v>
      </c>
      <c r="AK36" s="31">
        <f>DMAX(autofill!$1:$1048576,$A36,RangeYear13)</f>
        <v>0</v>
      </c>
      <c r="AL36" s="31">
        <f>DMAX(autofill!$1:$1048576,$A36,RangeYear14)</f>
        <v>0</v>
      </c>
      <c r="AM36" s="31">
        <f>DMAX(autofill!$1:$1048576,$A36,RangeYear15)</f>
        <v>0</v>
      </c>
      <c r="AN36" s="31">
        <f>DMAX(autofill!$1:$1048576,$A36,RangeYear16)</f>
        <v>0</v>
      </c>
      <c r="AO36" s="31">
        <f>DMAX(autofill!$1:$1048576,$A36,RangeYear17)</f>
        <v>0</v>
      </c>
      <c r="AP36" s="31">
        <f>DMAX(autofill!$1:$1048576,$A36,RangeYear18)</f>
        <v>0</v>
      </c>
      <c r="AQ36" s="31">
        <f>DMAX(autofill!$1:$1048576,$A36,RangeYear19)</f>
        <v>0</v>
      </c>
      <c r="AR36" s="31">
        <f>DMAX(autofill!$1:$1048576,$A36,RangeYear20)</f>
        <v>0</v>
      </c>
    </row>
    <row r="37" spans="1:44" x14ac:dyDescent="0.25">
      <c r="A37" s="14" t="s">
        <v>19</v>
      </c>
      <c r="B37" s="14" t="s">
        <v>52</v>
      </c>
      <c r="C37" s="31">
        <f>MATCH(A37,autofill!$1:$1,0)</f>
        <v>9</v>
      </c>
      <c r="D37" s="50">
        <f ca="1" xml:space="preserve"> INDEX(OFFSET(autofill!A:A,0,C37-1), Last_Data_Row, 1)</f>
        <v>1.0497222222222222</v>
      </c>
      <c r="E37" s="31">
        <f t="shared" si="1"/>
        <v>1.0497222222222222</v>
      </c>
      <c r="F37" s="31">
        <f t="shared" si="2"/>
        <v>0</v>
      </c>
      <c r="G37" s="31">
        <f t="shared" si="3"/>
        <v>0</v>
      </c>
      <c r="H37" s="31">
        <f t="shared" si="4"/>
        <v>0</v>
      </c>
      <c r="I37" s="31">
        <f t="shared" si="5"/>
        <v>0</v>
      </c>
      <c r="J37" s="31">
        <f t="shared" si="6"/>
        <v>0</v>
      </c>
      <c r="K37" s="31">
        <f t="shared" si="7"/>
        <v>0</v>
      </c>
      <c r="L37" s="31">
        <f t="shared" si="8"/>
        <v>0</v>
      </c>
      <c r="M37" s="31">
        <f t="shared" si="9"/>
        <v>0</v>
      </c>
      <c r="N37" s="31">
        <f t="shared" si="10"/>
        <v>0</v>
      </c>
      <c r="O37" s="31">
        <f t="shared" si="11"/>
        <v>0</v>
      </c>
      <c r="P37" s="31">
        <f t="shared" si="12"/>
        <v>0</v>
      </c>
      <c r="Q37" s="31">
        <f t="shared" si="13"/>
        <v>0</v>
      </c>
      <c r="R37" s="31">
        <f t="shared" si="14"/>
        <v>0</v>
      </c>
      <c r="S37" s="31">
        <f t="shared" si="15"/>
        <v>0</v>
      </c>
      <c r="T37" s="31">
        <f t="shared" si="16"/>
        <v>0</v>
      </c>
      <c r="U37" s="31">
        <f t="shared" si="17"/>
        <v>0</v>
      </c>
      <c r="V37" s="31">
        <f t="shared" si="18"/>
        <v>0</v>
      </c>
      <c r="W37" s="31">
        <f t="shared" si="19"/>
        <v>0</v>
      </c>
      <c r="X37" s="31">
        <f t="shared" si="20"/>
        <v>0</v>
      </c>
      <c r="Y37" s="31">
        <f>DMAX(autofill!$1:$1048576,$A37,RangeYear1)</f>
        <v>1.0497222222222222</v>
      </c>
      <c r="Z37" s="31">
        <f>DMAX(autofill!$1:$1048576,$A37,RangeYear2)</f>
        <v>1.0497222222222222</v>
      </c>
      <c r="AA37" s="31">
        <f>DMAX(autofill!$1:$1048576,$A37,RangeYear3)</f>
        <v>0</v>
      </c>
      <c r="AB37" s="31">
        <f>DMAX(autofill!$1:$1048576,$A37,RangeYear4)</f>
        <v>0</v>
      </c>
      <c r="AC37" s="31">
        <f>DMAX(autofill!$1:$1048576,$A37,RangeYear5)</f>
        <v>0</v>
      </c>
      <c r="AD37" s="31">
        <f>DMAX(autofill!$1:$1048576,$A37,RangeYear6)</f>
        <v>0</v>
      </c>
      <c r="AE37" s="31">
        <f>DMAX(autofill!$1:$1048576,$A37,RangeYear7)</f>
        <v>0</v>
      </c>
      <c r="AF37" s="31">
        <f>DMAX(autofill!$1:$1048576,$A37,RangeYear8)</f>
        <v>0</v>
      </c>
      <c r="AG37" s="31">
        <f>DMAX(autofill!$1:$1048576,$A37,RangeYear9)</f>
        <v>0</v>
      </c>
      <c r="AH37" s="31">
        <f>DMAX(autofill!$1:$1048576,$A37,RangeYear10)</f>
        <v>0</v>
      </c>
      <c r="AI37" s="31">
        <f>DMAX(autofill!$1:$1048576,$A37,RangeYear11)</f>
        <v>0</v>
      </c>
      <c r="AJ37" s="31">
        <f>DMAX(autofill!$1:$1048576,$A37,RangeYear12)</f>
        <v>0</v>
      </c>
      <c r="AK37" s="31">
        <f>DMAX(autofill!$1:$1048576,$A37,RangeYear13)</f>
        <v>0</v>
      </c>
      <c r="AL37" s="31">
        <f>DMAX(autofill!$1:$1048576,$A37,RangeYear14)</f>
        <v>0</v>
      </c>
      <c r="AM37" s="31">
        <f>DMAX(autofill!$1:$1048576,$A37,RangeYear15)</f>
        <v>0</v>
      </c>
      <c r="AN37" s="31">
        <f>DMAX(autofill!$1:$1048576,$A37,RangeYear16)</f>
        <v>0</v>
      </c>
      <c r="AO37" s="31">
        <f>DMAX(autofill!$1:$1048576,$A37,RangeYear17)</f>
        <v>0</v>
      </c>
      <c r="AP37" s="31">
        <f>DMAX(autofill!$1:$1048576,$A37,RangeYear18)</f>
        <v>0</v>
      </c>
      <c r="AQ37" s="31">
        <f>DMAX(autofill!$1:$1048576,$A37,RangeYear19)</f>
        <v>0</v>
      </c>
      <c r="AR37" s="31">
        <f>DMAX(autofill!$1:$1048576,$A37,RangeYear20)</f>
        <v>0</v>
      </c>
    </row>
    <row r="38" spans="1:44" x14ac:dyDescent="0.25">
      <c r="A38" s="19" t="s">
        <v>54</v>
      </c>
      <c r="B38" s="20" t="s">
        <v>55</v>
      </c>
      <c r="C38" s="31">
        <f>MATCH(A38,autofill!$1:$1,0)</f>
        <v>10</v>
      </c>
      <c r="D38" s="50">
        <f ca="1" xml:space="preserve"> INDEX(OFFSET(autofill!A:A,0,C38-1), Last_Data_Row, 1)</f>
        <v>990</v>
      </c>
      <c r="E38" s="31">
        <f t="shared" si="1"/>
        <v>530</v>
      </c>
      <c r="F38" s="31">
        <f t="shared" si="2"/>
        <v>460</v>
      </c>
      <c r="G38" s="31">
        <f t="shared" si="3"/>
        <v>0</v>
      </c>
      <c r="H38" s="31">
        <f t="shared" si="4"/>
        <v>0</v>
      </c>
      <c r="I38" s="31">
        <f t="shared" si="5"/>
        <v>0</v>
      </c>
      <c r="J38" s="31">
        <f t="shared" si="6"/>
        <v>0</v>
      </c>
      <c r="K38" s="31">
        <f t="shared" si="7"/>
        <v>0</v>
      </c>
      <c r="L38" s="31">
        <f t="shared" si="8"/>
        <v>0</v>
      </c>
      <c r="M38" s="31">
        <f t="shared" si="9"/>
        <v>0</v>
      </c>
      <c r="N38" s="31">
        <f t="shared" si="10"/>
        <v>0</v>
      </c>
      <c r="O38" s="31">
        <f t="shared" si="11"/>
        <v>0</v>
      </c>
      <c r="P38" s="31">
        <f t="shared" si="12"/>
        <v>0</v>
      </c>
      <c r="Q38" s="31">
        <f t="shared" si="13"/>
        <v>0</v>
      </c>
      <c r="R38" s="31">
        <f t="shared" si="14"/>
        <v>0</v>
      </c>
      <c r="S38" s="31">
        <f t="shared" si="15"/>
        <v>0</v>
      </c>
      <c r="T38" s="31">
        <f t="shared" si="16"/>
        <v>0</v>
      </c>
      <c r="U38" s="31">
        <f t="shared" si="17"/>
        <v>0</v>
      </c>
      <c r="V38" s="31">
        <f t="shared" si="18"/>
        <v>0</v>
      </c>
      <c r="W38" s="31">
        <f t="shared" si="19"/>
        <v>0</v>
      </c>
      <c r="X38" s="31">
        <f t="shared" si="20"/>
        <v>0</v>
      </c>
      <c r="Y38" s="31">
        <f>DMAX(autofill!$1:$1048576,$A38,RangeYear1)</f>
        <v>530</v>
      </c>
      <c r="Z38" s="31">
        <f>DMAX(autofill!$1:$1048576,$A38,RangeYear2)</f>
        <v>990</v>
      </c>
      <c r="AA38" s="31">
        <f>DMAX(autofill!$1:$1048576,$A38,RangeYear3)</f>
        <v>0</v>
      </c>
      <c r="AB38" s="31">
        <f>DMAX(autofill!$1:$1048576,$A38,RangeYear4)</f>
        <v>0</v>
      </c>
      <c r="AC38" s="31">
        <f>DMAX(autofill!$1:$1048576,$A38,RangeYear5)</f>
        <v>0</v>
      </c>
      <c r="AD38" s="31">
        <f>DMAX(autofill!$1:$1048576,$A38,RangeYear6)</f>
        <v>0</v>
      </c>
      <c r="AE38" s="31">
        <f>DMAX(autofill!$1:$1048576,$A38,RangeYear7)</f>
        <v>0</v>
      </c>
      <c r="AF38" s="31">
        <f>DMAX(autofill!$1:$1048576,$A38,RangeYear8)</f>
        <v>0</v>
      </c>
      <c r="AG38" s="31">
        <f>DMAX(autofill!$1:$1048576,$A38,RangeYear9)</f>
        <v>0</v>
      </c>
      <c r="AH38" s="31">
        <f>DMAX(autofill!$1:$1048576,$A38,RangeYear10)</f>
        <v>0</v>
      </c>
      <c r="AI38" s="31">
        <f>DMAX(autofill!$1:$1048576,$A38,RangeYear11)</f>
        <v>0</v>
      </c>
      <c r="AJ38" s="31">
        <f>DMAX(autofill!$1:$1048576,$A38,RangeYear12)</f>
        <v>0</v>
      </c>
      <c r="AK38" s="31">
        <f>DMAX(autofill!$1:$1048576,$A38,RangeYear13)</f>
        <v>0</v>
      </c>
      <c r="AL38" s="31">
        <f>DMAX(autofill!$1:$1048576,$A38,RangeYear14)</f>
        <v>0</v>
      </c>
      <c r="AM38" s="31">
        <f>DMAX(autofill!$1:$1048576,$A38,RangeYear15)</f>
        <v>0</v>
      </c>
      <c r="AN38" s="31">
        <f>DMAX(autofill!$1:$1048576,$A38,RangeYear16)</f>
        <v>0</v>
      </c>
      <c r="AO38" s="31">
        <f>DMAX(autofill!$1:$1048576,$A38,RangeYear17)</f>
        <v>0</v>
      </c>
      <c r="AP38" s="31">
        <f>DMAX(autofill!$1:$1048576,$A38,RangeYear18)</f>
        <v>0</v>
      </c>
      <c r="AQ38" s="31">
        <f>DMAX(autofill!$1:$1048576,$A38,RangeYear19)</f>
        <v>0</v>
      </c>
      <c r="AR38" s="31">
        <f>DMAX(autofill!$1:$1048576,$A38,RangeYear20)</f>
        <v>0</v>
      </c>
    </row>
    <row r="39" spans="1:44" x14ac:dyDescent="0.25">
      <c r="A39" s="19" t="s">
        <v>56</v>
      </c>
      <c r="B39" s="20" t="s">
        <v>57</v>
      </c>
      <c r="C39" s="31">
        <f>MATCH(A39,autofill!$1:$1,0)</f>
        <v>11</v>
      </c>
      <c r="D39" s="50">
        <f ca="1" xml:space="preserve"> INDEX(OFFSET(autofill!A:A,0,C39-1), Last_Data_Row, 1)</f>
        <v>792</v>
      </c>
      <c r="E39" s="31">
        <f t="shared" si="1"/>
        <v>424</v>
      </c>
      <c r="F39" s="31">
        <f t="shared" si="2"/>
        <v>368</v>
      </c>
      <c r="G39" s="31">
        <f t="shared" si="3"/>
        <v>0</v>
      </c>
      <c r="H39" s="31">
        <f t="shared" si="4"/>
        <v>0</v>
      </c>
      <c r="I39" s="31">
        <f t="shared" si="5"/>
        <v>0</v>
      </c>
      <c r="J39" s="31">
        <f t="shared" si="6"/>
        <v>0</v>
      </c>
      <c r="K39" s="31">
        <f t="shared" si="7"/>
        <v>0</v>
      </c>
      <c r="L39" s="31">
        <f t="shared" si="8"/>
        <v>0</v>
      </c>
      <c r="M39" s="31">
        <f t="shared" si="9"/>
        <v>0</v>
      </c>
      <c r="N39" s="31">
        <f t="shared" si="10"/>
        <v>0</v>
      </c>
      <c r="O39" s="31">
        <f t="shared" si="11"/>
        <v>0</v>
      </c>
      <c r="P39" s="31">
        <f t="shared" si="12"/>
        <v>0</v>
      </c>
      <c r="Q39" s="31">
        <f t="shared" si="13"/>
        <v>0</v>
      </c>
      <c r="R39" s="31">
        <f t="shared" si="14"/>
        <v>0</v>
      </c>
      <c r="S39" s="31">
        <f t="shared" si="15"/>
        <v>0</v>
      </c>
      <c r="T39" s="31">
        <f t="shared" si="16"/>
        <v>0</v>
      </c>
      <c r="U39" s="31">
        <f t="shared" si="17"/>
        <v>0</v>
      </c>
      <c r="V39" s="31">
        <f t="shared" si="18"/>
        <v>0</v>
      </c>
      <c r="W39" s="31">
        <f t="shared" si="19"/>
        <v>0</v>
      </c>
      <c r="X39" s="31">
        <f t="shared" si="20"/>
        <v>0</v>
      </c>
      <c r="Y39" s="31">
        <f>DMAX(autofill!$1:$1048576,$A39,RangeYear1)</f>
        <v>424</v>
      </c>
      <c r="Z39" s="31">
        <f>DMAX(autofill!$1:$1048576,$A39,RangeYear2)</f>
        <v>792</v>
      </c>
      <c r="AA39" s="31">
        <f>DMAX(autofill!$1:$1048576,$A39,RangeYear3)</f>
        <v>0</v>
      </c>
      <c r="AB39" s="31">
        <f>DMAX(autofill!$1:$1048576,$A39,RangeYear4)</f>
        <v>0</v>
      </c>
      <c r="AC39" s="31">
        <f>DMAX(autofill!$1:$1048576,$A39,RangeYear5)</f>
        <v>0</v>
      </c>
      <c r="AD39" s="31">
        <f>DMAX(autofill!$1:$1048576,$A39,RangeYear6)</f>
        <v>0</v>
      </c>
      <c r="AE39" s="31">
        <f>DMAX(autofill!$1:$1048576,$A39,RangeYear7)</f>
        <v>0</v>
      </c>
      <c r="AF39" s="31">
        <f>DMAX(autofill!$1:$1048576,$A39,RangeYear8)</f>
        <v>0</v>
      </c>
      <c r="AG39" s="31">
        <f>DMAX(autofill!$1:$1048576,$A39,RangeYear9)</f>
        <v>0</v>
      </c>
      <c r="AH39" s="31">
        <f>DMAX(autofill!$1:$1048576,$A39,RangeYear10)</f>
        <v>0</v>
      </c>
      <c r="AI39" s="31">
        <f>DMAX(autofill!$1:$1048576,$A39,RangeYear11)</f>
        <v>0</v>
      </c>
      <c r="AJ39" s="31">
        <f>DMAX(autofill!$1:$1048576,$A39,RangeYear12)</f>
        <v>0</v>
      </c>
      <c r="AK39" s="31">
        <f>DMAX(autofill!$1:$1048576,$A39,RangeYear13)</f>
        <v>0</v>
      </c>
      <c r="AL39" s="31">
        <f>DMAX(autofill!$1:$1048576,$A39,RangeYear14)</f>
        <v>0</v>
      </c>
      <c r="AM39" s="31">
        <f>DMAX(autofill!$1:$1048576,$A39,RangeYear15)</f>
        <v>0</v>
      </c>
      <c r="AN39" s="31">
        <f>DMAX(autofill!$1:$1048576,$A39,RangeYear16)</f>
        <v>0</v>
      </c>
      <c r="AO39" s="31">
        <f>DMAX(autofill!$1:$1048576,$A39,RangeYear17)</f>
        <v>0</v>
      </c>
      <c r="AP39" s="31">
        <f>DMAX(autofill!$1:$1048576,$A39,RangeYear18)</f>
        <v>0</v>
      </c>
      <c r="AQ39" s="31">
        <f>DMAX(autofill!$1:$1048576,$A39,RangeYear19)</f>
        <v>0</v>
      </c>
      <c r="AR39" s="31">
        <f>DMAX(autofill!$1:$1048576,$A39,RangeYear20)</f>
        <v>0</v>
      </c>
    </row>
    <row r="40" spans="1:44" x14ac:dyDescent="0.25">
      <c r="A40" s="19" t="s">
        <v>58</v>
      </c>
      <c r="B40" s="20" t="s">
        <v>59</v>
      </c>
      <c r="C40" s="31">
        <f>MATCH(A40,autofill!$1:$1,0)</f>
        <v>12</v>
      </c>
      <c r="D40" s="50">
        <f ca="1" xml:space="preserve"> INDEX(OFFSET(autofill!A:A,0,C40-1), Last_Data_Row, 1)</f>
        <v>495</v>
      </c>
      <c r="E40" s="31">
        <f t="shared" si="1"/>
        <v>265</v>
      </c>
      <c r="F40" s="31">
        <f t="shared" si="2"/>
        <v>230</v>
      </c>
      <c r="G40" s="31">
        <f t="shared" si="3"/>
        <v>0</v>
      </c>
      <c r="H40" s="31">
        <f t="shared" si="4"/>
        <v>0</v>
      </c>
      <c r="I40" s="31">
        <f t="shared" si="5"/>
        <v>0</v>
      </c>
      <c r="J40" s="31">
        <f t="shared" si="6"/>
        <v>0</v>
      </c>
      <c r="K40" s="31">
        <f t="shared" si="7"/>
        <v>0</v>
      </c>
      <c r="L40" s="31">
        <f t="shared" si="8"/>
        <v>0</v>
      </c>
      <c r="M40" s="31">
        <f t="shared" si="9"/>
        <v>0</v>
      </c>
      <c r="N40" s="31">
        <f t="shared" si="10"/>
        <v>0</v>
      </c>
      <c r="O40" s="31">
        <f t="shared" si="11"/>
        <v>0</v>
      </c>
      <c r="P40" s="31">
        <f t="shared" si="12"/>
        <v>0</v>
      </c>
      <c r="Q40" s="31">
        <f t="shared" si="13"/>
        <v>0</v>
      </c>
      <c r="R40" s="31">
        <f t="shared" si="14"/>
        <v>0</v>
      </c>
      <c r="S40" s="31">
        <f t="shared" si="15"/>
        <v>0</v>
      </c>
      <c r="T40" s="31">
        <f t="shared" si="16"/>
        <v>0</v>
      </c>
      <c r="U40" s="31">
        <f t="shared" si="17"/>
        <v>0</v>
      </c>
      <c r="V40" s="31">
        <f t="shared" si="18"/>
        <v>0</v>
      </c>
      <c r="W40" s="31">
        <f t="shared" si="19"/>
        <v>0</v>
      </c>
      <c r="X40" s="31">
        <f t="shared" si="20"/>
        <v>0</v>
      </c>
      <c r="Y40" s="31">
        <f>DMAX(autofill!$1:$1048576,$A40,RangeYear1)</f>
        <v>265</v>
      </c>
      <c r="Z40" s="31">
        <f>DMAX(autofill!$1:$1048576,$A40,RangeYear2)</f>
        <v>495</v>
      </c>
      <c r="AA40" s="31">
        <f>DMAX(autofill!$1:$1048576,$A40,RangeYear3)</f>
        <v>0</v>
      </c>
      <c r="AB40" s="31">
        <f>DMAX(autofill!$1:$1048576,$A40,RangeYear4)</f>
        <v>0</v>
      </c>
      <c r="AC40" s="31">
        <f>DMAX(autofill!$1:$1048576,$A40,RangeYear5)</f>
        <v>0</v>
      </c>
      <c r="AD40" s="31">
        <f>DMAX(autofill!$1:$1048576,$A40,RangeYear6)</f>
        <v>0</v>
      </c>
      <c r="AE40" s="31">
        <f>DMAX(autofill!$1:$1048576,$A40,RangeYear7)</f>
        <v>0</v>
      </c>
      <c r="AF40" s="31">
        <f>DMAX(autofill!$1:$1048576,$A40,RangeYear8)</f>
        <v>0</v>
      </c>
      <c r="AG40" s="31">
        <f>DMAX(autofill!$1:$1048576,$A40,RangeYear9)</f>
        <v>0</v>
      </c>
      <c r="AH40" s="31">
        <f>DMAX(autofill!$1:$1048576,$A40,RangeYear10)</f>
        <v>0</v>
      </c>
      <c r="AI40" s="31">
        <f>DMAX(autofill!$1:$1048576,$A40,RangeYear11)</f>
        <v>0</v>
      </c>
      <c r="AJ40" s="31">
        <f>DMAX(autofill!$1:$1048576,$A40,RangeYear12)</f>
        <v>0</v>
      </c>
      <c r="AK40" s="31">
        <f>DMAX(autofill!$1:$1048576,$A40,RangeYear13)</f>
        <v>0</v>
      </c>
      <c r="AL40" s="31">
        <f>DMAX(autofill!$1:$1048576,$A40,RangeYear14)</f>
        <v>0</v>
      </c>
      <c r="AM40" s="31">
        <f>DMAX(autofill!$1:$1048576,$A40,RangeYear15)</f>
        <v>0</v>
      </c>
      <c r="AN40" s="31">
        <f>DMAX(autofill!$1:$1048576,$A40,RangeYear16)</f>
        <v>0</v>
      </c>
      <c r="AO40" s="31">
        <f>DMAX(autofill!$1:$1048576,$A40,RangeYear17)</f>
        <v>0</v>
      </c>
      <c r="AP40" s="31">
        <f>DMAX(autofill!$1:$1048576,$A40,RangeYear18)</f>
        <v>0</v>
      </c>
      <c r="AQ40" s="31">
        <f>DMAX(autofill!$1:$1048576,$A40,RangeYear19)</f>
        <v>0</v>
      </c>
      <c r="AR40" s="31">
        <f>DMAX(autofill!$1:$1048576,$A40,RangeYear20)</f>
        <v>0</v>
      </c>
    </row>
    <row r="41" spans="1:44" x14ac:dyDescent="0.25">
      <c r="A41" s="19" t="s">
        <v>60</v>
      </c>
      <c r="B41" s="20" t="s">
        <v>61</v>
      </c>
      <c r="C41" s="31">
        <f>MATCH(A41,autofill!$1:$1,0)</f>
        <v>13</v>
      </c>
      <c r="D41" s="50">
        <f ca="1" xml:space="preserve"> INDEX(OFFSET(autofill!A:A,0,C41-1), Last_Data_Row, 1)</f>
        <v>99</v>
      </c>
      <c r="E41" s="31">
        <f t="shared" si="1"/>
        <v>53</v>
      </c>
      <c r="F41" s="31">
        <f t="shared" si="2"/>
        <v>46</v>
      </c>
      <c r="G41" s="31">
        <f t="shared" si="3"/>
        <v>0</v>
      </c>
      <c r="H41" s="31">
        <f t="shared" si="4"/>
        <v>0</v>
      </c>
      <c r="I41" s="31">
        <f t="shared" si="5"/>
        <v>0</v>
      </c>
      <c r="J41" s="31">
        <f t="shared" si="6"/>
        <v>0</v>
      </c>
      <c r="K41" s="31">
        <f t="shared" si="7"/>
        <v>0</v>
      </c>
      <c r="L41" s="31">
        <f t="shared" si="8"/>
        <v>0</v>
      </c>
      <c r="M41" s="31">
        <f t="shared" si="9"/>
        <v>0</v>
      </c>
      <c r="N41" s="31">
        <f t="shared" si="10"/>
        <v>0</v>
      </c>
      <c r="O41" s="31">
        <f t="shared" si="11"/>
        <v>0</v>
      </c>
      <c r="P41" s="31">
        <f t="shared" si="12"/>
        <v>0</v>
      </c>
      <c r="Q41" s="31">
        <f t="shared" si="13"/>
        <v>0</v>
      </c>
      <c r="R41" s="31">
        <f t="shared" si="14"/>
        <v>0</v>
      </c>
      <c r="S41" s="31">
        <f t="shared" si="15"/>
        <v>0</v>
      </c>
      <c r="T41" s="31">
        <f t="shared" si="16"/>
        <v>0</v>
      </c>
      <c r="U41" s="31">
        <f t="shared" si="17"/>
        <v>0</v>
      </c>
      <c r="V41" s="31">
        <f t="shared" si="18"/>
        <v>0</v>
      </c>
      <c r="W41" s="31">
        <f t="shared" si="19"/>
        <v>0</v>
      </c>
      <c r="X41" s="31">
        <f t="shared" si="20"/>
        <v>0</v>
      </c>
      <c r="Y41" s="31">
        <f>DMAX(autofill!$1:$1048576,$A41,RangeYear1)</f>
        <v>53</v>
      </c>
      <c r="Z41" s="31">
        <f>DMAX(autofill!$1:$1048576,$A41,RangeYear2)</f>
        <v>99</v>
      </c>
      <c r="AA41" s="31">
        <f>DMAX(autofill!$1:$1048576,$A41,RangeYear3)</f>
        <v>0</v>
      </c>
      <c r="AB41" s="31">
        <f>DMAX(autofill!$1:$1048576,$A41,RangeYear4)</f>
        <v>0</v>
      </c>
      <c r="AC41" s="31">
        <f>DMAX(autofill!$1:$1048576,$A41,RangeYear5)</f>
        <v>0</v>
      </c>
      <c r="AD41" s="31">
        <f>DMAX(autofill!$1:$1048576,$A41,RangeYear6)</f>
        <v>0</v>
      </c>
      <c r="AE41" s="31">
        <f>DMAX(autofill!$1:$1048576,$A41,RangeYear7)</f>
        <v>0</v>
      </c>
      <c r="AF41" s="31">
        <f>DMAX(autofill!$1:$1048576,$A41,RangeYear8)</f>
        <v>0</v>
      </c>
      <c r="AG41" s="31">
        <f>DMAX(autofill!$1:$1048576,$A41,RangeYear9)</f>
        <v>0</v>
      </c>
      <c r="AH41" s="31">
        <f>DMAX(autofill!$1:$1048576,$A41,RangeYear10)</f>
        <v>0</v>
      </c>
      <c r="AI41" s="31">
        <f>DMAX(autofill!$1:$1048576,$A41,RangeYear11)</f>
        <v>0</v>
      </c>
      <c r="AJ41" s="31">
        <f>DMAX(autofill!$1:$1048576,$A41,RangeYear12)</f>
        <v>0</v>
      </c>
      <c r="AK41" s="31">
        <f>DMAX(autofill!$1:$1048576,$A41,RangeYear13)</f>
        <v>0</v>
      </c>
      <c r="AL41" s="31">
        <f>DMAX(autofill!$1:$1048576,$A41,RangeYear14)</f>
        <v>0</v>
      </c>
      <c r="AM41" s="31">
        <f>DMAX(autofill!$1:$1048576,$A41,RangeYear15)</f>
        <v>0</v>
      </c>
      <c r="AN41" s="31">
        <f>DMAX(autofill!$1:$1048576,$A41,RangeYear16)</f>
        <v>0</v>
      </c>
      <c r="AO41" s="31">
        <f>DMAX(autofill!$1:$1048576,$A41,RangeYear17)</f>
        <v>0</v>
      </c>
      <c r="AP41" s="31">
        <f>DMAX(autofill!$1:$1048576,$A41,RangeYear18)</f>
        <v>0</v>
      </c>
      <c r="AQ41" s="31">
        <f>DMAX(autofill!$1:$1048576,$A41,RangeYear19)</f>
        <v>0</v>
      </c>
      <c r="AR41" s="31">
        <f>DMAX(autofill!$1:$1048576,$A41,RangeYear20)</f>
        <v>0</v>
      </c>
    </row>
    <row r="42" spans="1:44" x14ac:dyDescent="0.25">
      <c r="A42" s="19" t="s">
        <v>62</v>
      </c>
      <c r="B42" s="20" t="s">
        <v>63</v>
      </c>
      <c r="C42" s="31">
        <f>MATCH(A42,autofill!$1:$1,0)</f>
        <v>14</v>
      </c>
      <c r="D42" s="50">
        <f ca="1" xml:space="preserve"> INDEX(OFFSET(autofill!A:A,0,C42-1), Last_Data_Row, 1)</f>
        <v>198</v>
      </c>
      <c r="E42" s="31">
        <f t="shared" si="1"/>
        <v>106</v>
      </c>
      <c r="F42" s="31">
        <f t="shared" si="2"/>
        <v>92</v>
      </c>
      <c r="G42" s="31">
        <f t="shared" si="3"/>
        <v>0</v>
      </c>
      <c r="H42" s="31">
        <f t="shared" si="4"/>
        <v>0</v>
      </c>
      <c r="I42" s="31">
        <f t="shared" si="5"/>
        <v>0</v>
      </c>
      <c r="J42" s="31">
        <f t="shared" si="6"/>
        <v>0</v>
      </c>
      <c r="K42" s="31">
        <f t="shared" si="7"/>
        <v>0</v>
      </c>
      <c r="L42" s="31">
        <f t="shared" si="8"/>
        <v>0</v>
      </c>
      <c r="M42" s="31">
        <f t="shared" si="9"/>
        <v>0</v>
      </c>
      <c r="N42" s="31">
        <f t="shared" si="10"/>
        <v>0</v>
      </c>
      <c r="O42" s="31">
        <f t="shared" si="11"/>
        <v>0</v>
      </c>
      <c r="P42" s="31">
        <f t="shared" si="12"/>
        <v>0</v>
      </c>
      <c r="Q42" s="31">
        <f t="shared" si="13"/>
        <v>0</v>
      </c>
      <c r="R42" s="31">
        <f t="shared" si="14"/>
        <v>0</v>
      </c>
      <c r="S42" s="31">
        <f t="shared" si="15"/>
        <v>0</v>
      </c>
      <c r="T42" s="31">
        <f t="shared" si="16"/>
        <v>0</v>
      </c>
      <c r="U42" s="31">
        <f t="shared" si="17"/>
        <v>0</v>
      </c>
      <c r="V42" s="31">
        <f t="shared" si="18"/>
        <v>0</v>
      </c>
      <c r="W42" s="31">
        <f t="shared" si="19"/>
        <v>0</v>
      </c>
      <c r="X42" s="31">
        <f t="shared" si="20"/>
        <v>0</v>
      </c>
      <c r="Y42" s="31">
        <f>DMAX(autofill!$1:$1048576,$A42,RangeYear1)</f>
        <v>106</v>
      </c>
      <c r="Z42" s="31">
        <f>DMAX(autofill!$1:$1048576,$A42,RangeYear2)</f>
        <v>198</v>
      </c>
      <c r="AA42" s="31">
        <f>DMAX(autofill!$1:$1048576,$A42,RangeYear3)</f>
        <v>0</v>
      </c>
      <c r="AB42" s="31">
        <f>DMAX(autofill!$1:$1048576,$A42,RangeYear4)</f>
        <v>0</v>
      </c>
      <c r="AC42" s="31">
        <f>DMAX(autofill!$1:$1048576,$A42,RangeYear5)</f>
        <v>0</v>
      </c>
      <c r="AD42" s="31">
        <f>DMAX(autofill!$1:$1048576,$A42,RangeYear6)</f>
        <v>0</v>
      </c>
      <c r="AE42" s="31">
        <f>DMAX(autofill!$1:$1048576,$A42,RangeYear7)</f>
        <v>0</v>
      </c>
      <c r="AF42" s="31">
        <f>DMAX(autofill!$1:$1048576,$A42,RangeYear8)</f>
        <v>0</v>
      </c>
      <c r="AG42" s="31">
        <f>DMAX(autofill!$1:$1048576,$A42,RangeYear9)</f>
        <v>0</v>
      </c>
      <c r="AH42" s="31">
        <f>DMAX(autofill!$1:$1048576,$A42,RangeYear10)</f>
        <v>0</v>
      </c>
      <c r="AI42" s="31">
        <f>DMAX(autofill!$1:$1048576,$A42,RangeYear11)</f>
        <v>0</v>
      </c>
      <c r="AJ42" s="31">
        <f>DMAX(autofill!$1:$1048576,$A42,RangeYear12)</f>
        <v>0</v>
      </c>
      <c r="AK42" s="31">
        <f>DMAX(autofill!$1:$1048576,$A42,RangeYear13)</f>
        <v>0</v>
      </c>
      <c r="AL42" s="31">
        <f>DMAX(autofill!$1:$1048576,$A42,RangeYear14)</f>
        <v>0</v>
      </c>
      <c r="AM42" s="31">
        <f>DMAX(autofill!$1:$1048576,$A42,RangeYear15)</f>
        <v>0</v>
      </c>
      <c r="AN42" s="31">
        <f>DMAX(autofill!$1:$1048576,$A42,RangeYear16)</f>
        <v>0</v>
      </c>
      <c r="AO42" s="31">
        <f>DMAX(autofill!$1:$1048576,$A42,RangeYear17)</f>
        <v>0</v>
      </c>
      <c r="AP42" s="31">
        <f>DMAX(autofill!$1:$1048576,$A42,RangeYear18)</f>
        <v>0</v>
      </c>
      <c r="AQ42" s="31">
        <f>DMAX(autofill!$1:$1048576,$A42,RangeYear19)</f>
        <v>0</v>
      </c>
      <c r="AR42" s="31">
        <f>DMAX(autofill!$1:$1048576,$A42,RangeYear20)</f>
        <v>0</v>
      </c>
    </row>
    <row r="43" spans="1:44" x14ac:dyDescent="0.25">
      <c r="A43" s="19" t="s">
        <v>64</v>
      </c>
      <c r="B43" s="20" t="s">
        <v>65</v>
      </c>
      <c r="C43" s="31">
        <f>MATCH(A43,autofill!$1:$1,0)</f>
        <v>15</v>
      </c>
      <c r="D43" s="50">
        <f ca="1" xml:space="preserve"> INDEX(OFFSET(autofill!A:A,0,C43-1), Last_Data_Row, 1)</f>
        <v>10</v>
      </c>
      <c r="E43" s="31">
        <f t="shared" si="1"/>
        <v>10</v>
      </c>
      <c r="F43" s="31">
        <f t="shared" si="2"/>
        <v>0</v>
      </c>
      <c r="G43" s="31">
        <f t="shared" si="3"/>
        <v>0</v>
      </c>
      <c r="H43" s="31">
        <f t="shared" si="4"/>
        <v>0</v>
      </c>
      <c r="I43" s="31">
        <f t="shared" si="5"/>
        <v>0</v>
      </c>
      <c r="J43" s="31">
        <f t="shared" si="6"/>
        <v>0</v>
      </c>
      <c r="K43" s="31">
        <f t="shared" si="7"/>
        <v>0</v>
      </c>
      <c r="L43" s="31">
        <f t="shared" si="8"/>
        <v>0</v>
      </c>
      <c r="M43" s="31">
        <f t="shared" si="9"/>
        <v>0</v>
      </c>
      <c r="N43" s="31">
        <f t="shared" si="10"/>
        <v>0</v>
      </c>
      <c r="O43" s="31">
        <f t="shared" si="11"/>
        <v>0</v>
      </c>
      <c r="P43" s="31">
        <f t="shared" si="12"/>
        <v>0</v>
      </c>
      <c r="Q43" s="31">
        <f t="shared" si="13"/>
        <v>0</v>
      </c>
      <c r="R43" s="31">
        <f t="shared" si="14"/>
        <v>0</v>
      </c>
      <c r="S43" s="31">
        <f t="shared" si="15"/>
        <v>0</v>
      </c>
      <c r="T43" s="31">
        <f t="shared" si="16"/>
        <v>0</v>
      </c>
      <c r="U43" s="31">
        <f t="shared" si="17"/>
        <v>0</v>
      </c>
      <c r="V43" s="31">
        <f t="shared" si="18"/>
        <v>0</v>
      </c>
      <c r="W43" s="31">
        <f t="shared" si="19"/>
        <v>0</v>
      </c>
      <c r="X43" s="31">
        <f t="shared" si="20"/>
        <v>0</v>
      </c>
      <c r="Y43" s="31">
        <f>DMAX(autofill!$1:$1048576,$A43,RangeYear1)</f>
        <v>10</v>
      </c>
      <c r="Z43" s="31">
        <f>DMAX(autofill!$1:$1048576,$A43,RangeYear2)</f>
        <v>10</v>
      </c>
      <c r="AA43" s="31">
        <f>DMAX(autofill!$1:$1048576,$A43,RangeYear3)</f>
        <v>0</v>
      </c>
      <c r="AB43" s="31">
        <f>DMAX(autofill!$1:$1048576,$A43,RangeYear4)</f>
        <v>0</v>
      </c>
      <c r="AC43" s="31">
        <f>DMAX(autofill!$1:$1048576,$A43,RangeYear5)</f>
        <v>0</v>
      </c>
      <c r="AD43" s="31">
        <f>DMAX(autofill!$1:$1048576,$A43,RangeYear6)</f>
        <v>0</v>
      </c>
      <c r="AE43" s="31">
        <f>DMAX(autofill!$1:$1048576,$A43,RangeYear7)</f>
        <v>0</v>
      </c>
      <c r="AF43" s="31">
        <f>DMAX(autofill!$1:$1048576,$A43,RangeYear8)</f>
        <v>0</v>
      </c>
      <c r="AG43" s="31">
        <f>DMAX(autofill!$1:$1048576,$A43,RangeYear9)</f>
        <v>0</v>
      </c>
      <c r="AH43" s="31">
        <f>DMAX(autofill!$1:$1048576,$A43,RangeYear10)</f>
        <v>0</v>
      </c>
      <c r="AI43" s="31">
        <f>DMAX(autofill!$1:$1048576,$A43,RangeYear11)</f>
        <v>0</v>
      </c>
      <c r="AJ43" s="31">
        <f>DMAX(autofill!$1:$1048576,$A43,RangeYear12)</f>
        <v>0</v>
      </c>
      <c r="AK43" s="31">
        <f>DMAX(autofill!$1:$1048576,$A43,RangeYear13)</f>
        <v>0</v>
      </c>
      <c r="AL43" s="31">
        <f>DMAX(autofill!$1:$1048576,$A43,RangeYear14)</f>
        <v>0</v>
      </c>
      <c r="AM43" s="31">
        <f>DMAX(autofill!$1:$1048576,$A43,RangeYear15)</f>
        <v>0</v>
      </c>
      <c r="AN43" s="31">
        <f>DMAX(autofill!$1:$1048576,$A43,RangeYear16)</f>
        <v>0</v>
      </c>
      <c r="AO43" s="31">
        <f>DMAX(autofill!$1:$1048576,$A43,RangeYear17)</f>
        <v>0</v>
      </c>
      <c r="AP43" s="31">
        <f>DMAX(autofill!$1:$1048576,$A43,RangeYear18)</f>
        <v>0</v>
      </c>
      <c r="AQ43" s="31">
        <f>DMAX(autofill!$1:$1048576,$A43,RangeYear19)</f>
        <v>0</v>
      </c>
      <c r="AR43" s="31">
        <f>DMAX(autofill!$1:$1048576,$A43,RangeYear20)</f>
        <v>0</v>
      </c>
    </row>
    <row r="44" spans="1:44" x14ac:dyDescent="0.25">
      <c r="A44" s="19" t="s">
        <v>66</v>
      </c>
      <c r="B44" s="20" t="s">
        <v>67</v>
      </c>
      <c r="C44" s="31">
        <f>MATCH(A44,autofill!$1:$1,0)</f>
        <v>16</v>
      </c>
      <c r="D44" s="50">
        <f ca="1" xml:space="preserve"> INDEX(OFFSET(autofill!A:A,0,C44-1), Last_Data_Row, 1)</f>
        <v>10</v>
      </c>
      <c r="E44" s="31">
        <f t="shared" si="1"/>
        <v>10</v>
      </c>
      <c r="F44" s="31">
        <f t="shared" si="2"/>
        <v>0</v>
      </c>
      <c r="G44" s="31">
        <f t="shared" si="3"/>
        <v>0</v>
      </c>
      <c r="H44" s="31">
        <f t="shared" si="4"/>
        <v>0</v>
      </c>
      <c r="I44" s="31">
        <f t="shared" si="5"/>
        <v>0</v>
      </c>
      <c r="J44" s="31">
        <f t="shared" si="6"/>
        <v>0</v>
      </c>
      <c r="K44" s="31">
        <f t="shared" si="7"/>
        <v>0</v>
      </c>
      <c r="L44" s="31">
        <f t="shared" si="8"/>
        <v>0</v>
      </c>
      <c r="M44" s="31">
        <f t="shared" si="9"/>
        <v>0</v>
      </c>
      <c r="N44" s="31">
        <f t="shared" si="10"/>
        <v>0</v>
      </c>
      <c r="O44" s="31">
        <f t="shared" si="11"/>
        <v>0</v>
      </c>
      <c r="P44" s="31">
        <f t="shared" si="12"/>
        <v>0</v>
      </c>
      <c r="Q44" s="31">
        <f t="shared" si="13"/>
        <v>0</v>
      </c>
      <c r="R44" s="31">
        <f t="shared" si="14"/>
        <v>0</v>
      </c>
      <c r="S44" s="31">
        <f t="shared" si="15"/>
        <v>0</v>
      </c>
      <c r="T44" s="31">
        <f t="shared" si="16"/>
        <v>0</v>
      </c>
      <c r="U44" s="31">
        <f t="shared" si="17"/>
        <v>0</v>
      </c>
      <c r="V44" s="31">
        <f t="shared" si="18"/>
        <v>0</v>
      </c>
      <c r="W44" s="31">
        <f t="shared" si="19"/>
        <v>0</v>
      </c>
      <c r="X44" s="31">
        <f t="shared" si="20"/>
        <v>0</v>
      </c>
      <c r="Y44" s="31">
        <f>DMAX(autofill!$1:$1048576,$A44,RangeYear1)</f>
        <v>10</v>
      </c>
      <c r="Z44" s="31">
        <f>DMAX(autofill!$1:$1048576,$A44,RangeYear2)</f>
        <v>10</v>
      </c>
      <c r="AA44" s="31">
        <f>DMAX(autofill!$1:$1048576,$A44,RangeYear3)</f>
        <v>0</v>
      </c>
      <c r="AB44" s="31">
        <f>DMAX(autofill!$1:$1048576,$A44,RangeYear4)</f>
        <v>0</v>
      </c>
      <c r="AC44" s="31">
        <f>DMAX(autofill!$1:$1048576,$A44,RangeYear5)</f>
        <v>0</v>
      </c>
      <c r="AD44" s="31">
        <f>DMAX(autofill!$1:$1048576,$A44,RangeYear6)</f>
        <v>0</v>
      </c>
      <c r="AE44" s="31">
        <f>DMAX(autofill!$1:$1048576,$A44,RangeYear7)</f>
        <v>0</v>
      </c>
      <c r="AF44" s="31">
        <f>DMAX(autofill!$1:$1048576,$A44,RangeYear8)</f>
        <v>0</v>
      </c>
      <c r="AG44" s="31">
        <f>DMAX(autofill!$1:$1048576,$A44,RangeYear9)</f>
        <v>0</v>
      </c>
      <c r="AH44" s="31">
        <f>DMAX(autofill!$1:$1048576,$A44,RangeYear10)</f>
        <v>0</v>
      </c>
      <c r="AI44" s="31">
        <f>DMAX(autofill!$1:$1048576,$A44,RangeYear11)</f>
        <v>0</v>
      </c>
      <c r="AJ44" s="31">
        <f>DMAX(autofill!$1:$1048576,$A44,RangeYear12)</f>
        <v>0</v>
      </c>
      <c r="AK44" s="31">
        <f>DMAX(autofill!$1:$1048576,$A44,RangeYear13)</f>
        <v>0</v>
      </c>
      <c r="AL44" s="31">
        <f>DMAX(autofill!$1:$1048576,$A44,RangeYear14)</f>
        <v>0</v>
      </c>
      <c r="AM44" s="31">
        <f>DMAX(autofill!$1:$1048576,$A44,RangeYear15)</f>
        <v>0</v>
      </c>
      <c r="AN44" s="31">
        <f>DMAX(autofill!$1:$1048576,$A44,RangeYear16)</f>
        <v>0</v>
      </c>
      <c r="AO44" s="31">
        <f>DMAX(autofill!$1:$1048576,$A44,RangeYear17)</f>
        <v>0</v>
      </c>
      <c r="AP44" s="31">
        <f>DMAX(autofill!$1:$1048576,$A44,RangeYear18)</f>
        <v>0</v>
      </c>
      <c r="AQ44" s="31">
        <f>DMAX(autofill!$1:$1048576,$A44,RangeYear19)</f>
        <v>0</v>
      </c>
      <c r="AR44" s="31">
        <f>DMAX(autofill!$1:$1048576,$A44,RangeYear20)</f>
        <v>0</v>
      </c>
    </row>
    <row r="45" spans="1:44" x14ac:dyDescent="0.25">
      <c r="A45" s="19" t="s">
        <v>68</v>
      </c>
      <c r="B45" s="20" t="s">
        <v>69</v>
      </c>
      <c r="C45" s="31">
        <f>MATCH(A45,autofill!$1:$1,0)</f>
        <v>17</v>
      </c>
      <c r="D45" s="50">
        <f ca="1" xml:space="preserve"> INDEX(OFFSET(autofill!A:A,0,C45-1), Last_Data_Row, 1)</f>
        <v>10</v>
      </c>
      <c r="E45" s="31">
        <f t="shared" si="1"/>
        <v>10</v>
      </c>
      <c r="F45" s="31">
        <f t="shared" si="2"/>
        <v>0</v>
      </c>
      <c r="G45" s="31">
        <f t="shared" si="3"/>
        <v>0</v>
      </c>
      <c r="H45" s="31">
        <f t="shared" si="4"/>
        <v>0</v>
      </c>
      <c r="I45" s="31">
        <f t="shared" si="5"/>
        <v>0</v>
      </c>
      <c r="J45" s="31">
        <f t="shared" si="6"/>
        <v>0</v>
      </c>
      <c r="K45" s="31">
        <f t="shared" si="7"/>
        <v>0</v>
      </c>
      <c r="L45" s="31">
        <f t="shared" si="8"/>
        <v>0</v>
      </c>
      <c r="M45" s="31">
        <f t="shared" si="9"/>
        <v>0</v>
      </c>
      <c r="N45" s="31">
        <f t="shared" si="10"/>
        <v>0</v>
      </c>
      <c r="O45" s="31">
        <f t="shared" si="11"/>
        <v>0</v>
      </c>
      <c r="P45" s="31">
        <f t="shared" si="12"/>
        <v>0</v>
      </c>
      <c r="Q45" s="31">
        <f t="shared" si="13"/>
        <v>0</v>
      </c>
      <c r="R45" s="31">
        <f t="shared" si="14"/>
        <v>0</v>
      </c>
      <c r="S45" s="31">
        <f t="shared" si="15"/>
        <v>0</v>
      </c>
      <c r="T45" s="31">
        <f t="shared" si="16"/>
        <v>0</v>
      </c>
      <c r="U45" s="31">
        <f t="shared" si="17"/>
        <v>0</v>
      </c>
      <c r="V45" s="31">
        <f t="shared" si="18"/>
        <v>0</v>
      </c>
      <c r="W45" s="31">
        <f t="shared" si="19"/>
        <v>0</v>
      </c>
      <c r="X45" s="31">
        <f t="shared" si="20"/>
        <v>0</v>
      </c>
      <c r="Y45" s="31">
        <f>DMAX(autofill!$1:$1048576,$A45,RangeYear1)</f>
        <v>10</v>
      </c>
      <c r="Z45" s="31">
        <f>DMAX(autofill!$1:$1048576,$A45,RangeYear2)</f>
        <v>10</v>
      </c>
      <c r="AA45" s="31">
        <f>DMAX(autofill!$1:$1048576,$A45,RangeYear3)</f>
        <v>0</v>
      </c>
      <c r="AB45" s="31">
        <f>DMAX(autofill!$1:$1048576,$A45,RangeYear4)</f>
        <v>0</v>
      </c>
      <c r="AC45" s="31">
        <f>DMAX(autofill!$1:$1048576,$A45,RangeYear5)</f>
        <v>0</v>
      </c>
      <c r="AD45" s="31">
        <f>DMAX(autofill!$1:$1048576,$A45,RangeYear6)</f>
        <v>0</v>
      </c>
      <c r="AE45" s="31">
        <f>DMAX(autofill!$1:$1048576,$A45,RangeYear7)</f>
        <v>0</v>
      </c>
      <c r="AF45" s="31">
        <f>DMAX(autofill!$1:$1048576,$A45,RangeYear8)</f>
        <v>0</v>
      </c>
      <c r="AG45" s="31">
        <f>DMAX(autofill!$1:$1048576,$A45,RangeYear9)</f>
        <v>0</v>
      </c>
      <c r="AH45" s="31">
        <f>DMAX(autofill!$1:$1048576,$A45,RangeYear10)</f>
        <v>0</v>
      </c>
      <c r="AI45" s="31">
        <f>DMAX(autofill!$1:$1048576,$A45,RangeYear11)</f>
        <v>0</v>
      </c>
      <c r="AJ45" s="31">
        <f>DMAX(autofill!$1:$1048576,$A45,RangeYear12)</f>
        <v>0</v>
      </c>
      <c r="AK45" s="31">
        <f>DMAX(autofill!$1:$1048576,$A45,RangeYear13)</f>
        <v>0</v>
      </c>
      <c r="AL45" s="31">
        <f>DMAX(autofill!$1:$1048576,$A45,RangeYear14)</f>
        <v>0</v>
      </c>
      <c r="AM45" s="31">
        <f>DMAX(autofill!$1:$1048576,$A45,RangeYear15)</f>
        <v>0</v>
      </c>
      <c r="AN45" s="31">
        <f>DMAX(autofill!$1:$1048576,$A45,RangeYear16)</f>
        <v>0</v>
      </c>
      <c r="AO45" s="31">
        <f>DMAX(autofill!$1:$1048576,$A45,RangeYear17)</f>
        <v>0</v>
      </c>
      <c r="AP45" s="31">
        <f>DMAX(autofill!$1:$1048576,$A45,RangeYear18)</f>
        <v>0</v>
      </c>
      <c r="AQ45" s="31">
        <f>DMAX(autofill!$1:$1048576,$A45,RangeYear19)</f>
        <v>0</v>
      </c>
      <c r="AR45" s="31">
        <f>DMAX(autofill!$1:$1048576,$A45,RangeYear20)</f>
        <v>0</v>
      </c>
    </row>
    <row r="46" spans="1:44" x14ac:dyDescent="0.25">
      <c r="A46" s="31" t="s">
        <v>86</v>
      </c>
      <c r="B46" s="31" t="s">
        <v>102</v>
      </c>
      <c r="C46" s="31">
        <f>MATCH(A46,autofill!$1:$1,0)</f>
        <v>18</v>
      </c>
      <c r="D46" s="50">
        <f ca="1" xml:space="preserve"> INDEX(OFFSET(autofill!A:A,0,C46-1), Last_Data_Row, 1)</f>
        <v>299237.35415482603</v>
      </c>
      <c r="E46" s="31">
        <f t="shared" si="1"/>
        <v>160133.35417709101</v>
      </c>
      <c r="F46" s="31">
        <f t="shared" si="2"/>
        <v>139103.99997773502</v>
      </c>
      <c r="G46" s="31">
        <f t="shared" si="3"/>
        <v>0</v>
      </c>
      <c r="H46" s="31">
        <f t="shared" si="4"/>
        <v>0</v>
      </c>
      <c r="I46" s="31">
        <f t="shared" si="5"/>
        <v>0</v>
      </c>
      <c r="J46" s="31">
        <f t="shared" si="6"/>
        <v>0</v>
      </c>
      <c r="K46" s="31">
        <f t="shared" si="7"/>
        <v>0</v>
      </c>
      <c r="L46" s="31">
        <f t="shared" si="8"/>
        <v>0</v>
      </c>
      <c r="M46" s="31">
        <f t="shared" si="9"/>
        <v>0</v>
      </c>
      <c r="N46" s="31">
        <f t="shared" si="10"/>
        <v>0</v>
      </c>
      <c r="O46" s="31">
        <f t="shared" si="11"/>
        <v>0</v>
      </c>
      <c r="P46" s="31">
        <f t="shared" si="12"/>
        <v>0</v>
      </c>
      <c r="Q46" s="31">
        <f t="shared" si="13"/>
        <v>0</v>
      </c>
      <c r="R46" s="31">
        <f t="shared" si="14"/>
        <v>0</v>
      </c>
      <c r="S46" s="31">
        <f t="shared" si="15"/>
        <v>0</v>
      </c>
      <c r="T46" s="31">
        <f t="shared" si="16"/>
        <v>0</v>
      </c>
      <c r="U46" s="31">
        <f t="shared" si="17"/>
        <v>0</v>
      </c>
      <c r="V46" s="31">
        <f t="shared" si="18"/>
        <v>0</v>
      </c>
      <c r="W46" s="31">
        <f t="shared" si="19"/>
        <v>0</v>
      </c>
      <c r="X46" s="31">
        <f t="shared" si="20"/>
        <v>0</v>
      </c>
      <c r="Y46" s="31">
        <f>DMAX(autofill!$1:$1048576,$A46,RangeYear1)</f>
        <v>160133.35417709101</v>
      </c>
      <c r="Z46" s="31">
        <f>DMAX(autofill!$1:$1048576,$A46,RangeYear2)</f>
        <v>299237.35415482603</v>
      </c>
      <c r="AA46" s="31">
        <f>DMAX(autofill!$1:$1048576,$A46,RangeYear3)</f>
        <v>0</v>
      </c>
      <c r="AB46" s="31">
        <f>DMAX(autofill!$1:$1048576,$A46,RangeYear4)</f>
        <v>0</v>
      </c>
      <c r="AC46" s="31">
        <f>DMAX(autofill!$1:$1048576,$A46,RangeYear5)</f>
        <v>0</v>
      </c>
      <c r="AD46" s="31">
        <f>DMAX(autofill!$1:$1048576,$A46,RangeYear6)</f>
        <v>0</v>
      </c>
      <c r="AE46" s="31">
        <f>DMAX(autofill!$1:$1048576,$A46,RangeYear7)</f>
        <v>0</v>
      </c>
      <c r="AF46" s="31">
        <f>DMAX(autofill!$1:$1048576,$A46,RangeYear8)</f>
        <v>0</v>
      </c>
      <c r="AG46" s="31">
        <f>DMAX(autofill!$1:$1048576,$A46,RangeYear9)</f>
        <v>0</v>
      </c>
      <c r="AH46" s="31">
        <f>DMAX(autofill!$1:$1048576,$A46,RangeYear10)</f>
        <v>0</v>
      </c>
      <c r="AI46" s="31">
        <f>DMAX(autofill!$1:$1048576,$A46,RangeYear11)</f>
        <v>0</v>
      </c>
      <c r="AJ46" s="31">
        <f>DMAX(autofill!$1:$1048576,$A46,RangeYear12)</f>
        <v>0</v>
      </c>
      <c r="AK46" s="31">
        <f>DMAX(autofill!$1:$1048576,$A46,RangeYear13)</f>
        <v>0</v>
      </c>
      <c r="AL46" s="31">
        <f>DMAX(autofill!$1:$1048576,$A46,RangeYear14)</f>
        <v>0</v>
      </c>
      <c r="AM46" s="31">
        <f>DMAX(autofill!$1:$1048576,$A46,RangeYear15)</f>
        <v>0</v>
      </c>
      <c r="AN46" s="31">
        <f>DMAX(autofill!$1:$1048576,$A46,RangeYear16)</f>
        <v>0</v>
      </c>
      <c r="AO46" s="31">
        <f>DMAX(autofill!$1:$1048576,$A46,RangeYear17)</f>
        <v>0</v>
      </c>
      <c r="AP46" s="31">
        <f>DMAX(autofill!$1:$1048576,$A46,RangeYear18)</f>
        <v>0</v>
      </c>
      <c r="AQ46" s="31">
        <f>DMAX(autofill!$1:$1048576,$A46,RangeYear19)</f>
        <v>0</v>
      </c>
      <c r="AR46" s="31">
        <f>DMAX(autofill!$1:$1048576,$A46,RangeYear20)</f>
        <v>0</v>
      </c>
    </row>
    <row r="47" spans="1:44" x14ac:dyDescent="0.25">
      <c r="A47" s="31" t="s">
        <v>87</v>
      </c>
      <c r="B47" s="31" t="s">
        <v>103</v>
      </c>
      <c r="C47" s="31">
        <f>MATCH(A47,autofill!$1:$1,0)</f>
        <v>19</v>
      </c>
      <c r="D47" s="50">
        <f ca="1" xml:space="preserve"> INDEX(OFFSET(autofill!A:A,0,C47-1), Last_Data_Row, 1)</f>
        <v>298929.556852868</v>
      </c>
      <c r="E47" s="31">
        <f t="shared" si="1"/>
        <v>159825.556875137</v>
      </c>
      <c r="F47" s="31">
        <f t="shared" si="2"/>
        <v>139103.999977731</v>
      </c>
      <c r="G47" s="31">
        <f t="shared" si="3"/>
        <v>0</v>
      </c>
      <c r="H47" s="31">
        <f t="shared" si="4"/>
        <v>0</v>
      </c>
      <c r="I47" s="31">
        <f t="shared" si="5"/>
        <v>0</v>
      </c>
      <c r="J47" s="31">
        <f t="shared" si="6"/>
        <v>0</v>
      </c>
      <c r="K47" s="31">
        <f t="shared" si="7"/>
        <v>0</v>
      </c>
      <c r="L47" s="31">
        <f t="shared" si="8"/>
        <v>0</v>
      </c>
      <c r="M47" s="31">
        <f t="shared" si="9"/>
        <v>0</v>
      </c>
      <c r="N47" s="31">
        <f t="shared" si="10"/>
        <v>0</v>
      </c>
      <c r="O47" s="31">
        <f t="shared" si="11"/>
        <v>0</v>
      </c>
      <c r="P47" s="31">
        <f t="shared" si="12"/>
        <v>0</v>
      </c>
      <c r="Q47" s="31">
        <f t="shared" si="13"/>
        <v>0</v>
      </c>
      <c r="R47" s="31">
        <f t="shared" si="14"/>
        <v>0</v>
      </c>
      <c r="S47" s="31">
        <f t="shared" si="15"/>
        <v>0</v>
      </c>
      <c r="T47" s="31">
        <f t="shared" si="16"/>
        <v>0</v>
      </c>
      <c r="U47" s="31">
        <f t="shared" si="17"/>
        <v>0</v>
      </c>
      <c r="V47" s="31">
        <f t="shared" si="18"/>
        <v>0</v>
      </c>
      <c r="W47" s="31">
        <f t="shared" si="19"/>
        <v>0</v>
      </c>
      <c r="X47" s="31">
        <f t="shared" si="20"/>
        <v>0</v>
      </c>
      <c r="Y47" s="31">
        <f>DMAX(autofill!$1:$1048576,$A47,RangeYear1)</f>
        <v>159825.556875137</v>
      </c>
      <c r="Z47" s="31">
        <f>DMAX(autofill!$1:$1048576,$A47,RangeYear2)</f>
        <v>298929.556852868</v>
      </c>
      <c r="AA47" s="31">
        <f>DMAX(autofill!$1:$1048576,$A47,RangeYear3)</f>
        <v>0</v>
      </c>
      <c r="AB47" s="31">
        <f>DMAX(autofill!$1:$1048576,$A47,RangeYear4)</f>
        <v>0</v>
      </c>
      <c r="AC47" s="31">
        <f>DMAX(autofill!$1:$1048576,$A47,RangeYear5)</f>
        <v>0</v>
      </c>
      <c r="AD47" s="31">
        <f>DMAX(autofill!$1:$1048576,$A47,RangeYear6)</f>
        <v>0</v>
      </c>
      <c r="AE47" s="31">
        <f>DMAX(autofill!$1:$1048576,$A47,RangeYear7)</f>
        <v>0</v>
      </c>
      <c r="AF47" s="31">
        <f>DMAX(autofill!$1:$1048576,$A47,RangeYear8)</f>
        <v>0</v>
      </c>
      <c r="AG47" s="31">
        <f>DMAX(autofill!$1:$1048576,$A47,RangeYear9)</f>
        <v>0</v>
      </c>
      <c r="AH47" s="31">
        <f>DMAX(autofill!$1:$1048576,$A47,RangeYear10)</f>
        <v>0</v>
      </c>
      <c r="AI47" s="31">
        <f>DMAX(autofill!$1:$1048576,$A47,RangeYear11)</f>
        <v>0</v>
      </c>
      <c r="AJ47" s="31">
        <f>DMAX(autofill!$1:$1048576,$A47,RangeYear12)</f>
        <v>0</v>
      </c>
      <c r="AK47" s="31">
        <f>DMAX(autofill!$1:$1048576,$A47,RangeYear13)</f>
        <v>0</v>
      </c>
      <c r="AL47" s="31">
        <f>DMAX(autofill!$1:$1048576,$A47,RangeYear14)</f>
        <v>0</v>
      </c>
      <c r="AM47" s="31">
        <f>DMAX(autofill!$1:$1048576,$A47,RangeYear15)</f>
        <v>0</v>
      </c>
      <c r="AN47" s="31">
        <f>DMAX(autofill!$1:$1048576,$A47,RangeYear16)</f>
        <v>0</v>
      </c>
      <c r="AO47" s="31">
        <f>DMAX(autofill!$1:$1048576,$A47,RangeYear17)</f>
        <v>0</v>
      </c>
      <c r="AP47" s="31">
        <f>DMAX(autofill!$1:$1048576,$A47,RangeYear18)</f>
        <v>0</v>
      </c>
      <c r="AQ47" s="31">
        <f>DMAX(autofill!$1:$1048576,$A47,RangeYear19)</f>
        <v>0</v>
      </c>
      <c r="AR47" s="31">
        <f>DMAX(autofill!$1:$1048576,$A47,RangeYear20)</f>
        <v>0</v>
      </c>
    </row>
    <row r="48" spans="1:44" x14ac:dyDescent="0.25">
      <c r="A48" s="31" t="s">
        <v>88</v>
      </c>
      <c r="B48" s="31" t="s">
        <v>104</v>
      </c>
      <c r="C48" s="31">
        <f>MATCH(A48,autofill!$1:$1,0)</f>
        <v>20</v>
      </c>
      <c r="D48" s="50">
        <f ca="1" xml:space="preserve"> INDEX(OFFSET(autofill!A:A,0,C48-1), Last_Data_Row, 1)</f>
        <v>298501.97077886999</v>
      </c>
      <c r="E48" s="31">
        <f t="shared" si="1"/>
        <v>159397.970801138</v>
      </c>
      <c r="F48" s="31">
        <f t="shared" si="2"/>
        <v>139103.99997773199</v>
      </c>
      <c r="G48" s="31">
        <f t="shared" si="3"/>
        <v>0</v>
      </c>
      <c r="H48" s="31">
        <f t="shared" si="4"/>
        <v>0</v>
      </c>
      <c r="I48" s="31">
        <f t="shared" si="5"/>
        <v>0</v>
      </c>
      <c r="J48" s="31">
        <f t="shared" si="6"/>
        <v>0</v>
      </c>
      <c r="K48" s="31">
        <f t="shared" si="7"/>
        <v>0</v>
      </c>
      <c r="L48" s="31">
        <f t="shared" si="8"/>
        <v>0</v>
      </c>
      <c r="M48" s="31">
        <f t="shared" si="9"/>
        <v>0</v>
      </c>
      <c r="N48" s="31">
        <f t="shared" si="10"/>
        <v>0</v>
      </c>
      <c r="O48" s="31">
        <f t="shared" si="11"/>
        <v>0</v>
      </c>
      <c r="P48" s="31">
        <f t="shared" si="12"/>
        <v>0</v>
      </c>
      <c r="Q48" s="31">
        <f t="shared" si="13"/>
        <v>0</v>
      </c>
      <c r="R48" s="31">
        <f t="shared" si="14"/>
        <v>0</v>
      </c>
      <c r="S48" s="31">
        <f t="shared" si="15"/>
        <v>0</v>
      </c>
      <c r="T48" s="31">
        <f t="shared" si="16"/>
        <v>0</v>
      </c>
      <c r="U48" s="31">
        <f t="shared" si="17"/>
        <v>0</v>
      </c>
      <c r="V48" s="31">
        <f t="shared" si="18"/>
        <v>0</v>
      </c>
      <c r="W48" s="31">
        <f t="shared" si="19"/>
        <v>0</v>
      </c>
      <c r="X48" s="31">
        <f t="shared" si="20"/>
        <v>0</v>
      </c>
      <c r="Y48" s="31">
        <f>DMAX(autofill!$1:$1048576,$A48,RangeYear1)</f>
        <v>159397.970801138</v>
      </c>
      <c r="Z48" s="31">
        <f>DMAX(autofill!$1:$1048576,$A48,RangeYear2)</f>
        <v>298501.97077886999</v>
      </c>
      <c r="AA48" s="31">
        <f>DMAX(autofill!$1:$1048576,$A48,RangeYear3)</f>
        <v>0</v>
      </c>
      <c r="AB48" s="31">
        <f>DMAX(autofill!$1:$1048576,$A48,RangeYear4)</f>
        <v>0</v>
      </c>
      <c r="AC48" s="31">
        <f>DMAX(autofill!$1:$1048576,$A48,RangeYear5)</f>
        <v>0</v>
      </c>
      <c r="AD48" s="31">
        <f>DMAX(autofill!$1:$1048576,$A48,RangeYear6)</f>
        <v>0</v>
      </c>
      <c r="AE48" s="31">
        <f>DMAX(autofill!$1:$1048576,$A48,RangeYear7)</f>
        <v>0</v>
      </c>
      <c r="AF48" s="31">
        <f>DMAX(autofill!$1:$1048576,$A48,RangeYear8)</f>
        <v>0</v>
      </c>
      <c r="AG48" s="31">
        <f>DMAX(autofill!$1:$1048576,$A48,RangeYear9)</f>
        <v>0</v>
      </c>
      <c r="AH48" s="31">
        <f>DMAX(autofill!$1:$1048576,$A48,RangeYear10)</f>
        <v>0</v>
      </c>
      <c r="AI48" s="31">
        <f>DMAX(autofill!$1:$1048576,$A48,RangeYear11)</f>
        <v>0</v>
      </c>
      <c r="AJ48" s="31">
        <f>DMAX(autofill!$1:$1048576,$A48,RangeYear12)</f>
        <v>0</v>
      </c>
      <c r="AK48" s="31">
        <f>DMAX(autofill!$1:$1048576,$A48,RangeYear13)</f>
        <v>0</v>
      </c>
      <c r="AL48" s="31">
        <f>DMAX(autofill!$1:$1048576,$A48,RangeYear14)</f>
        <v>0</v>
      </c>
      <c r="AM48" s="31">
        <f>DMAX(autofill!$1:$1048576,$A48,RangeYear15)</f>
        <v>0</v>
      </c>
      <c r="AN48" s="31">
        <f>DMAX(autofill!$1:$1048576,$A48,RangeYear16)</f>
        <v>0</v>
      </c>
      <c r="AO48" s="31">
        <f>DMAX(autofill!$1:$1048576,$A48,RangeYear17)</f>
        <v>0</v>
      </c>
      <c r="AP48" s="31">
        <f>DMAX(autofill!$1:$1048576,$A48,RangeYear18)</f>
        <v>0</v>
      </c>
      <c r="AQ48" s="31">
        <f>DMAX(autofill!$1:$1048576,$A48,RangeYear19)</f>
        <v>0</v>
      </c>
      <c r="AR48" s="31">
        <f>DMAX(autofill!$1:$1048576,$A48,RangeYear20)</f>
        <v>0</v>
      </c>
    </row>
    <row r="49" spans="1:44" x14ac:dyDescent="0.25">
      <c r="A49" s="31" t="s">
        <v>89</v>
      </c>
      <c r="B49" s="31" t="s">
        <v>105</v>
      </c>
      <c r="C49" s="31">
        <f>MATCH(A49,autofill!$1:$1,0)</f>
        <v>21</v>
      </c>
      <c r="D49" s="50">
        <f ca="1" xml:space="preserve"> INDEX(OFFSET(autofill!A:A,0,C49-1), Last_Data_Row, 1)</f>
        <v>369.61916046315702</v>
      </c>
      <c r="E49" s="31">
        <f t="shared" si="1"/>
        <v>369.61916046315702</v>
      </c>
      <c r="F49" s="31">
        <f t="shared" si="2"/>
        <v>0</v>
      </c>
      <c r="G49" s="31">
        <f t="shared" si="3"/>
        <v>0</v>
      </c>
      <c r="H49" s="31">
        <f t="shared" si="4"/>
        <v>0</v>
      </c>
      <c r="I49" s="31">
        <f t="shared" si="5"/>
        <v>0</v>
      </c>
      <c r="J49" s="31">
        <f t="shared" si="6"/>
        <v>0</v>
      </c>
      <c r="K49" s="31">
        <f t="shared" si="7"/>
        <v>0</v>
      </c>
      <c r="L49" s="31">
        <f t="shared" si="8"/>
        <v>0</v>
      </c>
      <c r="M49" s="31">
        <f t="shared" si="9"/>
        <v>0</v>
      </c>
      <c r="N49" s="31">
        <f t="shared" si="10"/>
        <v>0</v>
      </c>
      <c r="O49" s="31">
        <f t="shared" si="11"/>
        <v>0</v>
      </c>
      <c r="P49" s="31">
        <f t="shared" si="12"/>
        <v>0</v>
      </c>
      <c r="Q49" s="31">
        <f t="shared" si="13"/>
        <v>0</v>
      </c>
      <c r="R49" s="31">
        <f t="shared" si="14"/>
        <v>0</v>
      </c>
      <c r="S49" s="31">
        <f t="shared" si="15"/>
        <v>0</v>
      </c>
      <c r="T49" s="31">
        <f t="shared" si="16"/>
        <v>0</v>
      </c>
      <c r="U49" s="31">
        <f t="shared" si="17"/>
        <v>0</v>
      </c>
      <c r="V49" s="31">
        <f t="shared" si="18"/>
        <v>0</v>
      </c>
      <c r="W49" s="31">
        <f t="shared" si="19"/>
        <v>0</v>
      </c>
      <c r="X49" s="31">
        <f t="shared" si="20"/>
        <v>0</v>
      </c>
      <c r="Y49" s="31">
        <f>DMAX(autofill!$1:$1048576,$A49,RangeYear1)</f>
        <v>369.61916046315702</v>
      </c>
      <c r="Z49" s="31">
        <f>DMAX(autofill!$1:$1048576,$A49,RangeYear2)</f>
        <v>369.61916046315702</v>
      </c>
      <c r="AA49" s="31">
        <f>DMAX(autofill!$1:$1048576,$A49,RangeYear3)</f>
        <v>0</v>
      </c>
      <c r="AB49" s="31">
        <f>DMAX(autofill!$1:$1048576,$A49,RangeYear4)</f>
        <v>0</v>
      </c>
      <c r="AC49" s="31">
        <f>DMAX(autofill!$1:$1048576,$A49,RangeYear5)</f>
        <v>0</v>
      </c>
      <c r="AD49" s="31">
        <f>DMAX(autofill!$1:$1048576,$A49,RangeYear6)</f>
        <v>0</v>
      </c>
      <c r="AE49" s="31">
        <f>DMAX(autofill!$1:$1048576,$A49,RangeYear7)</f>
        <v>0</v>
      </c>
      <c r="AF49" s="31">
        <f>DMAX(autofill!$1:$1048576,$A49,RangeYear8)</f>
        <v>0</v>
      </c>
      <c r="AG49" s="31">
        <f>DMAX(autofill!$1:$1048576,$A49,RangeYear9)</f>
        <v>0</v>
      </c>
      <c r="AH49" s="31">
        <f>DMAX(autofill!$1:$1048576,$A49,RangeYear10)</f>
        <v>0</v>
      </c>
      <c r="AI49" s="31">
        <f>DMAX(autofill!$1:$1048576,$A49,RangeYear11)</f>
        <v>0</v>
      </c>
      <c r="AJ49" s="31">
        <f>DMAX(autofill!$1:$1048576,$A49,RangeYear12)</f>
        <v>0</v>
      </c>
      <c r="AK49" s="31">
        <f>DMAX(autofill!$1:$1048576,$A49,RangeYear13)</f>
        <v>0</v>
      </c>
      <c r="AL49" s="31">
        <f>DMAX(autofill!$1:$1048576,$A49,RangeYear14)</f>
        <v>0</v>
      </c>
      <c r="AM49" s="31">
        <f>DMAX(autofill!$1:$1048576,$A49,RangeYear15)</f>
        <v>0</v>
      </c>
      <c r="AN49" s="31">
        <f>DMAX(autofill!$1:$1048576,$A49,RangeYear16)</f>
        <v>0</v>
      </c>
      <c r="AO49" s="31">
        <f>DMAX(autofill!$1:$1048576,$A49,RangeYear17)</f>
        <v>0</v>
      </c>
      <c r="AP49" s="31">
        <f>DMAX(autofill!$1:$1048576,$A49,RangeYear18)</f>
        <v>0</v>
      </c>
      <c r="AQ49" s="31">
        <f>DMAX(autofill!$1:$1048576,$A49,RangeYear19)</f>
        <v>0</v>
      </c>
      <c r="AR49" s="31">
        <f>DMAX(autofill!$1:$1048576,$A49,RangeYear20)</f>
        <v>0</v>
      </c>
    </row>
    <row r="50" spans="1:44" x14ac:dyDescent="0.25">
      <c r="A50" s="31" t="s">
        <v>90</v>
      </c>
      <c r="B50" s="31" t="s">
        <v>106</v>
      </c>
      <c r="C50" s="31">
        <f>MATCH(A50,autofill!$1:$1,0)</f>
        <v>22</v>
      </c>
      <c r="D50" s="50">
        <f ca="1" xml:space="preserve"> INDEX(OFFSET(autofill!A:A,0,C50-1), Last_Data_Row, 1)</f>
        <v>203.455504138252</v>
      </c>
      <c r="E50" s="31">
        <f t="shared" si="1"/>
        <v>203.455504138252</v>
      </c>
      <c r="F50" s="31">
        <f t="shared" si="2"/>
        <v>0</v>
      </c>
      <c r="G50" s="31">
        <f t="shared" si="3"/>
        <v>0</v>
      </c>
      <c r="H50" s="31">
        <f t="shared" si="4"/>
        <v>0</v>
      </c>
      <c r="I50" s="31">
        <f t="shared" si="5"/>
        <v>0</v>
      </c>
      <c r="J50" s="31">
        <f t="shared" si="6"/>
        <v>0</v>
      </c>
      <c r="K50" s="31">
        <f t="shared" si="7"/>
        <v>0</v>
      </c>
      <c r="L50" s="31">
        <f t="shared" si="8"/>
        <v>0</v>
      </c>
      <c r="M50" s="31">
        <f t="shared" si="9"/>
        <v>0</v>
      </c>
      <c r="N50" s="31">
        <f t="shared" si="10"/>
        <v>0</v>
      </c>
      <c r="O50" s="31">
        <f t="shared" si="11"/>
        <v>0</v>
      </c>
      <c r="P50" s="31">
        <f t="shared" si="12"/>
        <v>0</v>
      </c>
      <c r="Q50" s="31">
        <f t="shared" si="13"/>
        <v>0</v>
      </c>
      <c r="R50" s="31">
        <f t="shared" si="14"/>
        <v>0</v>
      </c>
      <c r="S50" s="31">
        <f t="shared" si="15"/>
        <v>0</v>
      </c>
      <c r="T50" s="31">
        <f t="shared" si="16"/>
        <v>0</v>
      </c>
      <c r="U50" s="31">
        <f t="shared" si="17"/>
        <v>0</v>
      </c>
      <c r="V50" s="31">
        <f t="shared" si="18"/>
        <v>0</v>
      </c>
      <c r="W50" s="31">
        <f t="shared" si="19"/>
        <v>0</v>
      </c>
      <c r="X50" s="31">
        <f t="shared" si="20"/>
        <v>0</v>
      </c>
      <c r="Y50" s="31">
        <f>DMAX(autofill!$1:$1048576,$A50,RangeYear1)</f>
        <v>203.455504138252</v>
      </c>
      <c r="Z50" s="31">
        <f>DMAX(autofill!$1:$1048576,$A50,RangeYear2)</f>
        <v>203.455504138252</v>
      </c>
      <c r="AA50" s="31">
        <f>DMAX(autofill!$1:$1048576,$A50,RangeYear3)</f>
        <v>0</v>
      </c>
      <c r="AB50" s="31">
        <f>DMAX(autofill!$1:$1048576,$A50,RangeYear4)</f>
        <v>0</v>
      </c>
      <c r="AC50" s="31">
        <f>DMAX(autofill!$1:$1048576,$A50,RangeYear5)</f>
        <v>0</v>
      </c>
      <c r="AD50" s="31">
        <f>DMAX(autofill!$1:$1048576,$A50,RangeYear6)</f>
        <v>0</v>
      </c>
      <c r="AE50" s="31">
        <f>DMAX(autofill!$1:$1048576,$A50,RangeYear7)</f>
        <v>0</v>
      </c>
      <c r="AF50" s="31">
        <f>DMAX(autofill!$1:$1048576,$A50,RangeYear8)</f>
        <v>0</v>
      </c>
      <c r="AG50" s="31">
        <f>DMAX(autofill!$1:$1048576,$A50,RangeYear9)</f>
        <v>0</v>
      </c>
      <c r="AH50" s="31">
        <f>DMAX(autofill!$1:$1048576,$A50,RangeYear10)</f>
        <v>0</v>
      </c>
      <c r="AI50" s="31">
        <f>DMAX(autofill!$1:$1048576,$A50,RangeYear11)</f>
        <v>0</v>
      </c>
      <c r="AJ50" s="31">
        <f>DMAX(autofill!$1:$1048576,$A50,RangeYear12)</f>
        <v>0</v>
      </c>
      <c r="AK50" s="31">
        <f>DMAX(autofill!$1:$1048576,$A50,RangeYear13)</f>
        <v>0</v>
      </c>
      <c r="AL50" s="31">
        <f>DMAX(autofill!$1:$1048576,$A50,RangeYear14)</f>
        <v>0</v>
      </c>
      <c r="AM50" s="31">
        <f>DMAX(autofill!$1:$1048576,$A50,RangeYear15)</f>
        <v>0</v>
      </c>
      <c r="AN50" s="31">
        <f>DMAX(autofill!$1:$1048576,$A50,RangeYear16)</f>
        <v>0</v>
      </c>
      <c r="AO50" s="31">
        <f>DMAX(autofill!$1:$1048576,$A50,RangeYear17)</f>
        <v>0</v>
      </c>
      <c r="AP50" s="31">
        <f>DMAX(autofill!$1:$1048576,$A50,RangeYear18)</f>
        <v>0</v>
      </c>
      <c r="AQ50" s="31">
        <f>DMAX(autofill!$1:$1048576,$A50,RangeYear19)</f>
        <v>0</v>
      </c>
      <c r="AR50" s="31">
        <f>DMAX(autofill!$1:$1048576,$A50,RangeYear20)</f>
        <v>0</v>
      </c>
    </row>
    <row r="51" spans="1:44" x14ac:dyDescent="0.25">
      <c r="A51" s="31" t="s">
        <v>91</v>
      </c>
      <c r="B51" s="31" t="s">
        <v>107</v>
      </c>
      <c r="C51" s="31">
        <f>MATCH(A51,autofill!$1:$1,0)</f>
        <v>23</v>
      </c>
      <c r="D51" s="50">
        <f ca="1" xml:space="preserve"> INDEX(OFFSET(autofill!A:A,0,C51-1), Last_Data_Row, 1)</f>
        <v>1878.5778974172299</v>
      </c>
      <c r="E51" s="31">
        <f t="shared" si="1"/>
        <v>1878.5778974172299</v>
      </c>
      <c r="F51" s="31">
        <f t="shared" si="2"/>
        <v>0</v>
      </c>
      <c r="G51" s="31">
        <f t="shared" si="3"/>
        <v>0</v>
      </c>
      <c r="H51" s="31">
        <f t="shared" si="4"/>
        <v>0</v>
      </c>
      <c r="I51" s="31">
        <f t="shared" si="5"/>
        <v>0</v>
      </c>
      <c r="J51" s="31">
        <f t="shared" si="6"/>
        <v>0</v>
      </c>
      <c r="K51" s="31">
        <f t="shared" si="7"/>
        <v>0</v>
      </c>
      <c r="L51" s="31">
        <f t="shared" si="8"/>
        <v>0</v>
      </c>
      <c r="M51" s="31">
        <f t="shared" si="9"/>
        <v>0</v>
      </c>
      <c r="N51" s="31">
        <f t="shared" si="10"/>
        <v>0</v>
      </c>
      <c r="O51" s="31">
        <f t="shared" si="11"/>
        <v>0</v>
      </c>
      <c r="P51" s="31">
        <f t="shared" si="12"/>
        <v>0</v>
      </c>
      <c r="Q51" s="31">
        <f t="shared" si="13"/>
        <v>0</v>
      </c>
      <c r="R51" s="31">
        <f t="shared" si="14"/>
        <v>0</v>
      </c>
      <c r="S51" s="31">
        <f t="shared" si="15"/>
        <v>0</v>
      </c>
      <c r="T51" s="31">
        <f t="shared" si="16"/>
        <v>0</v>
      </c>
      <c r="U51" s="31">
        <f t="shared" si="17"/>
        <v>0</v>
      </c>
      <c r="V51" s="31">
        <f t="shared" si="18"/>
        <v>0</v>
      </c>
      <c r="W51" s="31">
        <f t="shared" si="19"/>
        <v>0</v>
      </c>
      <c r="X51" s="31">
        <f t="shared" si="20"/>
        <v>0</v>
      </c>
      <c r="Y51" s="31">
        <f>DMAX(autofill!$1:$1048576,$A51,RangeYear1)</f>
        <v>1878.5778974172299</v>
      </c>
      <c r="Z51" s="31">
        <f>DMAX(autofill!$1:$1048576,$A51,RangeYear2)</f>
        <v>1878.5778974172299</v>
      </c>
      <c r="AA51" s="31">
        <f>DMAX(autofill!$1:$1048576,$A51,RangeYear3)</f>
        <v>0</v>
      </c>
      <c r="AB51" s="31">
        <f>DMAX(autofill!$1:$1048576,$A51,RangeYear4)</f>
        <v>0</v>
      </c>
      <c r="AC51" s="31">
        <f>DMAX(autofill!$1:$1048576,$A51,RangeYear5)</f>
        <v>0</v>
      </c>
      <c r="AD51" s="31">
        <f>DMAX(autofill!$1:$1048576,$A51,RangeYear6)</f>
        <v>0</v>
      </c>
      <c r="AE51" s="31">
        <f>DMAX(autofill!$1:$1048576,$A51,RangeYear7)</f>
        <v>0</v>
      </c>
      <c r="AF51" s="31">
        <f>DMAX(autofill!$1:$1048576,$A51,RangeYear8)</f>
        <v>0</v>
      </c>
      <c r="AG51" s="31">
        <f>DMAX(autofill!$1:$1048576,$A51,RangeYear9)</f>
        <v>0</v>
      </c>
      <c r="AH51" s="31">
        <f>DMAX(autofill!$1:$1048576,$A51,RangeYear10)</f>
        <v>0</v>
      </c>
      <c r="AI51" s="31">
        <f>DMAX(autofill!$1:$1048576,$A51,RangeYear11)</f>
        <v>0</v>
      </c>
      <c r="AJ51" s="31">
        <f>DMAX(autofill!$1:$1048576,$A51,RangeYear12)</f>
        <v>0</v>
      </c>
      <c r="AK51" s="31">
        <f>DMAX(autofill!$1:$1048576,$A51,RangeYear13)</f>
        <v>0</v>
      </c>
      <c r="AL51" s="31">
        <f>DMAX(autofill!$1:$1048576,$A51,RangeYear14)</f>
        <v>0</v>
      </c>
      <c r="AM51" s="31">
        <f>DMAX(autofill!$1:$1048576,$A51,RangeYear15)</f>
        <v>0</v>
      </c>
      <c r="AN51" s="31">
        <f>DMAX(autofill!$1:$1048576,$A51,RangeYear16)</f>
        <v>0</v>
      </c>
      <c r="AO51" s="31">
        <f>DMAX(autofill!$1:$1048576,$A51,RangeYear17)</f>
        <v>0</v>
      </c>
      <c r="AP51" s="31">
        <f>DMAX(autofill!$1:$1048576,$A51,RangeYear18)</f>
        <v>0</v>
      </c>
      <c r="AQ51" s="31">
        <f>DMAX(autofill!$1:$1048576,$A51,RangeYear19)</f>
        <v>0</v>
      </c>
      <c r="AR51" s="31">
        <f>DMAX(autofill!$1:$1048576,$A51,RangeYear20)</f>
        <v>0</v>
      </c>
    </row>
    <row r="52" spans="1:44" x14ac:dyDescent="0.25">
      <c r="A52" s="31" t="s">
        <v>92</v>
      </c>
      <c r="B52" s="31" t="s">
        <v>108</v>
      </c>
      <c r="C52" s="31">
        <f>MATCH(A52,autofill!$1:$1,0)</f>
        <v>24</v>
      </c>
      <c r="D52" s="50">
        <f ca="1" xml:space="preserve"> INDEX(OFFSET(autofill!A:A,0,C52-1), Last_Data_Row, 1)</f>
        <v>1878.5778974172299</v>
      </c>
      <c r="E52" s="31">
        <f t="shared" si="1"/>
        <v>1878.5778974172299</v>
      </c>
      <c r="F52" s="31">
        <f t="shared" si="2"/>
        <v>0</v>
      </c>
      <c r="G52" s="31">
        <f t="shared" si="3"/>
        <v>0</v>
      </c>
      <c r="H52" s="31">
        <f t="shared" si="4"/>
        <v>0</v>
      </c>
      <c r="I52" s="31">
        <f t="shared" si="5"/>
        <v>0</v>
      </c>
      <c r="J52" s="31">
        <f t="shared" si="6"/>
        <v>0</v>
      </c>
      <c r="K52" s="31">
        <f t="shared" si="7"/>
        <v>0</v>
      </c>
      <c r="L52" s="31">
        <f t="shared" si="8"/>
        <v>0</v>
      </c>
      <c r="M52" s="31">
        <f t="shared" si="9"/>
        <v>0</v>
      </c>
      <c r="N52" s="31">
        <f t="shared" si="10"/>
        <v>0</v>
      </c>
      <c r="O52" s="31">
        <f t="shared" si="11"/>
        <v>0</v>
      </c>
      <c r="P52" s="31">
        <f t="shared" si="12"/>
        <v>0</v>
      </c>
      <c r="Q52" s="31">
        <f t="shared" si="13"/>
        <v>0</v>
      </c>
      <c r="R52" s="31">
        <f t="shared" si="14"/>
        <v>0</v>
      </c>
      <c r="S52" s="31">
        <f t="shared" si="15"/>
        <v>0</v>
      </c>
      <c r="T52" s="31">
        <f t="shared" si="16"/>
        <v>0</v>
      </c>
      <c r="U52" s="31">
        <f t="shared" si="17"/>
        <v>0</v>
      </c>
      <c r="V52" s="31">
        <f t="shared" si="18"/>
        <v>0</v>
      </c>
      <c r="W52" s="31">
        <f t="shared" si="19"/>
        <v>0</v>
      </c>
      <c r="X52" s="31">
        <f t="shared" si="20"/>
        <v>0</v>
      </c>
      <c r="Y52" s="31">
        <f>DMAX(autofill!$1:$1048576,$A52,RangeYear1)</f>
        <v>1878.5778974172299</v>
      </c>
      <c r="Z52" s="31">
        <f>DMAX(autofill!$1:$1048576,$A52,RangeYear2)</f>
        <v>1878.5778974172299</v>
      </c>
      <c r="AA52" s="31">
        <f>DMAX(autofill!$1:$1048576,$A52,RangeYear3)</f>
        <v>0</v>
      </c>
      <c r="AB52" s="31">
        <f>DMAX(autofill!$1:$1048576,$A52,RangeYear4)</f>
        <v>0</v>
      </c>
      <c r="AC52" s="31">
        <f>DMAX(autofill!$1:$1048576,$A52,RangeYear5)</f>
        <v>0</v>
      </c>
      <c r="AD52" s="31">
        <f>DMAX(autofill!$1:$1048576,$A52,RangeYear6)</f>
        <v>0</v>
      </c>
      <c r="AE52" s="31">
        <f>DMAX(autofill!$1:$1048576,$A52,RangeYear7)</f>
        <v>0</v>
      </c>
      <c r="AF52" s="31">
        <f>DMAX(autofill!$1:$1048576,$A52,RangeYear8)</f>
        <v>0</v>
      </c>
      <c r="AG52" s="31">
        <f>DMAX(autofill!$1:$1048576,$A52,RangeYear9)</f>
        <v>0</v>
      </c>
      <c r="AH52" s="31">
        <f>DMAX(autofill!$1:$1048576,$A52,RangeYear10)</f>
        <v>0</v>
      </c>
      <c r="AI52" s="31">
        <f>DMAX(autofill!$1:$1048576,$A52,RangeYear11)</f>
        <v>0</v>
      </c>
      <c r="AJ52" s="31">
        <f>DMAX(autofill!$1:$1048576,$A52,RangeYear12)</f>
        <v>0</v>
      </c>
      <c r="AK52" s="31">
        <f>DMAX(autofill!$1:$1048576,$A52,RangeYear13)</f>
        <v>0</v>
      </c>
      <c r="AL52" s="31">
        <f>DMAX(autofill!$1:$1048576,$A52,RangeYear14)</f>
        <v>0</v>
      </c>
      <c r="AM52" s="31">
        <f>DMAX(autofill!$1:$1048576,$A52,RangeYear15)</f>
        <v>0</v>
      </c>
      <c r="AN52" s="31">
        <f>DMAX(autofill!$1:$1048576,$A52,RangeYear16)</f>
        <v>0</v>
      </c>
      <c r="AO52" s="31">
        <f>DMAX(autofill!$1:$1048576,$A52,RangeYear17)</f>
        <v>0</v>
      </c>
      <c r="AP52" s="31">
        <f>DMAX(autofill!$1:$1048576,$A52,RangeYear18)</f>
        <v>0</v>
      </c>
      <c r="AQ52" s="31">
        <f>DMAX(autofill!$1:$1048576,$A52,RangeYear19)</f>
        <v>0</v>
      </c>
      <c r="AR52" s="31">
        <f>DMAX(autofill!$1:$1048576,$A52,RangeYear20)</f>
        <v>0</v>
      </c>
    </row>
    <row r="53" spans="1:44" x14ac:dyDescent="0.25">
      <c r="A53" s="31" t="s">
        <v>93</v>
      </c>
      <c r="B53" s="31" t="s">
        <v>109</v>
      </c>
      <c r="C53" s="31">
        <f>MATCH(A53,autofill!$1:$1,0)</f>
        <v>25</v>
      </c>
      <c r="D53" s="50">
        <f ca="1" xml:space="preserve"> INDEX(OFFSET(autofill!A:A,0,C53-1), Last_Data_Row, 1)</f>
        <v>52.662187500001302</v>
      </c>
      <c r="E53" s="31">
        <f t="shared" si="1"/>
        <v>52.662187500001302</v>
      </c>
      <c r="F53" s="31">
        <f t="shared" si="2"/>
        <v>0</v>
      </c>
      <c r="G53" s="31">
        <f t="shared" si="3"/>
        <v>0</v>
      </c>
      <c r="H53" s="31">
        <f t="shared" si="4"/>
        <v>0</v>
      </c>
      <c r="I53" s="31">
        <f t="shared" si="5"/>
        <v>0</v>
      </c>
      <c r="J53" s="31">
        <f t="shared" si="6"/>
        <v>0</v>
      </c>
      <c r="K53" s="31">
        <f t="shared" si="7"/>
        <v>0</v>
      </c>
      <c r="L53" s="31">
        <f t="shared" si="8"/>
        <v>0</v>
      </c>
      <c r="M53" s="31">
        <f t="shared" si="9"/>
        <v>0</v>
      </c>
      <c r="N53" s="31">
        <f t="shared" si="10"/>
        <v>0</v>
      </c>
      <c r="O53" s="31">
        <f t="shared" si="11"/>
        <v>0</v>
      </c>
      <c r="P53" s="31">
        <f t="shared" si="12"/>
        <v>0</v>
      </c>
      <c r="Q53" s="31">
        <f t="shared" si="13"/>
        <v>0</v>
      </c>
      <c r="R53" s="31">
        <f t="shared" si="14"/>
        <v>0</v>
      </c>
      <c r="S53" s="31">
        <f t="shared" si="15"/>
        <v>0</v>
      </c>
      <c r="T53" s="31">
        <f t="shared" si="16"/>
        <v>0</v>
      </c>
      <c r="U53" s="31">
        <f t="shared" si="17"/>
        <v>0</v>
      </c>
      <c r="V53" s="31">
        <f t="shared" si="18"/>
        <v>0</v>
      </c>
      <c r="W53" s="31">
        <f t="shared" si="19"/>
        <v>0</v>
      </c>
      <c r="X53" s="31">
        <f t="shared" si="20"/>
        <v>0</v>
      </c>
      <c r="Y53" s="31">
        <f>DMAX(autofill!$1:$1048576,$A53,RangeYear1)</f>
        <v>52.662187500001302</v>
      </c>
      <c r="Z53" s="31">
        <f>DMAX(autofill!$1:$1048576,$A53,RangeYear2)</f>
        <v>52.662187500001302</v>
      </c>
      <c r="AA53" s="31">
        <f>DMAX(autofill!$1:$1048576,$A53,RangeYear3)</f>
        <v>0</v>
      </c>
      <c r="AB53" s="31">
        <f>DMAX(autofill!$1:$1048576,$A53,RangeYear4)</f>
        <v>0</v>
      </c>
      <c r="AC53" s="31">
        <f>DMAX(autofill!$1:$1048576,$A53,RangeYear5)</f>
        <v>0</v>
      </c>
      <c r="AD53" s="31">
        <f>DMAX(autofill!$1:$1048576,$A53,RangeYear6)</f>
        <v>0</v>
      </c>
      <c r="AE53" s="31">
        <f>DMAX(autofill!$1:$1048576,$A53,RangeYear7)</f>
        <v>0</v>
      </c>
      <c r="AF53" s="31">
        <f>DMAX(autofill!$1:$1048576,$A53,RangeYear8)</f>
        <v>0</v>
      </c>
      <c r="AG53" s="31">
        <f>DMAX(autofill!$1:$1048576,$A53,RangeYear9)</f>
        <v>0</v>
      </c>
      <c r="AH53" s="31">
        <f>DMAX(autofill!$1:$1048576,$A53,RangeYear10)</f>
        <v>0</v>
      </c>
      <c r="AI53" s="31">
        <f>DMAX(autofill!$1:$1048576,$A53,RangeYear11)</f>
        <v>0</v>
      </c>
      <c r="AJ53" s="31">
        <f>DMAX(autofill!$1:$1048576,$A53,RangeYear12)</f>
        <v>0</v>
      </c>
      <c r="AK53" s="31">
        <f>DMAX(autofill!$1:$1048576,$A53,RangeYear13)</f>
        <v>0</v>
      </c>
      <c r="AL53" s="31">
        <f>DMAX(autofill!$1:$1048576,$A53,RangeYear14)</f>
        <v>0</v>
      </c>
      <c r="AM53" s="31">
        <f>DMAX(autofill!$1:$1048576,$A53,RangeYear15)</f>
        <v>0</v>
      </c>
      <c r="AN53" s="31">
        <f>DMAX(autofill!$1:$1048576,$A53,RangeYear16)</f>
        <v>0</v>
      </c>
      <c r="AO53" s="31">
        <f>DMAX(autofill!$1:$1048576,$A53,RangeYear17)</f>
        <v>0</v>
      </c>
      <c r="AP53" s="31">
        <f>DMAX(autofill!$1:$1048576,$A53,RangeYear18)</f>
        <v>0</v>
      </c>
      <c r="AQ53" s="31">
        <f>DMAX(autofill!$1:$1048576,$A53,RangeYear19)</f>
        <v>0</v>
      </c>
      <c r="AR53" s="31">
        <f>DMAX(autofill!$1:$1048576,$A53,RangeYear20)</f>
        <v>0</v>
      </c>
    </row>
    <row r="55" spans="1:44" x14ac:dyDescent="0.25">
      <c r="A55" s="31" t="s">
        <v>170</v>
      </c>
    </row>
    <row r="56" spans="1:44" x14ac:dyDescent="0.25">
      <c r="A56" s="31" t="s">
        <v>171</v>
      </c>
      <c r="B56" s="31" t="s">
        <v>11</v>
      </c>
      <c r="C56" s="14" t="s">
        <v>11</v>
      </c>
    </row>
    <row r="57" spans="1:44" x14ac:dyDescent="0.25">
      <c r="A57" s="31">
        <v>1</v>
      </c>
      <c r="B57" s="49" t="str">
        <f>"&gt;="&amp; TEXT( DATE(YEAR(Started_On)+A57-1,MONTH(Started_On),DAY(Started_On)), "dd/mm/yyyy")</f>
        <v>&gt;=01/01/1970</v>
      </c>
      <c r="C57" s="14" t="str">
        <f>"&lt;"&amp; TEXT( DATE(YEAR(Started_On)+A57,MONTH(Started_On),DAY(Started_On)), "dd/mm/yyyy")</f>
        <v>&lt;01/01/1971</v>
      </c>
    </row>
    <row r="58" spans="1:44" x14ac:dyDescent="0.25">
      <c r="B58" s="31" t="s">
        <v>11</v>
      </c>
      <c r="C58" s="31" t="s">
        <v>11</v>
      </c>
    </row>
    <row r="59" spans="1:44" x14ac:dyDescent="0.25">
      <c r="A59" s="31">
        <v>2</v>
      </c>
      <c r="B59" s="49" t="str">
        <f>"&gt;="&amp; TEXT( DATE(YEAR(Started_On)+A59-1,MONTH(Started_On),DAY(Started_On)), "dd/mm/yyyy")</f>
        <v>&gt;=01/01/1971</v>
      </c>
      <c r="C59" s="31" t="str">
        <f>"&lt;"&amp; TEXT( DATE(YEAR(Started_On)+A59,MONTH(Started_On),DAY(Started_On)), "dd/mm/yyyy")</f>
        <v>&lt;01/01/1972</v>
      </c>
    </row>
    <row r="60" spans="1:44" s="22" customFormat="1" x14ac:dyDescent="0.25">
      <c r="A60" s="31"/>
      <c r="B60" s="31" t="s">
        <v>11</v>
      </c>
      <c r="C60" s="31" t="s">
        <v>11</v>
      </c>
      <c r="D60" s="31"/>
      <c r="E60" s="31"/>
      <c r="F60" s="31"/>
      <c r="G60" s="31"/>
      <c r="H60" s="31"/>
    </row>
    <row r="61" spans="1:44" x14ac:dyDescent="0.25">
      <c r="A61" s="31">
        <v>3</v>
      </c>
      <c r="B61" s="49" t="str">
        <f>"&gt;="&amp; TEXT( DATE(YEAR(Started_On)+A61-1,MONTH(Started_On),DAY(Started_On)), "dd/mm/yyyy")</f>
        <v>&gt;=01/01/1972</v>
      </c>
      <c r="C61" s="31" t="str">
        <f>"&lt;"&amp; TEXT( DATE(YEAR(Started_On)+A61,MONTH(Started_On),DAY(Started_On)), "dd/mm/yyyy")</f>
        <v>&lt;01/01/1973</v>
      </c>
    </row>
    <row r="62" spans="1:44" s="22" customFormat="1" x14ac:dyDescent="0.25">
      <c r="A62" s="31"/>
      <c r="B62" s="31" t="s">
        <v>11</v>
      </c>
      <c r="C62" s="31" t="s">
        <v>11</v>
      </c>
      <c r="D62" s="31"/>
      <c r="E62" s="31"/>
      <c r="F62" s="31"/>
      <c r="G62" s="31"/>
      <c r="H62" s="31"/>
    </row>
    <row r="63" spans="1:44" x14ac:dyDescent="0.25">
      <c r="A63" s="31">
        <v>4</v>
      </c>
      <c r="B63" s="49" t="str">
        <f>"&gt;="&amp; TEXT( DATE(YEAR(Started_On)+A63-1,MONTH(Started_On),DAY(Started_On)), "dd/mm/yyyy")</f>
        <v>&gt;=01/01/1973</v>
      </c>
      <c r="C63" s="31" t="str">
        <f>"&lt;"&amp; TEXT( DATE(YEAR(Started_On)+A63,MONTH(Started_On),DAY(Started_On)), "dd/mm/yyyy")</f>
        <v>&lt;01/01/1974</v>
      </c>
    </row>
    <row r="64" spans="1:44" s="22" customFormat="1" x14ac:dyDescent="0.25">
      <c r="A64" s="31"/>
      <c r="B64" s="31" t="s">
        <v>11</v>
      </c>
      <c r="C64" s="31" t="s">
        <v>11</v>
      </c>
      <c r="D64" s="31"/>
      <c r="E64" s="31"/>
      <c r="F64" s="31"/>
      <c r="G64" s="31"/>
      <c r="H64" s="31"/>
    </row>
    <row r="65" spans="1:8" x14ac:dyDescent="0.25">
      <c r="A65" s="31">
        <v>5</v>
      </c>
      <c r="B65" s="49" t="str">
        <f>"&gt;="&amp; TEXT( DATE(YEAR(Started_On)+A65-1,MONTH(Started_On),DAY(Started_On)), "dd/mm/yyyy")</f>
        <v>&gt;=01/01/1974</v>
      </c>
      <c r="C65" s="31" t="str">
        <f>"&lt;"&amp; TEXT( DATE(YEAR(Started_On)+A65,MONTH(Started_On),DAY(Started_On)), "dd/mm/yyyy")</f>
        <v>&lt;01/01/1975</v>
      </c>
    </row>
    <row r="66" spans="1:8" s="22" customFormat="1" x14ac:dyDescent="0.25">
      <c r="A66" s="31"/>
      <c r="B66" s="31" t="s">
        <v>11</v>
      </c>
      <c r="C66" s="31" t="s">
        <v>11</v>
      </c>
      <c r="D66" s="31"/>
      <c r="E66" s="31"/>
      <c r="F66" s="31"/>
      <c r="G66" s="31"/>
      <c r="H66" s="31"/>
    </row>
    <row r="67" spans="1:8" x14ac:dyDescent="0.25">
      <c r="A67" s="31">
        <v>6</v>
      </c>
      <c r="B67" s="49" t="str">
        <f>"&gt;="&amp; TEXT( DATE(YEAR(Started_On)+A67-1,MONTH(Started_On),DAY(Started_On)), "dd/mm/yyyy")</f>
        <v>&gt;=01/01/1975</v>
      </c>
      <c r="C67" s="31" t="str">
        <f>"&lt;"&amp; TEXT( DATE(YEAR(Started_On)+A67,MONTH(Started_On),DAY(Started_On)), "dd/mm/yyyy")</f>
        <v>&lt;01/01/1976</v>
      </c>
    </row>
    <row r="68" spans="1:8" s="22" customFormat="1" x14ac:dyDescent="0.25">
      <c r="A68" s="31"/>
      <c r="B68" s="31" t="s">
        <v>11</v>
      </c>
      <c r="C68" s="31" t="s">
        <v>11</v>
      </c>
      <c r="D68" s="31"/>
      <c r="E68" s="31"/>
      <c r="F68" s="31"/>
      <c r="G68" s="31"/>
      <c r="H68" s="31"/>
    </row>
    <row r="69" spans="1:8" x14ac:dyDescent="0.25">
      <c r="A69" s="31">
        <v>7</v>
      </c>
      <c r="B69" s="49" t="str">
        <f>"&gt;="&amp; TEXT( DATE(YEAR(Started_On)+A69-1,MONTH(Started_On),DAY(Started_On)), "dd/mm/yyyy")</f>
        <v>&gt;=01/01/1976</v>
      </c>
      <c r="C69" s="31" t="str">
        <f>"&lt;"&amp; TEXT( DATE(YEAR(Started_On)+A69,MONTH(Started_On),DAY(Started_On)), "dd/mm/yyyy")</f>
        <v>&lt;01/01/1977</v>
      </c>
    </row>
    <row r="70" spans="1:8" s="22" customFormat="1" x14ac:dyDescent="0.25">
      <c r="A70" s="31"/>
      <c r="B70" s="31" t="s">
        <v>11</v>
      </c>
      <c r="C70" s="31" t="s">
        <v>11</v>
      </c>
      <c r="D70" s="31"/>
      <c r="E70" s="31"/>
      <c r="F70" s="31"/>
      <c r="G70" s="31"/>
      <c r="H70" s="31"/>
    </row>
    <row r="71" spans="1:8" x14ac:dyDescent="0.25">
      <c r="A71" s="31">
        <v>8</v>
      </c>
      <c r="B71" s="49" t="str">
        <f>"&gt;="&amp; TEXT( DATE(YEAR(Started_On)+A71-1,MONTH(Started_On),DAY(Started_On)), "dd/mm/yyyy")</f>
        <v>&gt;=01/01/1977</v>
      </c>
      <c r="C71" s="31" t="str">
        <f>"&lt;"&amp; TEXT( DATE(YEAR(Started_On)+A71,MONTH(Started_On),DAY(Started_On)), "dd/mm/yyyy")</f>
        <v>&lt;01/01/1978</v>
      </c>
    </row>
    <row r="72" spans="1:8" s="22" customFormat="1" x14ac:dyDescent="0.25">
      <c r="A72" s="31"/>
      <c r="B72" s="31" t="s">
        <v>11</v>
      </c>
      <c r="C72" s="31" t="s">
        <v>11</v>
      </c>
      <c r="D72" s="31"/>
      <c r="E72" s="31"/>
      <c r="F72" s="31"/>
      <c r="G72" s="31"/>
      <c r="H72" s="31"/>
    </row>
    <row r="73" spans="1:8" x14ac:dyDescent="0.25">
      <c r="A73" s="31">
        <v>9</v>
      </c>
      <c r="B73" s="49" t="str">
        <f>"&gt;="&amp; TEXT( DATE(YEAR(Started_On)+A73-1,MONTH(Started_On),DAY(Started_On)), "dd/mm/yyyy")</f>
        <v>&gt;=01/01/1978</v>
      </c>
      <c r="C73" s="31" t="str">
        <f>"&lt;"&amp; TEXT( DATE(YEAR(Started_On)+A73,MONTH(Started_On),DAY(Started_On)), "dd/mm/yyyy")</f>
        <v>&lt;01/01/1979</v>
      </c>
    </row>
    <row r="74" spans="1:8" s="22" customFormat="1" x14ac:dyDescent="0.25">
      <c r="A74" s="31"/>
      <c r="B74" s="31" t="s">
        <v>11</v>
      </c>
      <c r="C74" s="31" t="s">
        <v>11</v>
      </c>
      <c r="D74" s="31"/>
      <c r="E74" s="31"/>
      <c r="F74" s="31"/>
      <c r="G74" s="31"/>
      <c r="H74" s="31"/>
    </row>
    <row r="75" spans="1:8" x14ac:dyDescent="0.25">
      <c r="A75" s="31">
        <v>10</v>
      </c>
      <c r="B75" s="49" t="str">
        <f>"&gt;="&amp; TEXT( DATE(YEAR(Started_On)+A75-1,MONTH(Started_On),DAY(Started_On)), "dd/mm/yyyy")</f>
        <v>&gt;=01/01/1979</v>
      </c>
      <c r="C75" s="31" t="str">
        <f>"&lt;"&amp; TEXT( DATE(YEAR(Started_On)+A75,MONTH(Started_On),DAY(Started_On)), "dd/mm/yyyy")</f>
        <v>&lt;01/01/1980</v>
      </c>
    </row>
    <row r="76" spans="1:8" s="22" customFormat="1" x14ac:dyDescent="0.25">
      <c r="A76" s="31"/>
      <c r="B76" s="31" t="s">
        <v>11</v>
      </c>
      <c r="C76" s="31" t="s">
        <v>11</v>
      </c>
      <c r="D76" s="31"/>
      <c r="E76" s="31"/>
      <c r="F76" s="31"/>
      <c r="G76" s="31"/>
      <c r="H76" s="31"/>
    </row>
    <row r="77" spans="1:8" x14ac:dyDescent="0.25">
      <c r="A77" s="31">
        <v>11</v>
      </c>
      <c r="B77" s="49" t="str">
        <f>"&gt;="&amp; TEXT( DATE(YEAR(Started_On)+A77-1,MONTH(Started_On),DAY(Started_On)), "dd/mm/yyyy")</f>
        <v>&gt;=01/01/1980</v>
      </c>
      <c r="C77" s="31" t="str">
        <f>"&lt;"&amp; TEXT( DATE(YEAR(Started_On)+A77,MONTH(Started_On),DAY(Started_On)), "dd/mm/yyyy")</f>
        <v>&lt;01/01/1981</v>
      </c>
    </row>
    <row r="78" spans="1:8" s="22" customFormat="1" x14ac:dyDescent="0.25">
      <c r="A78" s="31"/>
      <c r="B78" s="31" t="s">
        <v>11</v>
      </c>
      <c r="C78" s="31" t="s">
        <v>11</v>
      </c>
      <c r="D78" s="31"/>
      <c r="E78" s="31"/>
      <c r="F78" s="31"/>
      <c r="G78" s="31"/>
      <c r="H78" s="31"/>
    </row>
    <row r="79" spans="1:8" x14ac:dyDescent="0.25">
      <c r="A79" s="31">
        <v>12</v>
      </c>
      <c r="B79" s="49" t="str">
        <f>"&gt;="&amp; TEXT( DATE(YEAR(Started_On)+A79-1,MONTH(Started_On),DAY(Started_On)), "dd/mm/yyyy")</f>
        <v>&gt;=01/01/1981</v>
      </c>
      <c r="C79" s="31" t="str">
        <f>"&lt;"&amp; TEXT( DATE(YEAR(Started_On)+A79,MONTH(Started_On),DAY(Started_On)), "dd/mm/yyyy")</f>
        <v>&lt;01/01/1982</v>
      </c>
    </row>
    <row r="80" spans="1:8" s="22" customFormat="1" x14ac:dyDescent="0.25">
      <c r="A80" s="31"/>
      <c r="B80" s="31" t="s">
        <v>11</v>
      </c>
      <c r="C80" s="31" t="s">
        <v>11</v>
      </c>
      <c r="D80" s="31"/>
      <c r="E80" s="31"/>
      <c r="F80" s="31"/>
      <c r="G80" s="31"/>
      <c r="H80" s="31"/>
    </row>
    <row r="81" spans="1:8" x14ac:dyDescent="0.25">
      <c r="A81" s="31">
        <v>13</v>
      </c>
      <c r="B81" s="49" t="str">
        <f>"&gt;="&amp; TEXT( DATE(YEAR(Started_On)+A81-1,MONTH(Started_On),DAY(Started_On)), "dd/mm/yyyy")</f>
        <v>&gt;=01/01/1982</v>
      </c>
      <c r="C81" s="31" t="str">
        <f>"&lt;"&amp; TEXT( DATE(YEAR(Started_On)+A81,MONTH(Started_On),DAY(Started_On)), "dd/mm/yyyy")</f>
        <v>&lt;01/01/1983</v>
      </c>
    </row>
    <row r="82" spans="1:8" s="22" customFormat="1" x14ac:dyDescent="0.25">
      <c r="A82" s="31"/>
      <c r="B82" s="31" t="s">
        <v>11</v>
      </c>
      <c r="C82" s="31" t="s">
        <v>11</v>
      </c>
      <c r="D82" s="31"/>
      <c r="E82" s="31"/>
      <c r="F82" s="31"/>
      <c r="G82" s="31"/>
      <c r="H82" s="31"/>
    </row>
    <row r="83" spans="1:8" x14ac:dyDescent="0.25">
      <c r="A83" s="31">
        <v>14</v>
      </c>
      <c r="B83" s="49" t="str">
        <f>"&gt;="&amp; TEXT( DATE(YEAR(Started_On)+A83-1,MONTH(Started_On),DAY(Started_On)), "dd/mm/yyyy")</f>
        <v>&gt;=01/01/1983</v>
      </c>
      <c r="C83" s="31" t="str">
        <f>"&lt;"&amp; TEXT( DATE(YEAR(Started_On)+A83,MONTH(Started_On),DAY(Started_On)), "dd/mm/yyyy")</f>
        <v>&lt;01/01/1984</v>
      </c>
    </row>
    <row r="84" spans="1:8" s="22" customFormat="1" x14ac:dyDescent="0.25">
      <c r="A84" s="31"/>
      <c r="B84" s="31" t="s">
        <v>11</v>
      </c>
      <c r="C84" s="31" t="s">
        <v>11</v>
      </c>
      <c r="D84" s="31"/>
      <c r="E84" s="31"/>
      <c r="F84" s="31"/>
      <c r="G84" s="31"/>
      <c r="H84" s="31"/>
    </row>
    <row r="85" spans="1:8" x14ac:dyDescent="0.25">
      <c r="A85" s="31">
        <v>15</v>
      </c>
      <c r="B85" s="49" t="str">
        <f>"&gt;="&amp; TEXT( DATE(YEAR(Started_On)+A85-1,MONTH(Started_On),DAY(Started_On)), "dd/mm/yyyy")</f>
        <v>&gt;=01/01/1984</v>
      </c>
      <c r="C85" s="31" t="str">
        <f>"&lt;"&amp; TEXT( DATE(YEAR(Started_On)+A85,MONTH(Started_On),DAY(Started_On)), "dd/mm/yyyy")</f>
        <v>&lt;01/01/1985</v>
      </c>
    </row>
    <row r="86" spans="1:8" s="22" customFormat="1" x14ac:dyDescent="0.25">
      <c r="A86" s="31"/>
      <c r="B86" s="31" t="s">
        <v>11</v>
      </c>
      <c r="C86" s="31" t="s">
        <v>11</v>
      </c>
      <c r="D86" s="31"/>
      <c r="E86" s="31"/>
      <c r="F86" s="31"/>
      <c r="G86" s="31"/>
      <c r="H86" s="31"/>
    </row>
    <row r="87" spans="1:8" x14ac:dyDescent="0.25">
      <c r="A87" s="31">
        <v>16</v>
      </c>
      <c r="B87" s="49" t="str">
        <f>"&gt;="&amp; TEXT( DATE(YEAR(Started_On)+A87-1,MONTH(Started_On),DAY(Started_On)), "dd/mm/yyyy")</f>
        <v>&gt;=01/01/1985</v>
      </c>
      <c r="C87" s="31" t="str">
        <f>"&lt;"&amp; TEXT( DATE(YEAR(Started_On)+A87,MONTH(Started_On),DAY(Started_On)), "dd/mm/yyyy")</f>
        <v>&lt;01/01/1986</v>
      </c>
    </row>
    <row r="88" spans="1:8" s="22" customFormat="1" x14ac:dyDescent="0.25">
      <c r="A88" s="31"/>
      <c r="B88" s="31" t="s">
        <v>11</v>
      </c>
      <c r="C88" s="31" t="s">
        <v>11</v>
      </c>
      <c r="D88" s="31"/>
      <c r="E88" s="31"/>
      <c r="F88" s="31"/>
      <c r="G88" s="31"/>
      <c r="H88" s="31"/>
    </row>
    <row r="89" spans="1:8" x14ac:dyDescent="0.25">
      <c r="A89" s="31">
        <v>17</v>
      </c>
      <c r="B89" s="49" t="str">
        <f>"&gt;="&amp; TEXT( DATE(YEAR(Started_On)+A89-1,MONTH(Started_On),DAY(Started_On)), "dd/mm/yyyy")</f>
        <v>&gt;=01/01/1986</v>
      </c>
      <c r="C89" s="31" t="str">
        <f>"&lt;"&amp; TEXT( DATE(YEAR(Started_On)+A89,MONTH(Started_On),DAY(Started_On)), "dd/mm/yyyy")</f>
        <v>&lt;01/01/1987</v>
      </c>
    </row>
    <row r="90" spans="1:8" s="22" customFormat="1" x14ac:dyDescent="0.25">
      <c r="A90" s="31"/>
      <c r="B90" s="31" t="s">
        <v>11</v>
      </c>
      <c r="C90" s="31" t="s">
        <v>11</v>
      </c>
      <c r="D90" s="31"/>
      <c r="E90" s="31"/>
      <c r="F90" s="31"/>
      <c r="G90" s="31"/>
      <c r="H90" s="31"/>
    </row>
    <row r="91" spans="1:8" x14ac:dyDescent="0.25">
      <c r="A91" s="31">
        <v>18</v>
      </c>
      <c r="B91" s="49" t="str">
        <f>"&gt;="&amp; TEXT( DATE(YEAR(Started_On)+A91-1,MONTH(Started_On),DAY(Started_On)), "dd/mm/yyyy")</f>
        <v>&gt;=01/01/1987</v>
      </c>
      <c r="C91" s="31" t="str">
        <f>"&lt;"&amp; TEXT( DATE(YEAR(Started_On)+A91,MONTH(Started_On),DAY(Started_On)), "dd/mm/yyyy")</f>
        <v>&lt;01/01/1988</v>
      </c>
    </row>
    <row r="92" spans="1:8" s="22" customFormat="1" x14ac:dyDescent="0.25">
      <c r="A92" s="31"/>
      <c r="B92" s="31" t="s">
        <v>11</v>
      </c>
      <c r="C92" s="31" t="s">
        <v>11</v>
      </c>
      <c r="D92" s="31"/>
      <c r="E92" s="31"/>
      <c r="F92" s="31"/>
      <c r="G92" s="31"/>
      <c r="H92" s="31"/>
    </row>
    <row r="93" spans="1:8" x14ac:dyDescent="0.25">
      <c r="A93" s="31">
        <v>19</v>
      </c>
      <c r="B93" s="49" t="str">
        <f>"&gt;="&amp; TEXT( DATE(YEAR(Started_On)+A93-1,MONTH(Started_On),DAY(Started_On)), "dd/mm/yyyy")</f>
        <v>&gt;=01/01/1988</v>
      </c>
      <c r="C93" s="31" t="str">
        <f>"&lt;"&amp; TEXT( DATE(YEAR(Started_On)+A93,MONTH(Started_On),DAY(Started_On)), "dd/mm/yyyy")</f>
        <v>&lt;01/01/1989</v>
      </c>
    </row>
    <row r="94" spans="1:8" s="22" customFormat="1" x14ac:dyDescent="0.25">
      <c r="A94" s="31"/>
      <c r="B94" s="31" t="s">
        <v>11</v>
      </c>
      <c r="C94" s="31" t="s">
        <v>11</v>
      </c>
      <c r="D94" s="31"/>
      <c r="E94" s="31"/>
      <c r="F94" s="31"/>
      <c r="G94" s="31"/>
      <c r="H94" s="31"/>
    </row>
    <row r="95" spans="1:8" x14ac:dyDescent="0.25">
      <c r="A95" s="31">
        <v>20</v>
      </c>
      <c r="B95" s="49" t="str">
        <f>"&gt;="&amp; TEXT( DATE(YEAR(Started_On)+A95-1,MONTH(Started_On),DAY(Started_On)), "dd/mm/yyyy")</f>
        <v>&gt;=01/01/1989</v>
      </c>
      <c r="C95" s="31" t="str">
        <f>"&lt;"&amp; TEXT( DATE(YEAR(Started_On)+A95,MONTH(Started_On),DAY(Started_On)), "dd/mm/yyyy")</f>
        <v>&lt;01/01/1990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2"/>
  <sheetViews>
    <sheetView workbookViewId="0">
      <selection activeCell="A3" sqref="A3"/>
    </sheetView>
  </sheetViews>
  <sheetFormatPr defaultRowHeight="15" x14ac:dyDescent="0.25"/>
  <cols>
    <col min="1" max="1" width="18.5703125" style="48" bestFit="1" customWidth="1"/>
    <col min="2" max="9" width="12" bestFit="1" customWidth="1"/>
    <col min="20" max="29" width="9.140625" style="22"/>
  </cols>
  <sheetData>
    <row r="1" spans="1:27" x14ac:dyDescent="0.25">
      <c r="A1" s="48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21" t="s">
        <v>54</v>
      </c>
      <c r="K1" s="21" t="s">
        <v>56</v>
      </c>
      <c r="L1" s="21" t="s">
        <v>58</v>
      </c>
      <c r="M1" s="21" t="s">
        <v>60</v>
      </c>
      <c r="N1" s="21" t="s">
        <v>62</v>
      </c>
      <c r="O1" s="21" t="s">
        <v>64</v>
      </c>
      <c r="P1" s="21" t="s">
        <v>66</v>
      </c>
      <c r="Q1" s="21" t="s">
        <v>68</v>
      </c>
      <c r="R1" s="22" t="s">
        <v>86</v>
      </c>
      <c r="S1" s="22" t="s">
        <v>87</v>
      </c>
      <c r="T1" s="22" t="s">
        <v>88</v>
      </c>
      <c r="U1" s="22" t="s">
        <v>89</v>
      </c>
      <c r="V1" s="22" t="s">
        <v>90</v>
      </c>
      <c r="W1" s="22" t="s">
        <v>91</v>
      </c>
      <c r="X1" s="22" t="s">
        <v>92</v>
      </c>
      <c r="Y1" s="22" t="s">
        <v>93</v>
      </c>
      <c r="Z1" s="22" t="s">
        <v>94</v>
      </c>
      <c r="AA1" s="22" t="s">
        <v>95</v>
      </c>
    </row>
    <row r="2" spans="1:27" x14ac:dyDescent="0.25">
      <c r="A2" s="48">
        <v>25569</v>
      </c>
      <c r="B2" s="6">
        <v>166.98361111111112</v>
      </c>
      <c r="C2" s="6">
        <v>149.07749999999999</v>
      </c>
      <c r="D2" s="6">
        <v>121.79388888888889</v>
      </c>
      <c r="E2" s="6">
        <v>21.074722222222221</v>
      </c>
      <c r="F2" s="6">
        <v>9.9877777777777776</v>
      </c>
      <c r="G2" s="6">
        <v>90.223055555555561</v>
      </c>
      <c r="H2" s="6">
        <v>90.05638888888889</v>
      </c>
      <c r="I2" s="6">
        <v>1.0497222222222222</v>
      </c>
      <c r="J2" s="21">
        <v>20</v>
      </c>
      <c r="K2" s="21">
        <v>8</v>
      </c>
      <c r="L2" s="21">
        <v>5</v>
      </c>
      <c r="M2" s="21">
        <v>1</v>
      </c>
      <c r="N2" s="21">
        <v>2</v>
      </c>
      <c r="O2" s="21">
        <v>10</v>
      </c>
      <c r="P2" s="21">
        <v>10</v>
      </c>
      <c r="Q2" s="21">
        <v>10</v>
      </c>
      <c r="R2" s="22">
        <v>2885.3542012939402</v>
      </c>
      <c r="S2" s="22">
        <v>2577.5568992887502</v>
      </c>
      <c r="T2" s="22">
        <v>2149.9708252116602</v>
      </c>
      <c r="U2" s="22">
        <v>369.61916046315702</v>
      </c>
      <c r="V2" s="22">
        <v>203.455504138252</v>
      </c>
      <c r="W2" s="22">
        <v>1878.5778974172299</v>
      </c>
      <c r="X2" s="22">
        <v>1878.5778974172299</v>
      </c>
      <c r="Y2" s="22">
        <v>52.662187500001302</v>
      </c>
      <c r="Z2" s="22">
        <v>14964.720833392999</v>
      </c>
      <c r="AA2" s="22">
        <v>1</v>
      </c>
    </row>
    <row r="3" spans="1:27" x14ac:dyDescent="0.25">
      <c r="A3" s="48">
        <f>A2+7-(1/86400)</f>
        <v>25575.999988425927</v>
      </c>
      <c r="B3" s="6">
        <v>334.98361111111109</v>
      </c>
      <c r="C3" s="6">
        <v>317.07749999999999</v>
      </c>
      <c r="D3" s="6">
        <v>289.79388888888889</v>
      </c>
      <c r="E3" s="6">
        <v>21.074722222222221</v>
      </c>
      <c r="F3" s="6">
        <v>9.9877777777777776</v>
      </c>
      <c r="G3" s="6">
        <v>90.223055555555561</v>
      </c>
      <c r="H3" s="6">
        <v>90.05638888888889</v>
      </c>
      <c r="I3" s="6">
        <v>1.0497222222222222</v>
      </c>
      <c r="J3" s="21">
        <v>20</v>
      </c>
      <c r="K3" s="21">
        <v>16</v>
      </c>
      <c r="L3" s="21">
        <v>10</v>
      </c>
      <c r="M3" s="21">
        <v>2</v>
      </c>
      <c r="N3" s="21">
        <v>4</v>
      </c>
      <c r="O3" s="21">
        <v>10</v>
      </c>
      <c r="P3" s="21">
        <v>10</v>
      </c>
      <c r="Q3" s="21">
        <v>10</v>
      </c>
      <c r="R3" s="22">
        <v>5909.3542013599499</v>
      </c>
      <c r="S3" s="22">
        <v>5601.5568993547604</v>
      </c>
      <c r="T3" s="22">
        <v>5173.97082527767</v>
      </c>
      <c r="U3" s="22">
        <v>369.61916046315702</v>
      </c>
      <c r="V3" s="22">
        <v>203.455504138252</v>
      </c>
      <c r="W3" s="22">
        <v>1878.5778974172299</v>
      </c>
      <c r="X3" s="22">
        <v>1878.5778974172299</v>
      </c>
      <c r="Y3" s="22">
        <v>52.662187500001302</v>
      </c>
      <c r="Z3" s="22">
        <v>35460.720832510902</v>
      </c>
      <c r="AA3" s="22">
        <v>1</v>
      </c>
    </row>
    <row r="4" spans="1:27" x14ac:dyDescent="0.25">
      <c r="A4" s="48">
        <f t="shared" ref="A4:A67" si="0">A3+7</f>
        <v>25582.999988425927</v>
      </c>
      <c r="B4" s="6">
        <v>502.98361111111109</v>
      </c>
      <c r="C4" s="6">
        <v>485.07749999999999</v>
      </c>
      <c r="D4" s="6">
        <v>457.79388888888889</v>
      </c>
      <c r="E4" s="6">
        <v>21.074722222222221</v>
      </c>
      <c r="F4" s="6">
        <v>9.9877777777777776</v>
      </c>
      <c r="G4" s="6">
        <v>90.223055555555561</v>
      </c>
      <c r="H4" s="6">
        <v>90.05638888888889</v>
      </c>
      <c r="I4" s="21">
        <v>1.0497222222222222</v>
      </c>
      <c r="J4" s="21">
        <v>30</v>
      </c>
      <c r="K4" s="21">
        <v>24</v>
      </c>
      <c r="L4" s="21">
        <v>15</v>
      </c>
      <c r="M4" s="21">
        <v>3</v>
      </c>
      <c r="N4" s="21">
        <v>6</v>
      </c>
      <c r="O4" s="21">
        <v>10</v>
      </c>
      <c r="P4" s="21">
        <v>10</v>
      </c>
      <c r="Q4" s="21">
        <v>10</v>
      </c>
      <c r="R4" s="22">
        <v>8933.3542012911093</v>
      </c>
      <c r="S4" s="22">
        <v>8625.5568993419001</v>
      </c>
      <c r="T4" s="22">
        <v>8197.9708253425906</v>
      </c>
      <c r="U4" s="22">
        <v>369.61916046315702</v>
      </c>
      <c r="V4" s="22">
        <v>203.455504138252</v>
      </c>
      <c r="W4" s="22">
        <v>1878.5778974172299</v>
      </c>
      <c r="X4" s="22">
        <v>1878.5778974172299</v>
      </c>
      <c r="Y4" s="22">
        <v>52.662187500001302</v>
      </c>
      <c r="Z4" s="22">
        <v>55956.7208315526</v>
      </c>
      <c r="AA4" s="22">
        <v>1</v>
      </c>
    </row>
    <row r="5" spans="1:27" x14ac:dyDescent="0.25">
      <c r="A5" s="48">
        <f t="shared" si="0"/>
        <v>25589.999988425927</v>
      </c>
      <c r="B5" s="6">
        <v>670.98361111111114</v>
      </c>
      <c r="C5" s="6">
        <v>653.07749999999999</v>
      </c>
      <c r="D5" s="6">
        <v>625.79388888888889</v>
      </c>
      <c r="E5" s="6">
        <v>21.074722222222221</v>
      </c>
      <c r="F5" s="6">
        <v>9.9877777777777776</v>
      </c>
      <c r="G5" s="6">
        <v>90.223055555555561</v>
      </c>
      <c r="H5" s="6">
        <v>90.05638888888889</v>
      </c>
      <c r="I5" s="21">
        <v>1.0497222222222222</v>
      </c>
      <c r="J5" s="21">
        <v>40</v>
      </c>
      <c r="K5" s="21">
        <v>32</v>
      </c>
      <c r="L5" s="21">
        <v>20</v>
      </c>
      <c r="M5" s="21">
        <v>4</v>
      </c>
      <c r="N5" s="21">
        <v>8</v>
      </c>
      <c r="O5" s="21">
        <v>10</v>
      </c>
      <c r="P5" s="21">
        <v>10</v>
      </c>
      <c r="Q5" s="21">
        <v>10</v>
      </c>
      <c r="R5" s="22">
        <v>11957.3542008071</v>
      </c>
      <c r="S5" s="22">
        <v>11649.5568988578</v>
      </c>
      <c r="T5" s="22">
        <v>11221.970824858499</v>
      </c>
      <c r="U5" s="22">
        <v>369.61916046315702</v>
      </c>
      <c r="V5" s="22">
        <v>203.455504138252</v>
      </c>
      <c r="W5" s="22">
        <v>1878.5778974172299</v>
      </c>
      <c r="X5" s="22">
        <v>1878.5778974172299</v>
      </c>
      <c r="Y5" s="22">
        <v>52.662187500001302</v>
      </c>
      <c r="Z5" s="22">
        <v>76452.720832938096</v>
      </c>
      <c r="AA5" s="22">
        <v>1</v>
      </c>
    </row>
    <row r="6" spans="1:27" x14ac:dyDescent="0.25">
      <c r="A6" s="48">
        <f t="shared" si="0"/>
        <v>25596.999988425927</v>
      </c>
      <c r="B6" s="6">
        <v>838.98361111111114</v>
      </c>
      <c r="C6" s="6">
        <v>821.07749999999999</v>
      </c>
      <c r="D6" s="6">
        <v>793.79388888888889</v>
      </c>
      <c r="E6" s="6">
        <v>21.074722222222221</v>
      </c>
      <c r="F6" s="6">
        <v>9.9877777777777776</v>
      </c>
      <c r="G6" s="6">
        <v>90.223055555555561</v>
      </c>
      <c r="H6" s="6">
        <v>90.05638888888889</v>
      </c>
      <c r="I6" s="21">
        <v>1.0497222222222222</v>
      </c>
      <c r="J6" s="21">
        <v>50</v>
      </c>
      <c r="K6" s="21">
        <v>40</v>
      </c>
      <c r="L6" s="21">
        <v>25</v>
      </c>
      <c r="M6" s="21">
        <v>5</v>
      </c>
      <c r="N6" s="21">
        <v>10</v>
      </c>
      <c r="O6" s="21">
        <v>10</v>
      </c>
      <c r="P6" s="21">
        <v>10</v>
      </c>
      <c r="Q6" s="21">
        <v>10</v>
      </c>
      <c r="R6" s="22">
        <v>14981.3542003231</v>
      </c>
      <c r="S6" s="22">
        <v>14673.556898373699</v>
      </c>
      <c r="T6" s="22">
        <v>14245.970824374401</v>
      </c>
      <c r="U6" s="22">
        <v>369.61916046315702</v>
      </c>
      <c r="V6" s="22">
        <v>203.455504138252</v>
      </c>
      <c r="W6" s="22">
        <v>1878.5778974172299</v>
      </c>
      <c r="X6" s="22">
        <v>1878.5778974172299</v>
      </c>
      <c r="Y6" s="22">
        <v>52.662187500001302</v>
      </c>
      <c r="Z6" s="22">
        <v>96948.720834323598</v>
      </c>
      <c r="AA6" s="22">
        <v>1</v>
      </c>
    </row>
    <row r="7" spans="1:27" x14ac:dyDescent="0.25">
      <c r="A7" s="48">
        <f t="shared" si="0"/>
        <v>25603.999988425927</v>
      </c>
      <c r="B7" s="6">
        <v>1006.9836111111111</v>
      </c>
      <c r="C7" s="6">
        <v>989.07749999999999</v>
      </c>
      <c r="D7" s="6">
        <v>961.79388888888889</v>
      </c>
      <c r="E7" s="6">
        <v>21.074722222222221</v>
      </c>
      <c r="F7" s="6">
        <v>9.9877777777777776</v>
      </c>
      <c r="G7" s="6">
        <v>90.223055555555561</v>
      </c>
      <c r="H7" s="6">
        <v>90.05638888888889</v>
      </c>
      <c r="I7" s="21">
        <v>1.0497222222222222</v>
      </c>
      <c r="J7" s="21">
        <v>60</v>
      </c>
      <c r="K7" s="21">
        <v>48</v>
      </c>
      <c r="L7" s="21">
        <v>30</v>
      </c>
      <c r="M7" s="21">
        <v>6</v>
      </c>
      <c r="N7" s="21">
        <v>12</v>
      </c>
      <c r="O7" s="21">
        <v>10</v>
      </c>
      <c r="P7" s="21">
        <v>10</v>
      </c>
      <c r="Q7" s="21">
        <v>10</v>
      </c>
      <c r="R7" s="22">
        <v>18005.354199839101</v>
      </c>
      <c r="S7" s="22">
        <v>17697.556897889601</v>
      </c>
      <c r="T7" s="22">
        <v>17269.9708238903</v>
      </c>
      <c r="U7" s="22">
        <v>369.61916046315702</v>
      </c>
      <c r="V7" s="22">
        <v>203.455504138252</v>
      </c>
      <c r="W7" s="22">
        <v>1878.5778974172299</v>
      </c>
      <c r="X7" s="22">
        <v>1878.5778974172299</v>
      </c>
      <c r="Y7" s="22">
        <v>52.662187500001302</v>
      </c>
      <c r="Z7" s="22">
        <v>117444.720835709</v>
      </c>
      <c r="AA7" s="22">
        <v>1</v>
      </c>
    </row>
    <row r="8" spans="1:27" x14ac:dyDescent="0.25">
      <c r="A8" s="48">
        <f t="shared" si="0"/>
        <v>25610.999988425927</v>
      </c>
      <c r="B8" s="6">
        <v>1174.983611111111</v>
      </c>
      <c r="C8" s="6">
        <v>1157.0775000000001</v>
      </c>
      <c r="D8" s="6">
        <v>1129.7938888888889</v>
      </c>
      <c r="E8" s="6">
        <v>21.074722222222221</v>
      </c>
      <c r="F8" s="6">
        <v>9.9877777777777776</v>
      </c>
      <c r="G8" s="6">
        <v>90.223055555555561</v>
      </c>
      <c r="H8" s="6">
        <v>90.05638888888889</v>
      </c>
      <c r="I8" s="21">
        <v>1.0497222222222222</v>
      </c>
      <c r="J8" s="21">
        <v>70</v>
      </c>
      <c r="K8" s="21">
        <v>56</v>
      </c>
      <c r="L8" s="21">
        <v>35</v>
      </c>
      <c r="M8" s="21">
        <v>7</v>
      </c>
      <c r="N8" s="21">
        <v>14</v>
      </c>
      <c r="O8" s="21">
        <v>10</v>
      </c>
      <c r="P8" s="21">
        <v>10</v>
      </c>
      <c r="Q8" s="21">
        <v>10</v>
      </c>
      <c r="R8" s="22">
        <v>21029.354199355101</v>
      </c>
      <c r="S8" s="22">
        <v>20721.556897405499</v>
      </c>
      <c r="T8" s="22">
        <v>20293.970823406202</v>
      </c>
      <c r="U8" s="22">
        <v>369.61916046315702</v>
      </c>
      <c r="V8" s="22">
        <v>203.455504138252</v>
      </c>
      <c r="W8" s="22">
        <v>1878.5778974172299</v>
      </c>
      <c r="X8" s="22">
        <v>1878.5778974172299</v>
      </c>
      <c r="Y8" s="22">
        <v>52.662187500001302</v>
      </c>
      <c r="Z8" s="22">
        <v>137940.720837095</v>
      </c>
      <c r="AA8" s="22">
        <v>1</v>
      </c>
    </row>
    <row r="9" spans="1:27" x14ac:dyDescent="0.25">
      <c r="A9" s="48">
        <f t="shared" si="0"/>
        <v>25617.999988425927</v>
      </c>
      <c r="B9" s="6">
        <v>1342.983611111111</v>
      </c>
      <c r="C9" s="6">
        <v>1325.0775000000001</v>
      </c>
      <c r="D9" s="6">
        <v>1297.7938888888889</v>
      </c>
      <c r="E9" s="6">
        <v>21.074722222222221</v>
      </c>
      <c r="F9" s="6">
        <v>9.9877777777777776</v>
      </c>
      <c r="G9" s="6">
        <v>90.223055555555561</v>
      </c>
      <c r="H9" s="6">
        <v>90.05638888888889</v>
      </c>
      <c r="I9" s="21">
        <v>1.0497222222222222</v>
      </c>
      <c r="J9" s="21">
        <v>80</v>
      </c>
      <c r="K9" s="21">
        <v>64</v>
      </c>
      <c r="L9" s="21">
        <v>40</v>
      </c>
      <c r="M9" s="21">
        <v>8</v>
      </c>
      <c r="N9" s="21">
        <v>16</v>
      </c>
      <c r="O9" s="21">
        <v>10</v>
      </c>
      <c r="P9" s="21">
        <v>10</v>
      </c>
      <c r="Q9" s="21">
        <v>10</v>
      </c>
      <c r="R9" s="22">
        <v>24053.3541988711</v>
      </c>
      <c r="S9" s="22">
        <v>23745.5568969214</v>
      </c>
      <c r="T9" s="22">
        <v>23317.9708229221</v>
      </c>
      <c r="U9" s="22">
        <v>369.61916046315702</v>
      </c>
      <c r="V9" s="22">
        <v>203.455504138252</v>
      </c>
      <c r="W9" s="22">
        <v>1878.5778974172299</v>
      </c>
      <c r="X9" s="22">
        <v>1878.5778974172299</v>
      </c>
      <c r="Y9" s="22">
        <v>52.662187500001302</v>
      </c>
      <c r="Z9" s="22">
        <v>158436.72083847999</v>
      </c>
      <c r="AA9" s="22">
        <v>1</v>
      </c>
    </row>
    <row r="10" spans="1:27" x14ac:dyDescent="0.25">
      <c r="A10" s="48">
        <f t="shared" si="0"/>
        <v>25624.999988425927</v>
      </c>
      <c r="B10" s="6">
        <v>1510.983611111111</v>
      </c>
      <c r="C10" s="6">
        <v>1493.0775000000001</v>
      </c>
      <c r="D10" s="6">
        <v>1465.7938888888889</v>
      </c>
      <c r="E10" s="6">
        <v>21.074722222222221</v>
      </c>
      <c r="F10" s="6">
        <v>9.9877777777777776</v>
      </c>
      <c r="G10" s="6">
        <v>90.223055555555561</v>
      </c>
      <c r="H10" s="6">
        <v>90.05638888888889</v>
      </c>
      <c r="I10" s="21">
        <v>1.0497222222222222</v>
      </c>
      <c r="J10" s="21">
        <v>90</v>
      </c>
      <c r="K10" s="21">
        <v>72</v>
      </c>
      <c r="L10" s="21">
        <v>45</v>
      </c>
      <c r="M10" s="21">
        <v>9</v>
      </c>
      <c r="N10" s="21">
        <v>18</v>
      </c>
      <c r="O10" s="21">
        <v>10</v>
      </c>
      <c r="P10" s="21">
        <v>10</v>
      </c>
      <c r="Q10" s="21">
        <v>10</v>
      </c>
      <c r="R10" s="22">
        <v>27077.354198387002</v>
      </c>
      <c r="S10" s="22">
        <v>26769.556896437301</v>
      </c>
      <c r="T10" s="22">
        <v>26341.970822438099</v>
      </c>
      <c r="U10" s="22">
        <v>369.61916046315702</v>
      </c>
      <c r="V10" s="22">
        <v>203.455504138252</v>
      </c>
      <c r="W10" s="22">
        <v>1878.5778974172299</v>
      </c>
      <c r="X10" s="22">
        <v>1878.5778974172299</v>
      </c>
      <c r="Y10" s="22">
        <v>52.662187500001302</v>
      </c>
      <c r="Z10" s="22">
        <v>178932.720839866</v>
      </c>
      <c r="AA10" s="22">
        <v>1</v>
      </c>
    </row>
    <row r="11" spans="1:27" x14ac:dyDescent="0.25">
      <c r="A11" s="48">
        <f t="shared" si="0"/>
        <v>25631.999988425927</v>
      </c>
      <c r="B11" s="6">
        <v>1678.983611111111</v>
      </c>
      <c r="C11" s="6">
        <v>1661.0775000000001</v>
      </c>
      <c r="D11" s="6">
        <v>1633.7938888888889</v>
      </c>
      <c r="E11" s="6">
        <v>21.074722222222221</v>
      </c>
      <c r="F11" s="6">
        <v>9.9877777777777776</v>
      </c>
      <c r="G11" s="6">
        <v>90.223055555555561</v>
      </c>
      <c r="H11" s="6">
        <v>90.05638888888889</v>
      </c>
      <c r="I11" s="21">
        <v>1.0497222222222222</v>
      </c>
      <c r="J11" s="21">
        <v>100</v>
      </c>
      <c r="K11" s="21">
        <v>80</v>
      </c>
      <c r="L11" s="21">
        <v>50</v>
      </c>
      <c r="M11" s="21">
        <v>10</v>
      </c>
      <c r="N11" s="21">
        <v>20</v>
      </c>
      <c r="O11" s="21">
        <v>10</v>
      </c>
      <c r="P11" s="21">
        <v>10</v>
      </c>
      <c r="Q11" s="21">
        <v>10</v>
      </c>
      <c r="R11" s="22">
        <v>30101.354197903001</v>
      </c>
      <c r="S11" s="22">
        <v>29793.556895953199</v>
      </c>
      <c r="T11" s="22">
        <v>29365.970821954001</v>
      </c>
      <c r="U11" s="22">
        <v>369.61916046315702</v>
      </c>
      <c r="V11" s="22">
        <v>203.455504138252</v>
      </c>
      <c r="W11" s="22">
        <v>1878.5778974172299</v>
      </c>
      <c r="X11" s="22">
        <v>1878.5778974172299</v>
      </c>
      <c r="Y11" s="22">
        <v>52.662187500001302</v>
      </c>
      <c r="Z11" s="22">
        <v>199428.72084125099</v>
      </c>
      <c r="AA11" s="22">
        <v>1</v>
      </c>
    </row>
    <row r="12" spans="1:27" x14ac:dyDescent="0.25">
      <c r="A12" s="48">
        <f t="shared" si="0"/>
        <v>25638.999988425927</v>
      </c>
      <c r="B12" s="6">
        <v>1846.983611111111</v>
      </c>
      <c r="C12" s="6">
        <v>1829.0775000000001</v>
      </c>
      <c r="D12" s="6">
        <v>1801.7938888888889</v>
      </c>
      <c r="E12" s="6">
        <v>21.074722222222221</v>
      </c>
      <c r="F12" s="6">
        <v>9.9877777777777776</v>
      </c>
      <c r="G12" s="6">
        <v>90.223055555555561</v>
      </c>
      <c r="H12" s="6">
        <v>90.05638888888889</v>
      </c>
      <c r="I12" s="21">
        <v>1.0497222222222222</v>
      </c>
      <c r="J12" s="21">
        <v>110</v>
      </c>
      <c r="K12" s="21">
        <v>88</v>
      </c>
      <c r="L12" s="21">
        <v>55</v>
      </c>
      <c r="M12" s="21">
        <v>11</v>
      </c>
      <c r="N12" s="21">
        <v>22</v>
      </c>
      <c r="O12" s="21">
        <v>10</v>
      </c>
      <c r="P12" s="21">
        <v>10</v>
      </c>
      <c r="Q12" s="21">
        <v>10</v>
      </c>
      <c r="R12" s="22">
        <v>33125.354197419001</v>
      </c>
      <c r="S12" s="22">
        <v>32817.556895469097</v>
      </c>
      <c r="T12" s="22">
        <v>32389.970821469899</v>
      </c>
      <c r="U12" s="22">
        <v>369.61916046315702</v>
      </c>
      <c r="V12" s="22">
        <v>203.455504138252</v>
      </c>
      <c r="W12" s="22">
        <v>1878.5778974172299</v>
      </c>
      <c r="X12" s="22">
        <v>1878.5778974172299</v>
      </c>
      <c r="Y12" s="22">
        <v>52.662187500001302</v>
      </c>
      <c r="Z12" s="22">
        <v>219924.72084263701</v>
      </c>
      <c r="AA12" s="22">
        <v>1</v>
      </c>
    </row>
    <row r="13" spans="1:27" x14ac:dyDescent="0.25">
      <c r="A13" s="48">
        <f t="shared" si="0"/>
        <v>25645.999988425927</v>
      </c>
      <c r="B13" s="6">
        <v>2014.983611111111</v>
      </c>
      <c r="C13" s="6">
        <v>1997.0775000000001</v>
      </c>
      <c r="D13" s="6">
        <v>1969.7938888888889</v>
      </c>
      <c r="E13" s="6">
        <v>21.074722222222221</v>
      </c>
      <c r="F13" s="6">
        <v>9.9877777777777776</v>
      </c>
      <c r="G13" s="6">
        <v>90.223055555555561</v>
      </c>
      <c r="H13" s="6">
        <v>90.05638888888889</v>
      </c>
      <c r="I13" s="21">
        <v>1.0497222222222222</v>
      </c>
      <c r="J13" s="21">
        <v>120</v>
      </c>
      <c r="K13" s="21">
        <v>96</v>
      </c>
      <c r="L13" s="21">
        <v>60</v>
      </c>
      <c r="M13" s="21">
        <v>12</v>
      </c>
      <c r="N13" s="21">
        <v>24</v>
      </c>
      <c r="O13" s="21">
        <v>10</v>
      </c>
      <c r="P13" s="21">
        <v>10</v>
      </c>
      <c r="Q13" s="21">
        <v>10</v>
      </c>
      <c r="R13" s="22">
        <v>36149.354196934997</v>
      </c>
      <c r="S13" s="22">
        <v>35841.556894984999</v>
      </c>
      <c r="T13" s="22">
        <v>35413.9708209858</v>
      </c>
      <c r="U13" s="22">
        <v>369.61916046315702</v>
      </c>
      <c r="V13" s="22">
        <v>203.455504138252</v>
      </c>
      <c r="W13" s="22">
        <v>1878.5778974172299</v>
      </c>
      <c r="X13" s="22">
        <v>1878.5778974172299</v>
      </c>
      <c r="Y13" s="22">
        <v>52.662187500001302</v>
      </c>
      <c r="Z13" s="22">
        <v>240420.720844022</v>
      </c>
      <c r="AA13" s="22">
        <v>1</v>
      </c>
    </row>
    <row r="14" spans="1:27" x14ac:dyDescent="0.25">
      <c r="A14" s="48">
        <f t="shared" si="0"/>
        <v>25652.999988425927</v>
      </c>
      <c r="B14" s="6">
        <v>2182.9836111111113</v>
      </c>
      <c r="C14" s="6">
        <v>2165.0774999999999</v>
      </c>
      <c r="D14" s="6">
        <v>2137.7938888888889</v>
      </c>
      <c r="E14" s="6">
        <v>21.074722222222221</v>
      </c>
      <c r="F14" s="6">
        <v>9.9877777777777776</v>
      </c>
      <c r="G14" s="6">
        <v>90.223055555555561</v>
      </c>
      <c r="H14" s="6">
        <v>90.05638888888889</v>
      </c>
      <c r="I14" s="21">
        <v>1.0497222222222222</v>
      </c>
      <c r="J14" s="21">
        <v>130</v>
      </c>
      <c r="K14" s="21">
        <v>104</v>
      </c>
      <c r="L14" s="21">
        <v>65</v>
      </c>
      <c r="M14" s="21">
        <v>13</v>
      </c>
      <c r="N14" s="21">
        <v>26</v>
      </c>
      <c r="O14" s="21">
        <v>10</v>
      </c>
      <c r="P14" s="21">
        <v>10</v>
      </c>
      <c r="Q14" s="21">
        <v>10</v>
      </c>
      <c r="R14" s="22">
        <v>39173.354196451</v>
      </c>
      <c r="S14" s="22">
        <v>38865.5568945009</v>
      </c>
      <c r="T14" s="22">
        <v>38437.970820501701</v>
      </c>
      <c r="U14" s="22">
        <v>369.61916046315702</v>
      </c>
      <c r="V14" s="22">
        <v>203.455504138252</v>
      </c>
      <c r="W14" s="22">
        <v>1878.5778974172299</v>
      </c>
      <c r="X14" s="22">
        <v>1878.5778974172299</v>
      </c>
      <c r="Y14" s="22">
        <v>52.662187500001302</v>
      </c>
      <c r="Z14" s="22">
        <v>260916.72084540801</v>
      </c>
      <c r="AA14" s="22">
        <v>1</v>
      </c>
    </row>
    <row r="15" spans="1:27" x14ac:dyDescent="0.25">
      <c r="A15" s="48">
        <f t="shared" si="0"/>
        <v>25659.999988425927</v>
      </c>
      <c r="B15" s="6">
        <v>2350.9836111111113</v>
      </c>
      <c r="C15" s="6">
        <v>2333.0774999999999</v>
      </c>
      <c r="D15" s="6">
        <v>2305.7938888888889</v>
      </c>
      <c r="E15" s="6">
        <v>21.074722222222221</v>
      </c>
      <c r="F15" s="6">
        <v>9.9877777777777776</v>
      </c>
      <c r="G15" s="6">
        <v>90.223055555555561</v>
      </c>
      <c r="H15" s="6">
        <v>90.05638888888889</v>
      </c>
      <c r="I15" s="21">
        <v>1.0497222222222222</v>
      </c>
      <c r="J15" s="21">
        <v>140</v>
      </c>
      <c r="K15" s="21">
        <v>112</v>
      </c>
      <c r="L15" s="21">
        <v>70</v>
      </c>
      <c r="M15" s="21">
        <v>14</v>
      </c>
      <c r="N15" s="21">
        <v>28</v>
      </c>
      <c r="O15" s="21">
        <v>10</v>
      </c>
      <c r="P15" s="21">
        <v>10</v>
      </c>
      <c r="Q15" s="21">
        <v>10</v>
      </c>
      <c r="R15" s="22">
        <v>42197.354195966996</v>
      </c>
      <c r="S15" s="22">
        <v>41889.556894016801</v>
      </c>
      <c r="T15" s="22">
        <v>41461.970820017603</v>
      </c>
      <c r="U15" s="22">
        <v>369.61916046315702</v>
      </c>
      <c r="V15" s="22">
        <v>203.455504138252</v>
      </c>
      <c r="W15" s="22">
        <v>1878.5778974172299</v>
      </c>
      <c r="X15" s="22">
        <v>1878.5778974172299</v>
      </c>
      <c r="Y15" s="22">
        <v>52.662187500001302</v>
      </c>
      <c r="Z15" s="22">
        <v>281412.72084679297</v>
      </c>
      <c r="AA15" s="22">
        <v>1</v>
      </c>
    </row>
    <row r="16" spans="1:27" x14ac:dyDescent="0.25">
      <c r="A16" s="48">
        <f t="shared" si="0"/>
        <v>25666.999988425927</v>
      </c>
      <c r="B16" s="6">
        <v>2518.9836111111113</v>
      </c>
      <c r="C16" s="6">
        <v>2501.0774999999999</v>
      </c>
      <c r="D16" s="6">
        <v>2473.7938888888889</v>
      </c>
      <c r="E16" s="6">
        <v>21.074722222222221</v>
      </c>
      <c r="F16" s="6">
        <v>9.9877777777777776</v>
      </c>
      <c r="G16" s="6">
        <v>90.223055555555561</v>
      </c>
      <c r="H16" s="6">
        <v>90.05638888888889</v>
      </c>
      <c r="I16" s="21">
        <v>1.0497222222222222</v>
      </c>
      <c r="J16" s="21">
        <v>150</v>
      </c>
      <c r="K16" s="21">
        <v>120</v>
      </c>
      <c r="L16" s="21">
        <v>75</v>
      </c>
      <c r="M16" s="21">
        <v>15</v>
      </c>
      <c r="N16" s="21">
        <v>30</v>
      </c>
      <c r="O16" s="21">
        <v>10</v>
      </c>
      <c r="P16" s="21">
        <v>10</v>
      </c>
      <c r="Q16" s="21">
        <v>10</v>
      </c>
      <c r="R16" s="22">
        <v>45221.354195483</v>
      </c>
      <c r="S16" s="22">
        <v>44913.556893532703</v>
      </c>
      <c r="T16" s="22">
        <v>44485.970819533497</v>
      </c>
      <c r="U16" s="22">
        <v>369.61916046315702</v>
      </c>
      <c r="V16" s="22">
        <v>203.455504138252</v>
      </c>
      <c r="W16" s="22">
        <v>1878.5778974172299</v>
      </c>
      <c r="X16" s="22">
        <v>1878.5778974172299</v>
      </c>
      <c r="Y16" s="22">
        <v>52.662187500001302</v>
      </c>
      <c r="Z16" s="22">
        <v>301908.72084817901</v>
      </c>
      <c r="AA16" s="22">
        <v>1</v>
      </c>
    </row>
    <row r="17" spans="1:27" x14ac:dyDescent="0.25">
      <c r="A17" s="48">
        <f t="shared" si="0"/>
        <v>25673.999988425927</v>
      </c>
      <c r="B17" s="6">
        <v>2686.9836111111113</v>
      </c>
      <c r="C17" s="6">
        <v>2669.0774999999999</v>
      </c>
      <c r="D17" s="6">
        <v>2641.7938888888889</v>
      </c>
      <c r="E17" s="6">
        <v>21.074722222222221</v>
      </c>
      <c r="F17" s="6">
        <v>9.9877777777777776</v>
      </c>
      <c r="G17" s="6">
        <v>90.223055555555561</v>
      </c>
      <c r="H17" s="6">
        <v>90.05638888888889</v>
      </c>
      <c r="I17" s="21">
        <v>1.0497222222222222</v>
      </c>
      <c r="J17" s="21">
        <v>160</v>
      </c>
      <c r="K17" s="21">
        <v>128</v>
      </c>
      <c r="L17" s="21">
        <v>80</v>
      </c>
      <c r="M17" s="21">
        <v>16</v>
      </c>
      <c r="N17" s="21">
        <v>32</v>
      </c>
      <c r="O17" s="21">
        <v>10</v>
      </c>
      <c r="P17" s="21">
        <v>10</v>
      </c>
      <c r="Q17" s="21">
        <v>10</v>
      </c>
      <c r="R17" s="22">
        <v>48245.354194999003</v>
      </c>
      <c r="S17" s="22">
        <v>47937.556893048597</v>
      </c>
      <c r="T17" s="22">
        <v>47509.970819049398</v>
      </c>
      <c r="U17" s="22">
        <v>369.61916046315702</v>
      </c>
      <c r="V17" s="22">
        <v>203.455504138252</v>
      </c>
      <c r="W17" s="22">
        <v>1878.5778974172299</v>
      </c>
      <c r="X17" s="22">
        <v>1878.5778974172299</v>
      </c>
      <c r="Y17" s="22">
        <v>52.662187500001302</v>
      </c>
      <c r="Z17" s="22">
        <v>322404.72084956401</v>
      </c>
      <c r="AA17" s="22">
        <v>1</v>
      </c>
    </row>
    <row r="18" spans="1:27" x14ac:dyDescent="0.25">
      <c r="A18" s="48">
        <f t="shared" si="0"/>
        <v>25680.999988425927</v>
      </c>
      <c r="B18" s="6">
        <v>2854.9836111111113</v>
      </c>
      <c r="C18" s="6">
        <v>2837.0774999999999</v>
      </c>
      <c r="D18" s="6">
        <v>2809.7938888888889</v>
      </c>
      <c r="E18" s="6">
        <v>21.074722222222221</v>
      </c>
      <c r="F18" s="6">
        <v>9.9877777777777776</v>
      </c>
      <c r="G18" s="6">
        <v>90.223055555555561</v>
      </c>
      <c r="H18" s="6">
        <v>90.05638888888889</v>
      </c>
      <c r="I18" s="21">
        <v>1.0497222222222222</v>
      </c>
      <c r="J18" s="21">
        <v>170</v>
      </c>
      <c r="K18" s="21">
        <v>136</v>
      </c>
      <c r="L18" s="21">
        <v>85</v>
      </c>
      <c r="M18" s="21">
        <v>17</v>
      </c>
      <c r="N18" s="21">
        <v>34</v>
      </c>
      <c r="O18" s="21">
        <v>10</v>
      </c>
      <c r="P18" s="21">
        <v>10</v>
      </c>
      <c r="Q18" s="21">
        <v>10</v>
      </c>
      <c r="R18" s="22">
        <v>51269.354194514999</v>
      </c>
      <c r="S18" s="22">
        <v>50961.556892564498</v>
      </c>
      <c r="T18" s="22">
        <v>50533.9708185653</v>
      </c>
      <c r="U18" s="22">
        <v>369.61916046315702</v>
      </c>
      <c r="V18" s="22">
        <v>203.455504138252</v>
      </c>
      <c r="W18" s="22">
        <v>1878.5778974172299</v>
      </c>
      <c r="X18" s="22">
        <v>1878.5778974172299</v>
      </c>
      <c r="Y18" s="22">
        <v>52.662187500001302</v>
      </c>
      <c r="Z18" s="22">
        <v>342900.72085094999</v>
      </c>
      <c r="AA18" s="22">
        <v>1</v>
      </c>
    </row>
    <row r="19" spans="1:27" x14ac:dyDescent="0.25">
      <c r="A19" s="48">
        <f t="shared" si="0"/>
        <v>25687.999988425927</v>
      </c>
      <c r="B19" s="6">
        <v>3022.9836111111113</v>
      </c>
      <c r="C19" s="6">
        <v>3005.0774999999999</v>
      </c>
      <c r="D19" s="6">
        <v>2977.7938888888889</v>
      </c>
      <c r="E19" s="6">
        <v>21.074722222222221</v>
      </c>
      <c r="F19" s="6">
        <v>9.9877777777777776</v>
      </c>
      <c r="G19" s="6">
        <v>90.223055555555561</v>
      </c>
      <c r="H19" s="6">
        <v>90.05638888888889</v>
      </c>
      <c r="I19" s="21">
        <v>1.0497222222222222</v>
      </c>
      <c r="J19" s="21">
        <v>180</v>
      </c>
      <c r="K19" s="21">
        <v>144</v>
      </c>
      <c r="L19" s="21">
        <v>90</v>
      </c>
      <c r="M19" s="21">
        <v>18</v>
      </c>
      <c r="N19" s="21">
        <v>36</v>
      </c>
      <c r="O19" s="21">
        <v>10</v>
      </c>
      <c r="P19" s="21">
        <v>10</v>
      </c>
      <c r="Q19" s="21">
        <v>10</v>
      </c>
      <c r="R19" s="22">
        <v>54293.354194031002</v>
      </c>
      <c r="S19" s="22">
        <v>53985.5568920804</v>
      </c>
      <c r="T19" s="22">
        <v>53557.970818081201</v>
      </c>
      <c r="U19" s="22">
        <v>369.61916046315702</v>
      </c>
      <c r="V19" s="22">
        <v>203.455504138252</v>
      </c>
      <c r="W19" s="22">
        <v>1878.5778974172299</v>
      </c>
      <c r="X19" s="22">
        <v>1878.5778974172299</v>
      </c>
      <c r="Y19" s="22">
        <v>52.662187500001302</v>
      </c>
      <c r="Z19" s="22">
        <v>363396.72085233498</v>
      </c>
      <c r="AA19" s="22">
        <v>1</v>
      </c>
    </row>
    <row r="20" spans="1:27" x14ac:dyDescent="0.25">
      <c r="A20" s="48">
        <f t="shared" si="0"/>
        <v>25694.999988425927</v>
      </c>
      <c r="B20" s="6">
        <v>3190.9836111111113</v>
      </c>
      <c r="C20" s="6">
        <v>3173.0774999999999</v>
      </c>
      <c r="D20" s="6">
        <v>3145.7938888888889</v>
      </c>
      <c r="E20" s="6">
        <v>21.074722222222221</v>
      </c>
      <c r="F20" s="6">
        <v>9.9877777777777776</v>
      </c>
      <c r="G20" s="6">
        <v>90.223055555555561</v>
      </c>
      <c r="H20" s="6">
        <v>90.05638888888889</v>
      </c>
      <c r="I20" s="21">
        <v>1.0497222222222222</v>
      </c>
      <c r="J20" s="21">
        <v>190</v>
      </c>
      <c r="K20" s="21">
        <v>152</v>
      </c>
      <c r="L20" s="21">
        <v>95</v>
      </c>
      <c r="M20" s="21">
        <v>19</v>
      </c>
      <c r="N20" s="21">
        <v>38</v>
      </c>
      <c r="O20" s="21">
        <v>10</v>
      </c>
      <c r="P20" s="21">
        <v>10</v>
      </c>
      <c r="Q20" s="21">
        <v>10</v>
      </c>
      <c r="R20" s="22">
        <v>57317.354193546897</v>
      </c>
      <c r="S20" s="22">
        <v>57009.556891596301</v>
      </c>
      <c r="T20" s="22">
        <v>56581.970817597103</v>
      </c>
      <c r="U20" s="22">
        <v>369.61916046315702</v>
      </c>
      <c r="V20" s="22">
        <v>203.455504138252</v>
      </c>
      <c r="W20" s="22">
        <v>1878.5778974172299</v>
      </c>
      <c r="X20" s="22">
        <v>1878.5778974172299</v>
      </c>
      <c r="Y20" s="22">
        <v>52.662187500001302</v>
      </c>
      <c r="Z20" s="22">
        <v>383892.72085372102</v>
      </c>
      <c r="AA20" s="22">
        <v>1</v>
      </c>
    </row>
    <row r="21" spans="1:27" x14ac:dyDescent="0.25">
      <c r="A21" s="48">
        <f t="shared" si="0"/>
        <v>25701.999988425927</v>
      </c>
      <c r="B21" s="6">
        <v>3358.9836111111113</v>
      </c>
      <c r="C21" s="6">
        <v>3341.0774999999999</v>
      </c>
      <c r="D21" s="6">
        <v>3313.7938888888889</v>
      </c>
      <c r="E21" s="6">
        <v>21.074722222222221</v>
      </c>
      <c r="F21" s="6">
        <v>9.9877777777777776</v>
      </c>
      <c r="G21" s="6">
        <v>90.223055555555561</v>
      </c>
      <c r="H21" s="6">
        <v>90.05638888888889</v>
      </c>
      <c r="I21" s="21">
        <v>1.0497222222222222</v>
      </c>
      <c r="J21" s="21">
        <v>200</v>
      </c>
      <c r="K21" s="21">
        <v>160</v>
      </c>
      <c r="L21" s="21">
        <v>100</v>
      </c>
      <c r="M21" s="21">
        <v>20</v>
      </c>
      <c r="N21" s="21">
        <v>40</v>
      </c>
      <c r="O21" s="21">
        <v>10</v>
      </c>
      <c r="P21" s="21">
        <v>10</v>
      </c>
      <c r="Q21" s="21">
        <v>10</v>
      </c>
      <c r="R21" s="22">
        <v>60341.3541930629</v>
      </c>
      <c r="S21" s="22">
        <v>60033.556891112203</v>
      </c>
      <c r="T21" s="22">
        <v>59605.970817112997</v>
      </c>
      <c r="U21" s="22">
        <v>369.61916046315702</v>
      </c>
      <c r="V21" s="22">
        <v>203.455504138252</v>
      </c>
      <c r="W21" s="22">
        <v>1878.5778974172299</v>
      </c>
      <c r="X21" s="22">
        <v>1878.5778974172299</v>
      </c>
      <c r="Y21" s="22">
        <v>52.662187500001302</v>
      </c>
      <c r="Z21" s="22">
        <v>404388.72085510602</v>
      </c>
      <c r="AA21" s="22">
        <v>1</v>
      </c>
    </row>
    <row r="22" spans="1:27" x14ac:dyDescent="0.25">
      <c r="A22" s="48">
        <f t="shared" si="0"/>
        <v>25708.999988425927</v>
      </c>
      <c r="B22" s="6">
        <v>3526.9836111111113</v>
      </c>
      <c r="C22" s="6">
        <v>3509.0774999999999</v>
      </c>
      <c r="D22" s="6">
        <v>3481.7938888888889</v>
      </c>
      <c r="E22" s="6">
        <v>21.074722222222221</v>
      </c>
      <c r="F22" s="6">
        <v>9.9877777777777776</v>
      </c>
      <c r="G22" s="6">
        <v>90.223055555555561</v>
      </c>
      <c r="H22" s="6">
        <v>90.05638888888889</v>
      </c>
      <c r="I22" s="21">
        <v>1.0497222222222222</v>
      </c>
      <c r="J22" s="21">
        <v>210</v>
      </c>
      <c r="K22" s="21">
        <v>168</v>
      </c>
      <c r="L22" s="21">
        <v>105</v>
      </c>
      <c r="M22" s="21">
        <v>21</v>
      </c>
      <c r="N22" s="21">
        <v>42</v>
      </c>
      <c r="O22" s="21">
        <v>10</v>
      </c>
      <c r="P22" s="21">
        <v>10</v>
      </c>
      <c r="Q22" s="21">
        <v>10</v>
      </c>
      <c r="R22" s="22">
        <v>63365.354192578903</v>
      </c>
      <c r="S22" s="22">
        <v>63057.556890628097</v>
      </c>
      <c r="T22" s="22">
        <v>62629.970816629</v>
      </c>
      <c r="U22" s="22">
        <v>369.61916046315702</v>
      </c>
      <c r="V22" s="22">
        <v>203.455504138252</v>
      </c>
      <c r="W22" s="22">
        <v>1878.5778974172299</v>
      </c>
      <c r="X22" s="22">
        <v>1878.5778974172299</v>
      </c>
      <c r="Y22" s="22">
        <v>52.662187500001302</v>
      </c>
      <c r="Z22" s="22">
        <v>424884.720856492</v>
      </c>
      <c r="AA22" s="22">
        <v>1</v>
      </c>
    </row>
    <row r="23" spans="1:27" x14ac:dyDescent="0.25">
      <c r="A23" s="48">
        <f t="shared" si="0"/>
        <v>25715.999988425927</v>
      </c>
      <c r="B23" s="6">
        <v>3694.9836111111113</v>
      </c>
      <c r="C23" s="6">
        <v>3677.0774999999999</v>
      </c>
      <c r="D23" s="6">
        <v>3649.7938888888889</v>
      </c>
      <c r="E23" s="6">
        <v>21.074722222222221</v>
      </c>
      <c r="F23" s="6">
        <v>9.9877777777777776</v>
      </c>
      <c r="G23" s="6">
        <v>90.223055555555561</v>
      </c>
      <c r="H23" s="6">
        <v>90.05638888888889</v>
      </c>
      <c r="I23" s="21">
        <v>1.0497222222222222</v>
      </c>
      <c r="J23" s="21">
        <v>220</v>
      </c>
      <c r="K23" s="21">
        <v>176</v>
      </c>
      <c r="L23" s="21">
        <v>110</v>
      </c>
      <c r="M23" s="21">
        <v>22</v>
      </c>
      <c r="N23" s="21">
        <v>44</v>
      </c>
      <c r="O23" s="21">
        <v>10</v>
      </c>
      <c r="P23" s="21">
        <v>10</v>
      </c>
      <c r="Q23" s="21">
        <v>10</v>
      </c>
      <c r="R23" s="22">
        <v>66389.354192094906</v>
      </c>
      <c r="S23" s="22">
        <v>66081.556890143998</v>
      </c>
      <c r="T23" s="22">
        <v>65653.970816144894</v>
      </c>
      <c r="U23" s="22">
        <v>369.61916046315702</v>
      </c>
      <c r="V23" s="22">
        <v>203.455504138252</v>
      </c>
      <c r="W23" s="22">
        <v>1878.5778974172299</v>
      </c>
      <c r="X23" s="22">
        <v>1878.5778974172299</v>
      </c>
      <c r="Y23" s="22">
        <v>52.662187500001302</v>
      </c>
      <c r="Z23" s="22">
        <v>445380.72085787699</v>
      </c>
      <c r="AA23" s="22">
        <v>1</v>
      </c>
    </row>
    <row r="24" spans="1:27" x14ac:dyDescent="0.25">
      <c r="A24" s="48">
        <f t="shared" si="0"/>
        <v>25722.999988425927</v>
      </c>
      <c r="B24" s="6">
        <v>3862.9836111111113</v>
      </c>
      <c r="C24" s="6">
        <v>3845.0774999999999</v>
      </c>
      <c r="D24" s="6">
        <v>3817.7938888888889</v>
      </c>
      <c r="E24" s="6">
        <v>21.074722222222221</v>
      </c>
      <c r="F24" s="6">
        <v>9.9877777777777776</v>
      </c>
      <c r="G24" s="6">
        <v>90.223055555555561</v>
      </c>
      <c r="H24" s="6">
        <v>90.05638888888889</v>
      </c>
      <c r="I24" s="21">
        <v>1.0497222222222222</v>
      </c>
      <c r="J24" s="21">
        <v>230</v>
      </c>
      <c r="K24" s="21">
        <v>184</v>
      </c>
      <c r="L24" s="21">
        <v>115</v>
      </c>
      <c r="M24" s="21">
        <v>23</v>
      </c>
      <c r="N24" s="21">
        <v>46</v>
      </c>
      <c r="O24" s="21">
        <v>10</v>
      </c>
      <c r="P24" s="21">
        <v>10</v>
      </c>
      <c r="Q24" s="21">
        <v>10</v>
      </c>
      <c r="R24" s="22">
        <v>69413.354191610895</v>
      </c>
      <c r="S24" s="22">
        <v>69105.5568896599</v>
      </c>
      <c r="T24" s="22">
        <v>68677.970815660796</v>
      </c>
      <c r="U24" s="22">
        <v>369.61916046315702</v>
      </c>
      <c r="V24" s="22">
        <v>203.455504138252</v>
      </c>
      <c r="W24" s="22">
        <v>1878.5778974172299</v>
      </c>
      <c r="X24" s="22">
        <v>1878.5778974172299</v>
      </c>
      <c r="Y24" s="22">
        <v>52.662187500001302</v>
      </c>
      <c r="Z24" s="22">
        <v>465876.72085926298</v>
      </c>
      <c r="AA24" s="22">
        <v>1</v>
      </c>
    </row>
    <row r="25" spans="1:27" x14ac:dyDescent="0.25">
      <c r="A25" s="48">
        <f t="shared" si="0"/>
        <v>25729.999988425927</v>
      </c>
      <c r="B25" s="6">
        <v>4030.9836111111113</v>
      </c>
      <c r="C25" s="6">
        <v>4013.0774999999999</v>
      </c>
      <c r="D25" s="6">
        <v>3985.7938888888889</v>
      </c>
      <c r="E25" s="6">
        <v>21.074722222222221</v>
      </c>
      <c r="F25" s="6">
        <v>9.9877777777777776</v>
      </c>
      <c r="G25" s="6">
        <v>90.223055555555561</v>
      </c>
      <c r="H25" s="6">
        <v>90.05638888888889</v>
      </c>
      <c r="I25" s="21">
        <v>1.0497222222222222</v>
      </c>
      <c r="J25" s="21">
        <v>240</v>
      </c>
      <c r="K25" s="21">
        <v>192</v>
      </c>
      <c r="L25" s="21">
        <v>120</v>
      </c>
      <c r="M25" s="21">
        <v>24</v>
      </c>
      <c r="N25" s="21">
        <v>48</v>
      </c>
      <c r="O25" s="21">
        <v>10</v>
      </c>
      <c r="P25" s="21">
        <v>10</v>
      </c>
      <c r="Q25" s="21">
        <v>10</v>
      </c>
      <c r="R25" s="22">
        <v>72437.354191126899</v>
      </c>
      <c r="S25" s="22">
        <v>72129.556889175801</v>
      </c>
      <c r="T25" s="22">
        <v>71701.970815176697</v>
      </c>
      <c r="U25" s="22">
        <v>369.61916046315702</v>
      </c>
      <c r="V25" s="22">
        <v>203.455504138252</v>
      </c>
      <c r="W25" s="22">
        <v>1878.5778974172299</v>
      </c>
      <c r="X25" s="22">
        <v>1878.5778974172299</v>
      </c>
      <c r="Y25" s="22">
        <v>52.662187500001302</v>
      </c>
      <c r="Z25" s="22">
        <v>486372.72086064803</v>
      </c>
      <c r="AA25" s="22">
        <v>1</v>
      </c>
    </row>
    <row r="26" spans="1:27" x14ac:dyDescent="0.25">
      <c r="A26" s="48">
        <f t="shared" si="0"/>
        <v>25736.999988425927</v>
      </c>
      <c r="B26" s="6">
        <v>4198.9836111111108</v>
      </c>
      <c r="C26" s="6">
        <v>4181.0775000000003</v>
      </c>
      <c r="D26" s="6">
        <v>4153.7938888888884</v>
      </c>
      <c r="E26" s="6">
        <v>21.074722222222221</v>
      </c>
      <c r="F26" s="6">
        <v>9.9877777777777776</v>
      </c>
      <c r="G26" s="6">
        <v>90.223055555555561</v>
      </c>
      <c r="H26" s="6">
        <v>90.05638888888889</v>
      </c>
      <c r="I26" s="21">
        <v>1.0497222222222222</v>
      </c>
      <c r="J26" s="21">
        <v>250</v>
      </c>
      <c r="K26" s="21">
        <v>200</v>
      </c>
      <c r="L26" s="21">
        <v>125</v>
      </c>
      <c r="M26" s="21">
        <v>25</v>
      </c>
      <c r="N26" s="21">
        <v>50</v>
      </c>
      <c r="O26" s="21">
        <v>10</v>
      </c>
      <c r="P26" s="21">
        <v>10</v>
      </c>
      <c r="Q26" s="21">
        <v>10</v>
      </c>
      <c r="R26" s="22">
        <v>75461.354190642902</v>
      </c>
      <c r="S26" s="22">
        <v>75153.556888691703</v>
      </c>
      <c r="T26" s="22">
        <v>74725.970814692599</v>
      </c>
      <c r="U26" s="22">
        <v>369.61916046315702</v>
      </c>
      <c r="V26" s="22">
        <v>203.455504138252</v>
      </c>
      <c r="W26" s="22">
        <v>1878.5778974172299</v>
      </c>
      <c r="X26" s="22">
        <v>1878.5778974172299</v>
      </c>
      <c r="Y26" s="22">
        <v>52.662187500001302</v>
      </c>
      <c r="Z26" s="22">
        <v>506868.72086203401</v>
      </c>
      <c r="AA26" s="22">
        <v>1</v>
      </c>
    </row>
    <row r="27" spans="1:27" x14ac:dyDescent="0.25">
      <c r="A27" s="48">
        <f t="shared" si="0"/>
        <v>25743.999988425927</v>
      </c>
      <c r="B27" s="6">
        <v>4366.9836111111108</v>
      </c>
      <c r="C27" s="6">
        <v>4349.0775000000003</v>
      </c>
      <c r="D27" s="6">
        <v>4321.7938888888884</v>
      </c>
      <c r="E27" s="6">
        <v>21.074722222222221</v>
      </c>
      <c r="F27" s="6">
        <v>9.9877777777777776</v>
      </c>
      <c r="G27" s="6">
        <v>90.223055555555561</v>
      </c>
      <c r="H27" s="6">
        <v>90.05638888888889</v>
      </c>
      <c r="I27" s="21">
        <v>1.0497222222222222</v>
      </c>
      <c r="J27" s="21">
        <v>260</v>
      </c>
      <c r="K27" s="21">
        <v>208</v>
      </c>
      <c r="L27" s="21">
        <v>130</v>
      </c>
      <c r="M27" s="21">
        <v>26</v>
      </c>
      <c r="N27" s="21">
        <v>52</v>
      </c>
      <c r="O27" s="21">
        <v>10</v>
      </c>
      <c r="P27" s="21">
        <v>10</v>
      </c>
      <c r="Q27" s="21">
        <v>10</v>
      </c>
      <c r="R27" s="22">
        <v>78485.354190158905</v>
      </c>
      <c r="S27" s="22">
        <v>78177.556888207604</v>
      </c>
      <c r="T27" s="22">
        <v>77749.9708142085</v>
      </c>
      <c r="U27" s="22">
        <v>369.61916046315702</v>
      </c>
      <c r="V27" s="22">
        <v>203.455504138252</v>
      </c>
      <c r="W27" s="22">
        <v>1878.5778974172299</v>
      </c>
      <c r="X27" s="22">
        <v>1878.5778974172299</v>
      </c>
      <c r="Y27" s="22">
        <v>52.662187500001302</v>
      </c>
      <c r="Z27" s="22">
        <v>527364.720863419</v>
      </c>
      <c r="AA27" s="22">
        <v>1</v>
      </c>
    </row>
    <row r="28" spans="1:27" x14ac:dyDescent="0.25">
      <c r="A28" s="48">
        <f t="shared" si="0"/>
        <v>25750.999988425927</v>
      </c>
      <c r="B28" s="6">
        <v>4534.9836111111108</v>
      </c>
      <c r="C28" s="6">
        <v>4517.0775000000003</v>
      </c>
      <c r="D28" s="6">
        <v>4489.7938888888884</v>
      </c>
      <c r="E28" s="6">
        <v>21.074722222222221</v>
      </c>
      <c r="F28" s="6">
        <v>9.9877777777777776</v>
      </c>
      <c r="G28" s="6">
        <v>90.223055555555561</v>
      </c>
      <c r="H28" s="6">
        <v>90.05638888888889</v>
      </c>
      <c r="I28" s="21">
        <v>1.0497222222222222</v>
      </c>
      <c r="J28" s="21">
        <v>270</v>
      </c>
      <c r="K28" s="21">
        <v>216</v>
      </c>
      <c r="L28" s="21">
        <v>135</v>
      </c>
      <c r="M28" s="21">
        <v>27</v>
      </c>
      <c r="N28" s="21">
        <v>54</v>
      </c>
      <c r="O28" s="21">
        <v>10</v>
      </c>
      <c r="P28" s="21">
        <v>10</v>
      </c>
      <c r="Q28" s="21">
        <v>10</v>
      </c>
      <c r="R28" s="22">
        <v>81509.354189674894</v>
      </c>
      <c r="S28" s="22">
        <v>81201.556887723505</v>
      </c>
      <c r="T28" s="22">
        <v>80773.970813724402</v>
      </c>
      <c r="U28" s="22">
        <v>369.61916046315702</v>
      </c>
      <c r="V28" s="22">
        <v>203.455504138252</v>
      </c>
      <c r="W28" s="22">
        <v>1878.5778974172299</v>
      </c>
      <c r="X28" s="22">
        <v>1878.5778974172299</v>
      </c>
      <c r="Y28" s="22">
        <v>52.662187500001302</v>
      </c>
      <c r="Z28" s="22">
        <v>547860.72086480504</v>
      </c>
      <c r="AA28" s="22">
        <v>1</v>
      </c>
    </row>
    <row r="29" spans="1:27" x14ac:dyDescent="0.25">
      <c r="A29" s="48">
        <f t="shared" si="0"/>
        <v>25757.999988425927</v>
      </c>
      <c r="B29" s="6">
        <v>4702.9836111111108</v>
      </c>
      <c r="C29" s="6">
        <v>4685.0775000000003</v>
      </c>
      <c r="D29" s="6">
        <v>4657.7938888888884</v>
      </c>
      <c r="E29" s="6">
        <v>21.074722222222221</v>
      </c>
      <c r="F29" s="6">
        <v>9.9877777777777776</v>
      </c>
      <c r="G29" s="6">
        <v>90.223055555555561</v>
      </c>
      <c r="H29" s="6">
        <v>90.05638888888889</v>
      </c>
      <c r="I29" s="21">
        <v>1.0497222222222222</v>
      </c>
      <c r="J29" s="21">
        <v>280</v>
      </c>
      <c r="K29" s="21">
        <v>224</v>
      </c>
      <c r="L29" s="21">
        <v>140</v>
      </c>
      <c r="M29" s="21">
        <v>28</v>
      </c>
      <c r="N29" s="21">
        <v>56</v>
      </c>
      <c r="O29" s="21">
        <v>10</v>
      </c>
      <c r="P29" s="21">
        <v>10</v>
      </c>
      <c r="Q29" s="21">
        <v>10</v>
      </c>
      <c r="R29" s="22">
        <v>84533.354189190897</v>
      </c>
      <c r="S29" s="22">
        <v>84225.556887239407</v>
      </c>
      <c r="T29" s="22">
        <v>83797.970813240303</v>
      </c>
      <c r="U29" s="22">
        <v>369.61916046315702</v>
      </c>
      <c r="V29" s="22">
        <v>203.455504138252</v>
      </c>
      <c r="W29" s="22">
        <v>1878.5778974172299</v>
      </c>
      <c r="X29" s="22">
        <v>1878.5778974172299</v>
      </c>
      <c r="Y29" s="22">
        <v>52.662187500001302</v>
      </c>
      <c r="Z29" s="22">
        <v>568356.72086619004</v>
      </c>
      <c r="AA29" s="22">
        <v>1</v>
      </c>
    </row>
    <row r="30" spans="1:27" x14ac:dyDescent="0.25">
      <c r="A30" s="48">
        <f t="shared" si="0"/>
        <v>25764.999988425927</v>
      </c>
      <c r="B30" s="6">
        <v>4870.9836111111108</v>
      </c>
      <c r="C30" s="6">
        <v>4853.0775000000003</v>
      </c>
      <c r="D30" s="6">
        <v>4825.7938888888884</v>
      </c>
      <c r="E30" s="6">
        <v>21.074722222222221</v>
      </c>
      <c r="F30" s="6">
        <v>9.9877777777777776</v>
      </c>
      <c r="G30" s="6">
        <v>90.223055555555561</v>
      </c>
      <c r="H30" s="6">
        <v>90.05638888888889</v>
      </c>
      <c r="I30" s="21">
        <v>1.0497222222222222</v>
      </c>
      <c r="J30" s="21">
        <v>290</v>
      </c>
      <c r="K30" s="21">
        <v>232</v>
      </c>
      <c r="L30" s="21">
        <v>145</v>
      </c>
      <c r="M30" s="21">
        <v>29</v>
      </c>
      <c r="N30" s="21">
        <v>58</v>
      </c>
      <c r="O30" s="21">
        <v>10</v>
      </c>
      <c r="P30" s="21">
        <v>10</v>
      </c>
      <c r="Q30" s="21">
        <v>10</v>
      </c>
      <c r="R30" s="22">
        <v>87557.3541887069</v>
      </c>
      <c r="S30" s="22">
        <v>87249.556886755294</v>
      </c>
      <c r="T30" s="22">
        <v>86821.970812756204</v>
      </c>
      <c r="U30" s="22">
        <v>369.61916046315702</v>
      </c>
      <c r="V30" s="22">
        <v>203.455504138252</v>
      </c>
      <c r="W30" s="22">
        <v>1878.5778974172299</v>
      </c>
      <c r="X30" s="22">
        <v>1878.5778974172299</v>
      </c>
      <c r="Y30" s="22">
        <v>52.662187500001302</v>
      </c>
      <c r="Z30" s="22">
        <v>588852.72086757596</v>
      </c>
      <c r="AA30" s="22">
        <v>1</v>
      </c>
    </row>
    <row r="31" spans="1:27" x14ac:dyDescent="0.25">
      <c r="A31" s="48">
        <f t="shared" si="0"/>
        <v>25771.999988425927</v>
      </c>
      <c r="B31" s="6">
        <v>5038.9836111111108</v>
      </c>
      <c r="C31" s="6">
        <v>5021.0775000000003</v>
      </c>
      <c r="D31" s="6">
        <v>4993.7938888888884</v>
      </c>
      <c r="E31" s="6">
        <v>21.074722222222221</v>
      </c>
      <c r="F31" s="6">
        <v>9.9877777777777776</v>
      </c>
      <c r="G31" s="6">
        <v>90.223055555555561</v>
      </c>
      <c r="H31" s="6">
        <v>90.05638888888889</v>
      </c>
      <c r="I31" s="21">
        <v>1.0497222222222222</v>
      </c>
      <c r="J31" s="21">
        <v>300</v>
      </c>
      <c r="K31" s="21">
        <v>240</v>
      </c>
      <c r="L31" s="21">
        <v>150</v>
      </c>
      <c r="M31" s="21">
        <v>30</v>
      </c>
      <c r="N31" s="21">
        <v>60</v>
      </c>
      <c r="O31" s="21">
        <v>10</v>
      </c>
      <c r="P31" s="21">
        <v>10</v>
      </c>
      <c r="Q31" s="21">
        <v>10</v>
      </c>
      <c r="R31" s="22">
        <v>90581.354188222802</v>
      </c>
      <c r="S31" s="22">
        <v>90273.556886271195</v>
      </c>
      <c r="T31" s="22">
        <v>89845.970812272106</v>
      </c>
      <c r="U31" s="22">
        <v>369.61916046315702</v>
      </c>
      <c r="V31" s="22">
        <v>203.455504138252</v>
      </c>
      <c r="W31" s="22">
        <v>1878.5778974172299</v>
      </c>
      <c r="X31" s="22">
        <v>1878.5778974172299</v>
      </c>
      <c r="Y31" s="22">
        <v>52.662187500001302</v>
      </c>
      <c r="Z31" s="22">
        <v>609348.72086896095</v>
      </c>
      <c r="AA31" s="22">
        <v>1</v>
      </c>
    </row>
    <row r="32" spans="1:27" x14ac:dyDescent="0.25">
      <c r="A32" s="48">
        <f t="shared" si="0"/>
        <v>25778.999988425927</v>
      </c>
      <c r="B32" s="6">
        <v>5206.9836111111108</v>
      </c>
      <c r="C32" s="6">
        <v>5189.0775000000003</v>
      </c>
      <c r="D32" s="6">
        <v>5161.7938888888884</v>
      </c>
      <c r="E32" s="6">
        <v>21.074722222222221</v>
      </c>
      <c r="F32" s="6">
        <v>9.9877777777777776</v>
      </c>
      <c r="G32" s="6">
        <v>90.223055555555561</v>
      </c>
      <c r="H32" s="6">
        <v>90.05638888888889</v>
      </c>
      <c r="I32" s="21">
        <v>1.0497222222222222</v>
      </c>
      <c r="J32" s="21">
        <v>310</v>
      </c>
      <c r="K32" s="21">
        <v>248</v>
      </c>
      <c r="L32" s="21">
        <v>155</v>
      </c>
      <c r="M32" s="21">
        <v>31</v>
      </c>
      <c r="N32" s="21">
        <v>62</v>
      </c>
      <c r="O32" s="21">
        <v>10</v>
      </c>
      <c r="P32" s="21">
        <v>10</v>
      </c>
      <c r="Q32" s="21">
        <v>10</v>
      </c>
      <c r="R32" s="22">
        <v>93605.354187738805</v>
      </c>
      <c r="S32" s="22">
        <v>93297.556885787097</v>
      </c>
      <c r="T32" s="22">
        <v>92869.970811788007</v>
      </c>
      <c r="U32" s="22">
        <v>369.61916046315702</v>
      </c>
      <c r="V32" s="22">
        <v>203.455504138252</v>
      </c>
      <c r="W32" s="22">
        <v>1878.5778974172299</v>
      </c>
      <c r="X32" s="22">
        <v>1878.5778974172299</v>
      </c>
      <c r="Y32" s="22">
        <v>52.662187500001302</v>
      </c>
      <c r="Z32" s="22">
        <v>629844.720870347</v>
      </c>
      <c r="AA32" s="22">
        <v>1</v>
      </c>
    </row>
    <row r="33" spans="1:27" x14ac:dyDescent="0.25">
      <c r="A33" s="48">
        <f t="shared" si="0"/>
        <v>25785.999988425927</v>
      </c>
      <c r="B33" s="6">
        <v>5374.9836111111108</v>
      </c>
      <c r="C33" s="6">
        <v>5357.0775000000003</v>
      </c>
      <c r="D33" s="6">
        <v>5329.7938888888884</v>
      </c>
      <c r="E33" s="6">
        <v>21.074722222222221</v>
      </c>
      <c r="F33" s="6">
        <v>9.9877777777777776</v>
      </c>
      <c r="G33" s="6">
        <v>90.223055555555561</v>
      </c>
      <c r="H33" s="6">
        <v>90.05638888888889</v>
      </c>
      <c r="I33" s="21">
        <v>1.0497222222222222</v>
      </c>
      <c r="J33" s="21">
        <v>320</v>
      </c>
      <c r="K33" s="21">
        <v>256</v>
      </c>
      <c r="L33" s="21">
        <v>160</v>
      </c>
      <c r="M33" s="21">
        <v>32</v>
      </c>
      <c r="N33" s="21">
        <v>64</v>
      </c>
      <c r="O33" s="21">
        <v>10</v>
      </c>
      <c r="P33" s="21">
        <v>10</v>
      </c>
      <c r="Q33" s="21">
        <v>10</v>
      </c>
      <c r="R33" s="22">
        <v>96629.354187254794</v>
      </c>
      <c r="S33" s="22">
        <v>96321.556885302998</v>
      </c>
      <c r="T33" s="22">
        <v>95893.970811303996</v>
      </c>
      <c r="U33" s="22">
        <v>369.61916046315702</v>
      </c>
      <c r="V33" s="22">
        <v>203.455504138252</v>
      </c>
      <c r="W33" s="22">
        <v>1878.5778974172299</v>
      </c>
      <c r="X33" s="22">
        <v>1878.5778974172299</v>
      </c>
      <c r="Y33" s="22">
        <v>52.662187500001302</v>
      </c>
      <c r="Z33" s="22">
        <v>650340.72087173199</v>
      </c>
      <c r="AA33" s="22">
        <v>1</v>
      </c>
    </row>
    <row r="34" spans="1:27" x14ac:dyDescent="0.25">
      <c r="A34" s="48">
        <f t="shared" si="0"/>
        <v>25792.999988425927</v>
      </c>
      <c r="B34" s="6">
        <v>5542.9836111111108</v>
      </c>
      <c r="C34" s="6">
        <v>5525.0775000000003</v>
      </c>
      <c r="D34" s="6">
        <v>5497.7938888888884</v>
      </c>
      <c r="E34" s="6">
        <v>21.074722222222221</v>
      </c>
      <c r="F34" s="6">
        <v>9.9877777777777776</v>
      </c>
      <c r="G34" s="6">
        <v>90.223055555555561</v>
      </c>
      <c r="H34" s="6">
        <v>90.05638888888889</v>
      </c>
      <c r="I34" s="21">
        <v>1.0497222222222222</v>
      </c>
      <c r="J34" s="21">
        <v>330</v>
      </c>
      <c r="K34" s="21">
        <v>264</v>
      </c>
      <c r="L34" s="21">
        <v>165</v>
      </c>
      <c r="M34" s="21">
        <v>33</v>
      </c>
      <c r="N34" s="21">
        <v>66</v>
      </c>
      <c r="O34" s="21">
        <v>10</v>
      </c>
      <c r="P34" s="21">
        <v>10</v>
      </c>
      <c r="Q34" s="21">
        <v>10</v>
      </c>
      <c r="R34" s="22">
        <v>99653.354186770797</v>
      </c>
      <c r="S34" s="22">
        <v>99345.5568848189</v>
      </c>
      <c r="T34" s="22">
        <v>98917.970810819897</v>
      </c>
      <c r="U34" s="22">
        <v>369.61916046315702</v>
      </c>
      <c r="V34" s="22">
        <v>203.455504138252</v>
      </c>
      <c r="W34" s="22">
        <v>1878.5778974172299</v>
      </c>
      <c r="X34" s="22">
        <v>1878.5778974172299</v>
      </c>
      <c r="Y34" s="22">
        <v>52.662187500001302</v>
      </c>
      <c r="Z34" s="22">
        <v>670836.72087311803</v>
      </c>
      <c r="AA34" s="22">
        <v>1</v>
      </c>
    </row>
    <row r="35" spans="1:27" x14ac:dyDescent="0.25">
      <c r="A35" s="48">
        <f t="shared" si="0"/>
        <v>25799.999988425927</v>
      </c>
      <c r="B35" s="6">
        <v>5710.9836111111108</v>
      </c>
      <c r="C35" s="6">
        <v>5693.0775000000003</v>
      </c>
      <c r="D35" s="6">
        <v>5665.7938888888884</v>
      </c>
      <c r="E35" s="6">
        <v>21.074722222222221</v>
      </c>
      <c r="F35" s="6">
        <v>9.9877777777777776</v>
      </c>
      <c r="G35" s="6">
        <v>90.223055555555561</v>
      </c>
      <c r="H35" s="6">
        <v>90.05638888888889</v>
      </c>
      <c r="I35" s="21">
        <v>1.0497222222222222</v>
      </c>
      <c r="J35" s="21">
        <v>340</v>
      </c>
      <c r="K35" s="21">
        <v>272</v>
      </c>
      <c r="L35" s="21">
        <v>170</v>
      </c>
      <c r="M35" s="21">
        <v>34</v>
      </c>
      <c r="N35" s="21">
        <v>68</v>
      </c>
      <c r="O35" s="21">
        <v>10</v>
      </c>
      <c r="P35" s="21">
        <v>10</v>
      </c>
      <c r="Q35" s="21">
        <v>10</v>
      </c>
      <c r="R35" s="22">
        <v>102677.354186287</v>
      </c>
      <c r="S35" s="22">
        <v>102369.556884335</v>
      </c>
      <c r="T35" s="22">
        <v>101941.970810336</v>
      </c>
      <c r="U35" s="22">
        <v>369.61916046315702</v>
      </c>
      <c r="V35" s="22">
        <v>203.455504138252</v>
      </c>
      <c r="W35" s="22">
        <v>1878.5778974172299</v>
      </c>
      <c r="X35" s="22">
        <v>1878.5778974172299</v>
      </c>
      <c r="Y35" s="22">
        <v>52.662187500001302</v>
      </c>
      <c r="Z35" s="22">
        <v>691332.72087450302</v>
      </c>
      <c r="AA35" s="22">
        <v>1</v>
      </c>
    </row>
    <row r="36" spans="1:27" x14ac:dyDescent="0.25">
      <c r="A36" s="48">
        <f t="shared" si="0"/>
        <v>25806.999988425927</v>
      </c>
      <c r="B36" s="6">
        <v>5878.9836111111108</v>
      </c>
      <c r="C36" s="6">
        <v>5861.0775000000003</v>
      </c>
      <c r="D36" s="6">
        <v>5833.7938888888884</v>
      </c>
      <c r="E36" s="6">
        <v>21.074722222222221</v>
      </c>
      <c r="F36" s="6">
        <v>9.9877777777777776</v>
      </c>
      <c r="G36" s="6">
        <v>90.223055555555561</v>
      </c>
      <c r="H36" s="6">
        <v>90.05638888888889</v>
      </c>
      <c r="I36" s="21">
        <v>1.0497222222222222</v>
      </c>
      <c r="J36" s="21">
        <v>350</v>
      </c>
      <c r="K36" s="21">
        <v>280</v>
      </c>
      <c r="L36" s="21">
        <v>175</v>
      </c>
      <c r="M36" s="21">
        <v>35</v>
      </c>
      <c r="N36" s="21">
        <v>70</v>
      </c>
      <c r="O36" s="21">
        <v>10</v>
      </c>
      <c r="P36" s="21">
        <v>10</v>
      </c>
      <c r="Q36" s="21">
        <v>10</v>
      </c>
      <c r="R36" s="22">
        <v>105701.35418580299</v>
      </c>
      <c r="S36" s="22">
        <v>105393.55688385099</v>
      </c>
      <c r="T36" s="22">
        <v>104965.97080985201</v>
      </c>
      <c r="U36" s="22">
        <v>369.61916046315702</v>
      </c>
      <c r="V36" s="22">
        <v>203.455504138252</v>
      </c>
      <c r="W36" s="22">
        <v>1878.5778974172299</v>
      </c>
      <c r="X36" s="22">
        <v>1878.5778974172299</v>
      </c>
      <c r="Y36" s="22">
        <v>52.662187500001302</v>
      </c>
      <c r="Z36" s="22">
        <v>711828.72087588895</v>
      </c>
      <c r="AA36" s="22">
        <v>1</v>
      </c>
    </row>
    <row r="37" spans="1:27" x14ac:dyDescent="0.25">
      <c r="A37" s="48">
        <f t="shared" si="0"/>
        <v>25813.999988425927</v>
      </c>
      <c r="B37" s="6">
        <v>6046.9836111111108</v>
      </c>
      <c r="C37" s="6">
        <v>6029.0775000000003</v>
      </c>
      <c r="D37" s="6">
        <v>6001.7938888888884</v>
      </c>
      <c r="E37" s="6">
        <v>21.074722222222221</v>
      </c>
      <c r="F37" s="6">
        <v>9.9877777777777776</v>
      </c>
      <c r="G37" s="6">
        <v>90.223055555555561</v>
      </c>
      <c r="H37" s="6">
        <v>90.05638888888889</v>
      </c>
      <c r="I37" s="21">
        <v>1.0497222222222222</v>
      </c>
      <c r="J37" s="21">
        <v>360</v>
      </c>
      <c r="K37" s="21">
        <v>288</v>
      </c>
      <c r="L37" s="21">
        <v>180</v>
      </c>
      <c r="M37" s="21">
        <v>36</v>
      </c>
      <c r="N37" s="21">
        <v>72</v>
      </c>
      <c r="O37" s="21">
        <v>10</v>
      </c>
      <c r="P37" s="21">
        <v>10</v>
      </c>
      <c r="Q37" s="21">
        <v>10</v>
      </c>
      <c r="R37" s="22">
        <v>108725.354185319</v>
      </c>
      <c r="S37" s="22">
        <v>108417.556883367</v>
      </c>
      <c r="T37" s="22">
        <v>107989.97080936799</v>
      </c>
      <c r="U37" s="22">
        <v>369.61916046315702</v>
      </c>
      <c r="V37" s="22">
        <v>203.455504138252</v>
      </c>
      <c r="W37" s="22">
        <v>1878.5778974172299</v>
      </c>
      <c r="X37" s="22">
        <v>1878.5778974172299</v>
      </c>
      <c r="Y37" s="22">
        <v>52.662187500001302</v>
      </c>
      <c r="Z37" s="22">
        <v>732324.72087727406</v>
      </c>
      <c r="AA37" s="22">
        <v>1</v>
      </c>
    </row>
    <row r="38" spans="1:27" x14ac:dyDescent="0.25">
      <c r="A38" s="48">
        <f t="shared" si="0"/>
        <v>25820.999988425927</v>
      </c>
      <c r="B38" s="6">
        <v>6214.9836111111108</v>
      </c>
      <c r="C38" s="6">
        <v>6197.0775000000003</v>
      </c>
      <c r="D38" s="6">
        <v>6169.7938888888884</v>
      </c>
      <c r="E38" s="6">
        <v>21.074722222222221</v>
      </c>
      <c r="F38" s="6">
        <v>9.9877777777777776</v>
      </c>
      <c r="G38" s="6">
        <v>90.223055555555561</v>
      </c>
      <c r="H38" s="6">
        <v>90.05638888888889</v>
      </c>
      <c r="I38" s="21">
        <v>1.0497222222222222</v>
      </c>
      <c r="J38" s="21">
        <v>370</v>
      </c>
      <c r="K38" s="21">
        <v>296</v>
      </c>
      <c r="L38" s="21">
        <v>185</v>
      </c>
      <c r="M38" s="21">
        <v>37</v>
      </c>
      <c r="N38" s="21">
        <v>74</v>
      </c>
      <c r="O38" s="21">
        <v>10</v>
      </c>
      <c r="P38" s="21">
        <v>10</v>
      </c>
      <c r="Q38" s="21">
        <v>10</v>
      </c>
      <c r="R38" s="22">
        <v>111749.354184835</v>
      </c>
      <c r="S38" s="22">
        <v>111441.556882883</v>
      </c>
      <c r="T38" s="22">
        <v>111013.970808884</v>
      </c>
      <c r="U38" s="22">
        <v>369.61916046315702</v>
      </c>
      <c r="V38" s="22">
        <v>203.455504138252</v>
      </c>
      <c r="W38" s="22">
        <v>1878.5778974172299</v>
      </c>
      <c r="X38" s="22">
        <v>1878.5778974172299</v>
      </c>
      <c r="Y38" s="22">
        <v>52.662187500001302</v>
      </c>
      <c r="Z38" s="22">
        <v>752820.72087865998</v>
      </c>
      <c r="AA38" s="22">
        <v>1</v>
      </c>
    </row>
    <row r="39" spans="1:27" x14ac:dyDescent="0.25">
      <c r="A39" s="48">
        <f t="shared" si="0"/>
        <v>25827.999988425927</v>
      </c>
      <c r="B39" s="6">
        <v>6382.9836111111108</v>
      </c>
      <c r="C39" s="6">
        <v>6365.0775000000003</v>
      </c>
      <c r="D39" s="6">
        <v>6337.7938888888884</v>
      </c>
      <c r="E39" s="6">
        <v>21.074722222222221</v>
      </c>
      <c r="F39" s="6">
        <v>9.9877777777777776</v>
      </c>
      <c r="G39" s="6">
        <v>90.223055555555561</v>
      </c>
      <c r="H39" s="6">
        <v>90.05638888888889</v>
      </c>
      <c r="I39" s="21">
        <v>1.0497222222222222</v>
      </c>
      <c r="J39" s="21">
        <v>380</v>
      </c>
      <c r="K39" s="21">
        <v>304</v>
      </c>
      <c r="L39" s="21">
        <v>190</v>
      </c>
      <c r="M39" s="21">
        <v>38</v>
      </c>
      <c r="N39" s="21">
        <v>76</v>
      </c>
      <c r="O39" s="21">
        <v>10</v>
      </c>
      <c r="P39" s="21">
        <v>10</v>
      </c>
      <c r="Q39" s="21">
        <v>10</v>
      </c>
      <c r="R39" s="22">
        <v>114773.354184351</v>
      </c>
      <c r="S39" s="22">
        <v>114465.556882398</v>
      </c>
      <c r="T39" s="22">
        <v>114037.9708084</v>
      </c>
      <c r="U39" s="22">
        <v>369.61916046315702</v>
      </c>
      <c r="V39" s="22">
        <v>203.455504138252</v>
      </c>
      <c r="W39" s="22">
        <v>1878.5778974172299</v>
      </c>
      <c r="X39" s="22">
        <v>1878.5778974172299</v>
      </c>
      <c r="Y39" s="22">
        <v>52.662187500001302</v>
      </c>
      <c r="Z39" s="22">
        <v>773316.72088004497</v>
      </c>
      <c r="AA39" s="22">
        <v>1</v>
      </c>
    </row>
    <row r="40" spans="1:27" x14ac:dyDescent="0.25">
      <c r="A40" s="48">
        <f t="shared" si="0"/>
        <v>25834.999988425927</v>
      </c>
      <c r="B40" s="6">
        <v>6550.9836111111108</v>
      </c>
      <c r="C40" s="6">
        <v>6533.0775000000003</v>
      </c>
      <c r="D40" s="6">
        <v>6505.7938888888884</v>
      </c>
      <c r="E40" s="6">
        <v>21.074722222222221</v>
      </c>
      <c r="F40" s="6">
        <v>9.9877777777777776</v>
      </c>
      <c r="G40" s="6">
        <v>90.223055555555561</v>
      </c>
      <c r="H40" s="6">
        <v>90.05638888888889</v>
      </c>
      <c r="I40" s="21">
        <v>1.0497222222222222</v>
      </c>
      <c r="J40" s="21">
        <v>390</v>
      </c>
      <c r="K40" s="21">
        <v>312</v>
      </c>
      <c r="L40" s="21">
        <v>195</v>
      </c>
      <c r="M40" s="21">
        <v>39</v>
      </c>
      <c r="N40" s="21">
        <v>78</v>
      </c>
      <c r="O40" s="21">
        <v>10</v>
      </c>
      <c r="P40" s="21">
        <v>10</v>
      </c>
      <c r="Q40" s="21">
        <v>10</v>
      </c>
      <c r="R40" s="22">
        <v>117797.35418386701</v>
      </c>
      <c r="S40" s="22">
        <v>117489.556881914</v>
      </c>
      <c r="T40" s="22">
        <v>117061.970807916</v>
      </c>
      <c r="U40" s="22">
        <v>369.61916046315702</v>
      </c>
      <c r="V40" s="22">
        <v>203.455504138252</v>
      </c>
      <c r="W40" s="22">
        <v>1878.5778974172299</v>
      </c>
      <c r="X40" s="22">
        <v>1878.5778974172299</v>
      </c>
      <c r="Y40" s="22">
        <v>52.662187500001302</v>
      </c>
      <c r="Z40" s="22">
        <v>793812.72088143101</v>
      </c>
      <c r="AA40" s="22">
        <v>1</v>
      </c>
    </row>
    <row r="41" spans="1:27" x14ac:dyDescent="0.25">
      <c r="A41" s="48">
        <f t="shared" si="0"/>
        <v>25841.999988425927</v>
      </c>
      <c r="B41" s="6">
        <v>6718.9836111111108</v>
      </c>
      <c r="C41" s="6">
        <v>6701.0775000000003</v>
      </c>
      <c r="D41" s="6">
        <v>6673.7938888888884</v>
      </c>
      <c r="E41" s="6">
        <v>21.074722222222221</v>
      </c>
      <c r="F41" s="6">
        <v>9.9877777777777776</v>
      </c>
      <c r="G41" s="6">
        <v>90.223055555555561</v>
      </c>
      <c r="H41" s="6">
        <v>90.05638888888889</v>
      </c>
      <c r="I41" s="21">
        <v>1.0497222222222222</v>
      </c>
      <c r="J41" s="21">
        <v>400</v>
      </c>
      <c r="K41" s="21">
        <v>320</v>
      </c>
      <c r="L41" s="21">
        <v>200</v>
      </c>
      <c r="M41" s="21">
        <v>40</v>
      </c>
      <c r="N41" s="21">
        <v>80</v>
      </c>
      <c r="O41" s="21">
        <v>10</v>
      </c>
      <c r="P41" s="21">
        <v>10</v>
      </c>
      <c r="Q41" s="21">
        <v>10</v>
      </c>
      <c r="R41" s="22">
        <v>120821.35418338299</v>
      </c>
      <c r="S41" s="22">
        <v>120513.55688143001</v>
      </c>
      <c r="T41" s="22">
        <v>120085.97080743199</v>
      </c>
      <c r="U41" s="22">
        <v>369.61916046315702</v>
      </c>
      <c r="V41" s="22">
        <v>203.455504138252</v>
      </c>
      <c r="W41" s="22">
        <v>1878.5778974172299</v>
      </c>
      <c r="X41" s="22">
        <v>1878.5778974172299</v>
      </c>
      <c r="Y41" s="22">
        <v>52.662187500001302</v>
      </c>
      <c r="Z41" s="22">
        <v>814308.72088281601</v>
      </c>
      <c r="AA41" s="22">
        <v>1</v>
      </c>
    </row>
    <row r="42" spans="1:27" x14ac:dyDescent="0.25">
      <c r="A42" s="48">
        <f t="shared" si="0"/>
        <v>25848.999988425927</v>
      </c>
      <c r="B42" s="6">
        <v>6886.9836111111108</v>
      </c>
      <c r="C42" s="6">
        <v>6869.0775000000003</v>
      </c>
      <c r="D42" s="6">
        <v>6841.7938888888884</v>
      </c>
      <c r="E42" s="6">
        <v>21.074722222222221</v>
      </c>
      <c r="F42" s="6">
        <v>9.9877777777777776</v>
      </c>
      <c r="G42" s="6">
        <v>90.223055555555561</v>
      </c>
      <c r="H42" s="6">
        <v>90.05638888888889</v>
      </c>
      <c r="I42" s="21">
        <v>1.0497222222222222</v>
      </c>
      <c r="J42" s="21">
        <v>410</v>
      </c>
      <c r="K42" s="21">
        <v>328</v>
      </c>
      <c r="L42" s="21">
        <v>205</v>
      </c>
      <c r="M42" s="21">
        <v>41</v>
      </c>
      <c r="N42" s="21">
        <v>82</v>
      </c>
      <c r="O42" s="21">
        <v>10</v>
      </c>
      <c r="P42" s="21">
        <v>10</v>
      </c>
      <c r="Q42" s="21">
        <v>10</v>
      </c>
      <c r="R42" s="22">
        <v>123845.354182899</v>
      </c>
      <c r="S42" s="22">
        <v>123537.55688094599</v>
      </c>
      <c r="T42" s="22">
        <v>123109.970806948</v>
      </c>
      <c r="U42" s="22">
        <v>369.61916046315702</v>
      </c>
      <c r="V42" s="22">
        <v>203.455504138252</v>
      </c>
      <c r="W42" s="22">
        <v>1878.5778974172299</v>
      </c>
      <c r="X42" s="22">
        <v>1878.5778974172299</v>
      </c>
      <c r="Y42" s="22">
        <v>52.662187500001302</v>
      </c>
      <c r="Z42" s="22">
        <v>834804.72088420205</v>
      </c>
      <c r="AA42" s="22">
        <v>1</v>
      </c>
    </row>
    <row r="43" spans="1:27" x14ac:dyDescent="0.25">
      <c r="A43" s="48">
        <f t="shared" si="0"/>
        <v>25855.999988425927</v>
      </c>
      <c r="B43" s="6">
        <v>7054.9836111111108</v>
      </c>
      <c r="C43" s="6">
        <v>7037.0775000000003</v>
      </c>
      <c r="D43" s="6">
        <v>7009.7938888888884</v>
      </c>
      <c r="E43" s="6">
        <v>21.074722222222221</v>
      </c>
      <c r="F43" s="6">
        <v>9.9877777777777776</v>
      </c>
      <c r="G43" s="6">
        <v>90.223055555555561</v>
      </c>
      <c r="H43" s="6">
        <v>90.05638888888889</v>
      </c>
      <c r="I43" s="21">
        <v>1.0497222222222222</v>
      </c>
      <c r="J43" s="21">
        <v>420</v>
      </c>
      <c r="K43" s="21">
        <v>336</v>
      </c>
      <c r="L43" s="21">
        <v>210</v>
      </c>
      <c r="M43" s="21">
        <v>42</v>
      </c>
      <c r="N43" s="21">
        <v>84</v>
      </c>
      <c r="O43" s="21">
        <v>10</v>
      </c>
      <c r="P43" s="21">
        <v>10</v>
      </c>
      <c r="Q43" s="21">
        <v>10</v>
      </c>
      <c r="R43" s="22">
        <v>126869.354182415</v>
      </c>
      <c r="S43" s="22">
        <v>126561.556880462</v>
      </c>
      <c r="T43" s="22">
        <v>126133.970806463</v>
      </c>
      <c r="U43" s="22">
        <v>369.61916046315702</v>
      </c>
      <c r="V43" s="22">
        <v>203.455504138252</v>
      </c>
      <c r="W43" s="22">
        <v>1878.5778974172299</v>
      </c>
      <c r="X43" s="22">
        <v>1878.5778974172299</v>
      </c>
      <c r="Y43" s="22">
        <v>52.662187500001302</v>
      </c>
      <c r="Z43" s="22">
        <v>855300.72088558704</v>
      </c>
      <c r="AA43" s="22">
        <v>1</v>
      </c>
    </row>
    <row r="44" spans="1:27" x14ac:dyDescent="0.25">
      <c r="A44" s="48">
        <f t="shared" si="0"/>
        <v>25862.999988425927</v>
      </c>
      <c r="B44" s="6">
        <v>7222.9836111111108</v>
      </c>
      <c r="C44" s="6">
        <v>7205.0775000000003</v>
      </c>
      <c r="D44" s="6">
        <v>7177.7938888888884</v>
      </c>
      <c r="E44" s="6">
        <v>21.074722222222221</v>
      </c>
      <c r="F44" s="6">
        <v>9.9877777777777776</v>
      </c>
      <c r="G44" s="6">
        <v>90.223055555555561</v>
      </c>
      <c r="H44" s="6">
        <v>90.05638888888889</v>
      </c>
      <c r="I44" s="21">
        <v>1.0497222222222222</v>
      </c>
      <c r="J44" s="21">
        <v>430</v>
      </c>
      <c r="K44" s="21">
        <v>344</v>
      </c>
      <c r="L44" s="21">
        <v>215</v>
      </c>
      <c r="M44" s="21">
        <v>43</v>
      </c>
      <c r="N44" s="21">
        <v>86</v>
      </c>
      <c r="O44" s="21">
        <v>10</v>
      </c>
      <c r="P44" s="21">
        <v>10</v>
      </c>
      <c r="Q44" s="21">
        <v>10</v>
      </c>
      <c r="R44" s="22">
        <v>129893.354181931</v>
      </c>
      <c r="S44" s="22">
        <v>129585.556879978</v>
      </c>
      <c r="T44" s="22">
        <v>129157.970805979</v>
      </c>
      <c r="U44" s="22">
        <v>369.61916046315702</v>
      </c>
      <c r="V44" s="22">
        <v>203.455504138252</v>
      </c>
      <c r="W44" s="22">
        <v>1878.5778974172299</v>
      </c>
      <c r="X44" s="22">
        <v>1878.5778974172299</v>
      </c>
      <c r="Y44" s="22">
        <v>52.662187500001302</v>
      </c>
      <c r="Z44" s="22">
        <v>875796.72088697297</v>
      </c>
      <c r="AA44" s="22">
        <v>1</v>
      </c>
    </row>
    <row r="45" spans="1:27" x14ac:dyDescent="0.25">
      <c r="A45" s="48">
        <f t="shared" si="0"/>
        <v>25869.999988425927</v>
      </c>
      <c r="B45" s="6">
        <v>7390.9836111111108</v>
      </c>
      <c r="C45" s="6">
        <v>7373.0775000000003</v>
      </c>
      <c r="D45" s="6">
        <v>7345.7938888888884</v>
      </c>
      <c r="E45" s="6">
        <v>21.074722222222221</v>
      </c>
      <c r="F45" s="6">
        <v>9.9877777777777776</v>
      </c>
      <c r="G45" s="6">
        <v>90.223055555555561</v>
      </c>
      <c r="H45" s="6">
        <v>90.05638888888889</v>
      </c>
      <c r="I45" s="21">
        <v>1.0497222222222222</v>
      </c>
      <c r="J45" s="21">
        <v>440</v>
      </c>
      <c r="K45" s="21">
        <v>352</v>
      </c>
      <c r="L45" s="21">
        <v>220</v>
      </c>
      <c r="M45" s="21">
        <v>44</v>
      </c>
      <c r="N45" s="21">
        <v>88</v>
      </c>
      <c r="O45" s="21">
        <v>10</v>
      </c>
      <c r="P45" s="21">
        <v>10</v>
      </c>
      <c r="Q45" s="21">
        <v>10</v>
      </c>
      <c r="R45" s="22">
        <v>132917.35418144701</v>
      </c>
      <c r="S45" s="22">
        <v>132609.55687949399</v>
      </c>
      <c r="T45" s="22">
        <v>132181.97080549499</v>
      </c>
      <c r="U45" s="22">
        <v>369.61916046315702</v>
      </c>
      <c r="V45" s="22">
        <v>203.455504138252</v>
      </c>
      <c r="W45" s="22">
        <v>1878.5778974172299</v>
      </c>
      <c r="X45" s="22">
        <v>1878.5778974172299</v>
      </c>
      <c r="Y45" s="22">
        <v>52.662187500001302</v>
      </c>
      <c r="Z45" s="22">
        <v>896292.72088835796</v>
      </c>
      <c r="AA45" s="22">
        <v>1</v>
      </c>
    </row>
    <row r="46" spans="1:27" x14ac:dyDescent="0.25">
      <c r="A46" s="48">
        <f t="shared" si="0"/>
        <v>25876.999988425927</v>
      </c>
      <c r="B46" s="6">
        <v>7558.9836111111108</v>
      </c>
      <c r="C46" s="6">
        <v>7541.0775000000003</v>
      </c>
      <c r="D46" s="6">
        <v>7513.7938888888884</v>
      </c>
      <c r="E46" s="6">
        <v>21.074722222222221</v>
      </c>
      <c r="F46" s="6">
        <v>9.9877777777777776</v>
      </c>
      <c r="G46" s="6">
        <v>90.223055555555561</v>
      </c>
      <c r="H46" s="6">
        <v>90.05638888888889</v>
      </c>
      <c r="I46" s="21">
        <v>1.0497222222222222</v>
      </c>
      <c r="J46" s="21">
        <v>450</v>
      </c>
      <c r="K46" s="21">
        <v>360</v>
      </c>
      <c r="L46" s="21">
        <v>225</v>
      </c>
      <c r="M46" s="21">
        <v>45</v>
      </c>
      <c r="N46" s="21">
        <v>90</v>
      </c>
      <c r="O46" s="21">
        <v>10</v>
      </c>
      <c r="P46" s="21">
        <v>10</v>
      </c>
      <c r="Q46" s="21">
        <v>10</v>
      </c>
      <c r="R46" s="22">
        <v>135941.35418096301</v>
      </c>
      <c r="S46" s="22">
        <v>135633.55687900999</v>
      </c>
      <c r="T46" s="22">
        <v>135205.97080501099</v>
      </c>
      <c r="U46" s="22">
        <v>369.61916046315702</v>
      </c>
      <c r="V46" s="22">
        <v>203.455504138252</v>
      </c>
      <c r="W46" s="22">
        <v>1878.5778974172299</v>
      </c>
      <c r="X46" s="22">
        <v>1878.5778974172299</v>
      </c>
      <c r="Y46" s="22">
        <v>52.662187500001302</v>
      </c>
      <c r="Z46" s="22">
        <v>916788.720889744</v>
      </c>
      <c r="AA46" s="22">
        <v>1</v>
      </c>
    </row>
    <row r="47" spans="1:27" x14ac:dyDescent="0.25">
      <c r="A47" s="48">
        <f t="shared" si="0"/>
        <v>25883.999988425927</v>
      </c>
      <c r="B47" s="6">
        <v>7726.9836111111108</v>
      </c>
      <c r="C47" s="6">
        <v>7709.0775000000003</v>
      </c>
      <c r="D47" s="6">
        <v>7681.7938888888884</v>
      </c>
      <c r="E47" s="6">
        <v>21.074722222222221</v>
      </c>
      <c r="F47" s="6">
        <v>9.9877777777777776</v>
      </c>
      <c r="G47" s="6">
        <v>90.223055555555561</v>
      </c>
      <c r="H47" s="6">
        <v>90.05638888888889</v>
      </c>
      <c r="I47" s="21">
        <v>1.0497222222222222</v>
      </c>
      <c r="J47" s="21">
        <v>460</v>
      </c>
      <c r="K47" s="21">
        <v>368</v>
      </c>
      <c r="L47" s="21">
        <v>230</v>
      </c>
      <c r="M47" s="21">
        <v>46</v>
      </c>
      <c r="N47" s="21">
        <v>92</v>
      </c>
      <c r="O47" s="21">
        <v>10</v>
      </c>
      <c r="P47" s="21">
        <v>10</v>
      </c>
      <c r="Q47" s="21">
        <v>10</v>
      </c>
      <c r="R47" s="22">
        <v>138965.35418047899</v>
      </c>
      <c r="S47" s="22">
        <v>138657.556878526</v>
      </c>
      <c r="T47" s="22">
        <v>138229.97080452699</v>
      </c>
      <c r="U47" s="22">
        <v>369.61916046315702</v>
      </c>
      <c r="V47" s="22">
        <v>203.455504138252</v>
      </c>
      <c r="W47" s="22">
        <v>1878.5778974172299</v>
      </c>
      <c r="X47" s="22">
        <v>1878.5778974172299</v>
      </c>
      <c r="Y47" s="22">
        <v>52.662187500001302</v>
      </c>
      <c r="Z47" s="22">
        <v>937284.72089112899</v>
      </c>
      <c r="AA47" s="22">
        <v>1</v>
      </c>
    </row>
    <row r="48" spans="1:27" x14ac:dyDescent="0.25">
      <c r="A48" s="48">
        <f t="shared" si="0"/>
        <v>25890.999988425927</v>
      </c>
      <c r="B48" s="6">
        <v>7894.9836111111108</v>
      </c>
      <c r="C48" s="6">
        <v>7877.0775000000003</v>
      </c>
      <c r="D48" s="6">
        <v>7849.7938888888884</v>
      </c>
      <c r="E48" s="6">
        <v>21.074722222222221</v>
      </c>
      <c r="F48" s="6">
        <v>9.9877777777777776</v>
      </c>
      <c r="G48" s="6">
        <v>90.223055555555561</v>
      </c>
      <c r="H48" s="6">
        <v>90.05638888888889</v>
      </c>
      <c r="I48" s="21">
        <v>1.0497222222222222</v>
      </c>
      <c r="J48" s="21">
        <v>470</v>
      </c>
      <c r="K48" s="21">
        <v>376</v>
      </c>
      <c r="L48" s="21">
        <v>235</v>
      </c>
      <c r="M48" s="21">
        <v>47</v>
      </c>
      <c r="N48" s="21">
        <v>94</v>
      </c>
      <c r="O48" s="21">
        <v>10</v>
      </c>
      <c r="P48" s="21">
        <v>10</v>
      </c>
      <c r="Q48" s="21">
        <v>10</v>
      </c>
      <c r="R48" s="22">
        <v>141989.35417999499</v>
      </c>
      <c r="S48" s="22">
        <v>141681.556878042</v>
      </c>
      <c r="T48" s="22">
        <v>141253.970804043</v>
      </c>
      <c r="U48" s="22">
        <v>369.61916046315702</v>
      </c>
      <c r="V48" s="22">
        <v>203.455504138252</v>
      </c>
      <c r="W48" s="22">
        <v>1878.5778974172299</v>
      </c>
      <c r="X48" s="22">
        <v>1878.5778974172299</v>
      </c>
      <c r="Y48" s="22">
        <v>52.662187500001302</v>
      </c>
      <c r="Z48" s="22">
        <v>957780.72089251503</v>
      </c>
      <c r="AA48" s="22">
        <v>1</v>
      </c>
    </row>
    <row r="49" spans="1:27" x14ac:dyDescent="0.25">
      <c r="A49" s="48">
        <f t="shared" si="0"/>
        <v>25897.999988425927</v>
      </c>
      <c r="B49" s="6">
        <v>8062.9836111111108</v>
      </c>
      <c r="C49" s="6">
        <v>8045.0775000000003</v>
      </c>
      <c r="D49" s="6">
        <v>8017.7938888888884</v>
      </c>
      <c r="E49" s="6">
        <v>21.074722222222221</v>
      </c>
      <c r="F49" s="6">
        <v>9.9877777777777776</v>
      </c>
      <c r="G49" s="6">
        <v>90.223055555555561</v>
      </c>
      <c r="H49" s="6">
        <v>90.05638888888889</v>
      </c>
      <c r="I49" s="21">
        <v>1.0497222222222222</v>
      </c>
      <c r="J49" s="21">
        <v>480</v>
      </c>
      <c r="K49" s="21">
        <v>384</v>
      </c>
      <c r="L49" s="21">
        <v>240</v>
      </c>
      <c r="M49" s="21">
        <v>48</v>
      </c>
      <c r="N49" s="21">
        <v>96</v>
      </c>
      <c r="O49" s="21">
        <v>10</v>
      </c>
      <c r="P49" s="21">
        <v>10</v>
      </c>
      <c r="Q49" s="21">
        <v>10</v>
      </c>
      <c r="R49" s="22">
        <v>145013.35417951099</v>
      </c>
      <c r="S49" s="22">
        <v>144705.55687755701</v>
      </c>
      <c r="T49" s="22">
        <v>144277.970803559</v>
      </c>
      <c r="U49" s="22">
        <v>369.61916046315702</v>
      </c>
      <c r="V49" s="22">
        <v>203.455504138252</v>
      </c>
      <c r="W49" s="22">
        <v>1878.5778974172299</v>
      </c>
      <c r="X49" s="22">
        <v>1878.5778974172299</v>
      </c>
      <c r="Y49" s="22">
        <v>52.662187500001302</v>
      </c>
      <c r="Z49" s="22">
        <v>978276.72089390003</v>
      </c>
      <c r="AA49" s="22">
        <v>1</v>
      </c>
    </row>
    <row r="50" spans="1:27" x14ac:dyDescent="0.25">
      <c r="A50" s="48">
        <f t="shared" si="0"/>
        <v>25904.999988425927</v>
      </c>
      <c r="B50" s="6">
        <v>8230.9836111111108</v>
      </c>
      <c r="C50" s="6">
        <v>8213.0774999999994</v>
      </c>
      <c r="D50" s="6">
        <v>8185.7938888888884</v>
      </c>
      <c r="E50" s="6">
        <v>21.074722222222221</v>
      </c>
      <c r="F50" s="6">
        <v>9.9877777777777776</v>
      </c>
      <c r="G50" s="6">
        <v>90.223055555555561</v>
      </c>
      <c r="H50" s="6">
        <v>90.05638888888889</v>
      </c>
      <c r="I50" s="21">
        <v>1.0497222222222222</v>
      </c>
      <c r="J50" s="21">
        <v>490</v>
      </c>
      <c r="K50" s="21">
        <v>392</v>
      </c>
      <c r="L50" s="21">
        <v>245</v>
      </c>
      <c r="M50" s="21">
        <v>49</v>
      </c>
      <c r="N50" s="21">
        <v>98</v>
      </c>
      <c r="O50" s="21">
        <v>10</v>
      </c>
      <c r="P50" s="21">
        <v>10</v>
      </c>
      <c r="Q50" s="21">
        <v>10</v>
      </c>
      <c r="R50" s="22">
        <v>148037.354179027</v>
      </c>
      <c r="S50" s="22">
        <v>147729.55687707299</v>
      </c>
      <c r="T50" s="22">
        <v>147301.970803075</v>
      </c>
      <c r="U50" s="22">
        <v>369.61916046315702</v>
      </c>
      <c r="V50" s="22">
        <v>203.455504138252</v>
      </c>
      <c r="W50" s="22">
        <v>1878.5778974172299</v>
      </c>
      <c r="X50" s="22">
        <v>1878.5778974172299</v>
      </c>
      <c r="Y50" s="22">
        <v>52.662187500001302</v>
      </c>
      <c r="Z50" s="22">
        <v>998772.72089528595</v>
      </c>
      <c r="AA50" s="22">
        <v>1</v>
      </c>
    </row>
    <row r="51" spans="1:27" x14ac:dyDescent="0.25">
      <c r="A51" s="48">
        <f t="shared" si="0"/>
        <v>25911.999988425927</v>
      </c>
      <c r="B51" s="6">
        <v>8398.9836111111108</v>
      </c>
      <c r="C51" s="6">
        <v>8381.0774999999994</v>
      </c>
      <c r="D51" s="6">
        <v>8353.7938888888893</v>
      </c>
      <c r="E51" s="6">
        <v>21.074722222222221</v>
      </c>
      <c r="F51" s="6">
        <v>9.9877777777777776</v>
      </c>
      <c r="G51" s="6">
        <v>90.223055555555561</v>
      </c>
      <c r="H51" s="6">
        <v>90.05638888888889</v>
      </c>
      <c r="I51" s="21">
        <v>1.0497222222222222</v>
      </c>
      <c r="J51" s="21">
        <v>500</v>
      </c>
      <c r="K51" s="21">
        <v>400</v>
      </c>
      <c r="L51" s="21">
        <v>250</v>
      </c>
      <c r="M51" s="21">
        <v>50</v>
      </c>
      <c r="N51" s="21">
        <v>100</v>
      </c>
      <c r="O51" s="21">
        <v>10</v>
      </c>
      <c r="P51" s="21">
        <v>10</v>
      </c>
      <c r="Q51" s="21">
        <v>10</v>
      </c>
      <c r="R51" s="22">
        <v>151061.354178543</v>
      </c>
      <c r="S51" s="22">
        <v>150753.55687658899</v>
      </c>
      <c r="T51" s="22">
        <v>150325.97080259101</v>
      </c>
      <c r="U51" s="22">
        <v>369.61916046315702</v>
      </c>
      <c r="V51" s="22">
        <v>203.455504138252</v>
      </c>
      <c r="W51" s="22">
        <v>1878.5778974172299</v>
      </c>
      <c r="X51" s="22">
        <v>1878.5778974172299</v>
      </c>
      <c r="Y51" s="22">
        <v>52.662187500001302</v>
      </c>
      <c r="Z51" s="22">
        <v>1019268.72089667</v>
      </c>
      <c r="AA51" s="22">
        <v>1</v>
      </c>
    </row>
    <row r="52" spans="1:27" x14ac:dyDescent="0.25">
      <c r="A52" s="48">
        <f t="shared" si="0"/>
        <v>25918.999988425927</v>
      </c>
      <c r="B52" s="6">
        <v>8566.9836111111108</v>
      </c>
      <c r="C52" s="6">
        <v>8549.0774999999994</v>
      </c>
      <c r="D52" s="6">
        <v>8521.7938888888893</v>
      </c>
      <c r="E52" s="6">
        <v>21.074722222222221</v>
      </c>
      <c r="F52" s="6">
        <v>9.9877777777777776</v>
      </c>
      <c r="G52" s="6">
        <v>90.223055555555561</v>
      </c>
      <c r="H52" s="6">
        <v>90.05638888888889</v>
      </c>
      <c r="I52" s="21">
        <v>1.0497222222222222</v>
      </c>
      <c r="J52" s="21">
        <v>510</v>
      </c>
      <c r="K52" s="21">
        <v>408</v>
      </c>
      <c r="L52" s="21">
        <v>255</v>
      </c>
      <c r="M52" s="21">
        <v>51</v>
      </c>
      <c r="N52" s="21">
        <v>102</v>
      </c>
      <c r="O52" s="21">
        <v>10</v>
      </c>
      <c r="P52" s="21">
        <v>10</v>
      </c>
      <c r="Q52" s="21">
        <v>10</v>
      </c>
      <c r="R52" s="22">
        <v>154085.354178059</v>
      </c>
      <c r="S52" s="22">
        <v>153777.55687610499</v>
      </c>
      <c r="T52" s="22">
        <v>153349.97080210701</v>
      </c>
      <c r="U52" s="22">
        <v>369.61916046315702</v>
      </c>
      <c r="V52" s="22">
        <v>203.455504138252</v>
      </c>
      <c r="W52" s="22">
        <v>1878.5778974172299</v>
      </c>
      <c r="X52" s="22">
        <v>1878.5778974172299</v>
      </c>
      <c r="Y52" s="22">
        <v>52.662187500001302</v>
      </c>
      <c r="Z52" s="22">
        <v>1039764.72089806</v>
      </c>
      <c r="AA52" s="22">
        <v>1</v>
      </c>
    </row>
    <row r="53" spans="1:27" x14ac:dyDescent="0.25">
      <c r="A53" s="48">
        <f t="shared" si="0"/>
        <v>25925.999988425927</v>
      </c>
      <c r="B53" s="6">
        <v>8734.9836111111108</v>
      </c>
      <c r="C53" s="6">
        <v>8717.0774999999994</v>
      </c>
      <c r="D53" s="6">
        <v>8689.7938888888893</v>
      </c>
      <c r="E53" s="6">
        <v>21.074722222222221</v>
      </c>
      <c r="F53" s="6">
        <v>9.9877777777777776</v>
      </c>
      <c r="G53" s="6">
        <v>90.223055555555561</v>
      </c>
      <c r="H53" s="6">
        <v>90.05638888888889</v>
      </c>
      <c r="I53" s="21">
        <v>1.0497222222222222</v>
      </c>
      <c r="J53" s="21">
        <v>520</v>
      </c>
      <c r="K53" s="21">
        <v>416</v>
      </c>
      <c r="L53" s="21">
        <v>260</v>
      </c>
      <c r="M53" s="21">
        <v>52</v>
      </c>
      <c r="N53" s="21">
        <v>104</v>
      </c>
      <c r="O53" s="21">
        <v>10</v>
      </c>
      <c r="P53" s="21">
        <v>10</v>
      </c>
      <c r="Q53" s="21">
        <v>10</v>
      </c>
      <c r="R53" s="22">
        <v>157109.35417757501</v>
      </c>
      <c r="S53" s="22">
        <v>156801.556875621</v>
      </c>
      <c r="T53" s="22">
        <v>156373.97080162301</v>
      </c>
      <c r="U53" s="22">
        <v>369.61916046315702</v>
      </c>
      <c r="V53" s="22">
        <v>203.455504138252</v>
      </c>
      <c r="W53" s="22">
        <v>1878.5778974172299</v>
      </c>
      <c r="X53" s="22">
        <v>1878.5778974172299</v>
      </c>
      <c r="Y53" s="22">
        <v>52.662187500001302</v>
      </c>
      <c r="Z53" s="22">
        <v>1060260.7208994401</v>
      </c>
      <c r="AA53" s="22">
        <v>1</v>
      </c>
    </row>
    <row r="54" spans="1:27" x14ac:dyDescent="0.25">
      <c r="A54" s="48">
        <f t="shared" si="0"/>
        <v>25932.999988425927</v>
      </c>
      <c r="B54" s="6">
        <v>8902.9836111111108</v>
      </c>
      <c r="C54" s="6">
        <v>8885.0774999999994</v>
      </c>
      <c r="D54" s="6">
        <v>8857.7938888888893</v>
      </c>
      <c r="E54" s="6">
        <v>21.074722222222221</v>
      </c>
      <c r="F54" s="6">
        <v>9.9877777777777776</v>
      </c>
      <c r="G54" s="6">
        <v>90.223055555555561</v>
      </c>
      <c r="H54" s="6">
        <v>90.05638888888889</v>
      </c>
      <c r="I54" s="21">
        <v>1.0497222222222222</v>
      </c>
      <c r="J54" s="21">
        <v>530</v>
      </c>
      <c r="K54" s="21">
        <v>424</v>
      </c>
      <c r="L54" s="21">
        <v>265</v>
      </c>
      <c r="M54" s="21">
        <v>53</v>
      </c>
      <c r="N54" s="21">
        <v>106</v>
      </c>
      <c r="O54" s="21">
        <v>10</v>
      </c>
      <c r="P54" s="21">
        <v>10</v>
      </c>
      <c r="Q54" s="21">
        <v>10</v>
      </c>
      <c r="R54" s="22">
        <v>160133.35417709101</v>
      </c>
      <c r="S54" s="22">
        <v>159825.556875137</v>
      </c>
      <c r="T54" s="22">
        <v>159397.970801138</v>
      </c>
      <c r="U54" s="22">
        <v>369.61916046315702</v>
      </c>
      <c r="V54" s="22">
        <v>203.455504138252</v>
      </c>
      <c r="W54" s="22">
        <v>1878.5778974172299</v>
      </c>
      <c r="X54" s="22">
        <v>1878.5778974172299</v>
      </c>
      <c r="Y54" s="22">
        <v>52.662187500001302</v>
      </c>
      <c r="Z54" s="22">
        <v>1080756.7209008201</v>
      </c>
      <c r="AA54" s="22">
        <v>1</v>
      </c>
    </row>
    <row r="55" spans="1:27" x14ac:dyDescent="0.25">
      <c r="A55" s="48">
        <f t="shared" si="0"/>
        <v>25939.999988425927</v>
      </c>
      <c r="B55" s="6">
        <v>9070.9836111111108</v>
      </c>
      <c r="C55" s="6">
        <v>9053.0774999999994</v>
      </c>
      <c r="D55" s="6">
        <v>9025.7938888888893</v>
      </c>
      <c r="E55" s="6">
        <v>21.074722222222221</v>
      </c>
      <c r="F55" s="6">
        <v>9.9877777777777776</v>
      </c>
      <c r="G55" s="6">
        <v>90.223055555555561</v>
      </c>
      <c r="H55" s="6">
        <v>90.05638888888889</v>
      </c>
      <c r="I55" s="21">
        <v>1.0497222222222222</v>
      </c>
      <c r="J55" s="21">
        <v>540</v>
      </c>
      <c r="K55" s="21">
        <v>432</v>
      </c>
      <c r="L55" s="21">
        <v>270</v>
      </c>
      <c r="M55" s="21">
        <v>54</v>
      </c>
      <c r="N55" s="21">
        <v>108</v>
      </c>
      <c r="O55" s="21">
        <v>10</v>
      </c>
      <c r="P55" s="21">
        <v>10</v>
      </c>
      <c r="Q55" s="21">
        <v>10</v>
      </c>
      <c r="R55" s="22">
        <v>163157.35417660701</v>
      </c>
      <c r="S55" s="22">
        <v>162849.556874653</v>
      </c>
      <c r="T55" s="22">
        <v>162421.970800654</v>
      </c>
      <c r="U55" s="22">
        <v>369.61916046315702</v>
      </c>
      <c r="V55" s="22">
        <v>203.455504138252</v>
      </c>
      <c r="W55" s="22">
        <v>1878.5778974172299</v>
      </c>
      <c r="X55" s="22">
        <v>1878.5778974172299</v>
      </c>
      <c r="Y55" s="22">
        <v>52.662187500001302</v>
      </c>
      <c r="Z55" s="22">
        <v>1101252.7209022101</v>
      </c>
      <c r="AA55" s="22">
        <v>1</v>
      </c>
    </row>
    <row r="56" spans="1:27" x14ac:dyDescent="0.25">
      <c r="A56" s="48">
        <f t="shared" si="0"/>
        <v>25946.999988425927</v>
      </c>
      <c r="B56" s="21">
        <v>9238.9836111111108</v>
      </c>
      <c r="C56" s="21">
        <v>9221.0774999999994</v>
      </c>
      <c r="D56" s="21">
        <v>9193.7938888888893</v>
      </c>
      <c r="E56" s="21">
        <v>21.074722222222221</v>
      </c>
      <c r="F56" s="21">
        <v>9.9877777777777776</v>
      </c>
      <c r="G56" s="21">
        <v>90.223055555555561</v>
      </c>
      <c r="H56" s="21">
        <v>90.05638888888889</v>
      </c>
      <c r="I56" s="21">
        <v>1.0497222222222222</v>
      </c>
      <c r="J56" s="21">
        <v>550</v>
      </c>
      <c r="K56" s="21">
        <v>440</v>
      </c>
      <c r="L56" s="21">
        <v>275</v>
      </c>
      <c r="M56" s="21">
        <v>55</v>
      </c>
      <c r="N56" s="21">
        <v>110</v>
      </c>
      <c r="O56" s="21">
        <v>10</v>
      </c>
      <c r="P56" s="21">
        <v>10</v>
      </c>
      <c r="Q56" s="21">
        <v>10</v>
      </c>
      <c r="R56" s="22">
        <v>166181.35417612299</v>
      </c>
      <c r="S56" s="22">
        <v>165873.55687416901</v>
      </c>
      <c r="T56" s="22">
        <v>165445.97080017001</v>
      </c>
      <c r="U56" s="22">
        <v>369.61916046315702</v>
      </c>
      <c r="V56" s="22">
        <v>203.455504138252</v>
      </c>
      <c r="W56" s="22">
        <v>1878.5778974172299</v>
      </c>
      <c r="X56" s="22">
        <v>1878.5778974172299</v>
      </c>
      <c r="Y56" s="22">
        <v>52.662187500001302</v>
      </c>
      <c r="Z56" s="22">
        <v>1121748.7209036001</v>
      </c>
      <c r="AA56" s="22">
        <v>1</v>
      </c>
    </row>
    <row r="57" spans="1:27" x14ac:dyDescent="0.25">
      <c r="A57" s="48">
        <f t="shared" si="0"/>
        <v>25953.999988425927</v>
      </c>
      <c r="B57" s="21">
        <v>9406.9836111111108</v>
      </c>
      <c r="C57" s="21">
        <v>9389.0774999999994</v>
      </c>
      <c r="D57" s="21">
        <v>9361.7938888888893</v>
      </c>
      <c r="E57" s="21">
        <v>21.074722222222221</v>
      </c>
      <c r="F57" s="21">
        <v>9.9877777777777776</v>
      </c>
      <c r="G57" s="21">
        <v>90.223055555555561</v>
      </c>
      <c r="H57" s="21">
        <v>90.05638888888889</v>
      </c>
      <c r="I57" s="21">
        <v>1.0497222222222222</v>
      </c>
      <c r="J57" s="21">
        <v>560</v>
      </c>
      <c r="K57" s="21">
        <v>448</v>
      </c>
      <c r="L57" s="21">
        <v>280</v>
      </c>
      <c r="M57" s="21">
        <v>56</v>
      </c>
      <c r="N57" s="21">
        <v>112</v>
      </c>
      <c r="O57" s="21">
        <v>10</v>
      </c>
      <c r="P57" s="21">
        <v>10</v>
      </c>
      <c r="Q57" s="21">
        <v>10</v>
      </c>
      <c r="R57" s="22">
        <v>169205.35417563899</v>
      </c>
      <c r="S57" s="22">
        <v>168897.55687368501</v>
      </c>
      <c r="T57" s="22">
        <v>168469.97079968601</v>
      </c>
      <c r="U57" s="22">
        <v>369.61916046315702</v>
      </c>
      <c r="V57" s="22">
        <v>203.455504138252</v>
      </c>
      <c r="W57" s="22">
        <v>1878.5778974172299</v>
      </c>
      <c r="X57" s="22">
        <v>1878.5778974172299</v>
      </c>
      <c r="Y57" s="22">
        <v>52.662187500001302</v>
      </c>
      <c r="Z57" s="22">
        <v>1142244.7209049801</v>
      </c>
      <c r="AA57" s="22">
        <v>1</v>
      </c>
    </row>
    <row r="58" spans="1:27" x14ac:dyDescent="0.25">
      <c r="A58" s="48">
        <f t="shared" si="0"/>
        <v>25960.999988425927</v>
      </c>
      <c r="B58" s="21">
        <v>9574.9836111111108</v>
      </c>
      <c r="C58" s="21">
        <v>9557.0774999999994</v>
      </c>
      <c r="D58" s="21">
        <v>9529.7938888888893</v>
      </c>
      <c r="E58" s="21">
        <v>21.074722222222221</v>
      </c>
      <c r="F58" s="21">
        <v>9.9877777777777776</v>
      </c>
      <c r="G58" s="21">
        <v>90.223055555555561</v>
      </c>
      <c r="H58" s="21">
        <v>90.05638888888889</v>
      </c>
      <c r="I58" s="21">
        <v>1.0497222222222222</v>
      </c>
      <c r="J58" s="21">
        <v>570</v>
      </c>
      <c r="K58" s="21">
        <v>456</v>
      </c>
      <c r="L58" s="21">
        <v>285</v>
      </c>
      <c r="M58" s="21">
        <v>57</v>
      </c>
      <c r="N58" s="21">
        <v>114</v>
      </c>
      <c r="O58" s="21">
        <v>10</v>
      </c>
      <c r="P58" s="21">
        <v>10</v>
      </c>
      <c r="Q58" s="21">
        <v>10</v>
      </c>
      <c r="R58" s="22">
        <v>172229.354175154</v>
      </c>
      <c r="S58" s="22">
        <v>171921.55687320101</v>
      </c>
      <c r="T58" s="22">
        <v>171493.97079920201</v>
      </c>
      <c r="U58" s="22">
        <v>369.61916046315702</v>
      </c>
      <c r="V58" s="22">
        <v>203.455504138252</v>
      </c>
      <c r="W58" s="22">
        <v>1878.5778974172299</v>
      </c>
      <c r="X58" s="22">
        <v>1878.5778974172299</v>
      </c>
      <c r="Y58" s="22">
        <v>52.662187500001302</v>
      </c>
      <c r="Z58" s="22">
        <v>1162740.7209063701</v>
      </c>
      <c r="AA58" s="22">
        <v>1</v>
      </c>
    </row>
    <row r="59" spans="1:27" x14ac:dyDescent="0.25">
      <c r="A59" s="48">
        <f t="shared" si="0"/>
        <v>25967.999988425927</v>
      </c>
      <c r="B59" s="21">
        <v>9742.9836111111108</v>
      </c>
      <c r="C59" s="21">
        <v>9725.0774999999994</v>
      </c>
      <c r="D59" s="21">
        <v>9697.7938888888893</v>
      </c>
      <c r="E59" s="21">
        <v>21.074722222222221</v>
      </c>
      <c r="F59" s="21">
        <v>9.9877777777777776</v>
      </c>
      <c r="G59" s="21">
        <v>90.223055555555561</v>
      </c>
      <c r="H59" s="21">
        <v>90.05638888888889</v>
      </c>
      <c r="I59" s="21">
        <v>1.0497222222222222</v>
      </c>
      <c r="J59" s="21">
        <v>580</v>
      </c>
      <c r="K59" s="21">
        <v>464</v>
      </c>
      <c r="L59" s="21">
        <v>290</v>
      </c>
      <c r="M59" s="21">
        <v>58</v>
      </c>
      <c r="N59" s="21">
        <v>116</v>
      </c>
      <c r="O59" s="21">
        <v>10</v>
      </c>
      <c r="P59" s="21">
        <v>10</v>
      </c>
      <c r="Q59" s="21">
        <v>10</v>
      </c>
      <c r="R59" s="22">
        <v>175253.35417467001</v>
      </c>
      <c r="S59" s="22">
        <v>174945.556872716</v>
      </c>
      <c r="T59" s="22">
        <v>174517.97079871799</v>
      </c>
      <c r="U59" s="22">
        <v>369.61916046315702</v>
      </c>
      <c r="V59" s="22">
        <v>203.455504138252</v>
      </c>
      <c r="W59" s="22">
        <v>1878.5778974172299</v>
      </c>
      <c r="X59" s="22">
        <v>1878.5778974172299</v>
      </c>
      <c r="Y59" s="22">
        <v>52.662187500001302</v>
      </c>
      <c r="Z59" s="22">
        <v>1183236.7209077501</v>
      </c>
      <c r="AA59" s="22">
        <v>1</v>
      </c>
    </row>
    <row r="60" spans="1:27" x14ac:dyDescent="0.25">
      <c r="A60" s="48">
        <f t="shared" si="0"/>
        <v>25974.999988425927</v>
      </c>
      <c r="B60" s="21">
        <v>9910.9836111111108</v>
      </c>
      <c r="C60" s="21">
        <v>9893.0774999999994</v>
      </c>
      <c r="D60" s="21">
        <v>9865.7938888888893</v>
      </c>
      <c r="E60" s="21">
        <v>21.074722222222221</v>
      </c>
      <c r="F60" s="21">
        <v>9.9877777777777776</v>
      </c>
      <c r="G60" s="21">
        <v>90.223055555555561</v>
      </c>
      <c r="H60" s="21">
        <v>90.05638888888889</v>
      </c>
      <c r="I60" s="21">
        <v>1.0497222222222222</v>
      </c>
      <c r="J60" s="21">
        <v>590</v>
      </c>
      <c r="K60" s="21">
        <v>472</v>
      </c>
      <c r="L60" s="21">
        <v>295</v>
      </c>
      <c r="M60" s="21">
        <v>59</v>
      </c>
      <c r="N60" s="21">
        <v>118</v>
      </c>
      <c r="O60" s="21">
        <v>10</v>
      </c>
      <c r="P60" s="21">
        <v>10</v>
      </c>
      <c r="Q60" s="21">
        <v>10</v>
      </c>
      <c r="R60" s="22">
        <v>178277.35417418601</v>
      </c>
      <c r="S60" s="22">
        <v>177969.556872232</v>
      </c>
      <c r="T60" s="22">
        <v>177541.97079823399</v>
      </c>
      <c r="U60" s="22">
        <v>369.61916046315702</v>
      </c>
      <c r="V60" s="22">
        <v>203.455504138252</v>
      </c>
      <c r="W60" s="22">
        <v>1878.5778974172299</v>
      </c>
      <c r="X60" s="22">
        <v>1878.5778974172299</v>
      </c>
      <c r="Y60" s="22">
        <v>52.662187500001302</v>
      </c>
      <c r="Z60" s="22">
        <v>1203732.7209091401</v>
      </c>
      <c r="AA60" s="22">
        <v>1</v>
      </c>
    </row>
    <row r="61" spans="1:27" x14ac:dyDescent="0.25">
      <c r="A61" s="48">
        <f t="shared" si="0"/>
        <v>25981.999988425927</v>
      </c>
      <c r="B61" s="21">
        <v>10078.983611111111</v>
      </c>
      <c r="C61" s="21">
        <v>10061.077499999999</v>
      </c>
      <c r="D61" s="21">
        <v>10033.793888888889</v>
      </c>
      <c r="E61" s="21">
        <v>21.074722222222221</v>
      </c>
      <c r="F61" s="21">
        <v>9.9877777777777776</v>
      </c>
      <c r="G61" s="21">
        <v>90.223055555555561</v>
      </c>
      <c r="H61" s="21">
        <v>90.05638888888889</v>
      </c>
      <c r="I61" s="21">
        <v>1.0497222222222222</v>
      </c>
      <c r="J61" s="21">
        <v>600</v>
      </c>
      <c r="K61" s="21">
        <v>480</v>
      </c>
      <c r="L61" s="21">
        <v>300</v>
      </c>
      <c r="M61" s="21">
        <v>60</v>
      </c>
      <c r="N61" s="21">
        <v>120</v>
      </c>
      <c r="O61" s="21">
        <v>10</v>
      </c>
      <c r="P61" s="21">
        <v>10</v>
      </c>
      <c r="Q61" s="21">
        <v>10</v>
      </c>
      <c r="R61" s="22">
        <v>181301.35417370201</v>
      </c>
      <c r="S61" s="22">
        <v>180993.55687174801</v>
      </c>
      <c r="T61" s="22">
        <v>180565.97079774999</v>
      </c>
      <c r="U61" s="22">
        <v>369.61916046315702</v>
      </c>
      <c r="V61" s="22">
        <v>203.455504138252</v>
      </c>
      <c r="W61" s="22">
        <v>1878.5778974172299</v>
      </c>
      <c r="X61" s="22">
        <v>1878.5778974172299</v>
      </c>
      <c r="Y61" s="22">
        <v>52.662187500001302</v>
      </c>
      <c r="Z61" s="22">
        <v>1224228.7209105201</v>
      </c>
      <c r="AA61" s="22">
        <v>1</v>
      </c>
    </row>
    <row r="62" spans="1:27" x14ac:dyDescent="0.25">
      <c r="A62" s="48">
        <f t="shared" si="0"/>
        <v>25988.999988425927</v>
      </c>
      <c r="B62" s="21">
        <v>10246.983611111111</v>
      </c>
      <c r="C62" s="21">
        <v>10229.077499999999</v>
      </c>
      <c r="D62" s="21">
        <v>10201.793888888889</v>
      </c>
      <c r="E62" s="21">
        <v>21.074722222222221</v>
      </c>
      <c r="F62" s="21">
        <v>9.9877777777777776</v>
      </c>
      <c r="G62" s="21">
        <v>90.223055555555561</v>
      </c>
      <c r="H62" s="21">
        <v>90.05638888888889</v>
      </c>
      <c r="I62" s="21">
        <v>1.0497222222222222</v>
      </c>
      <c r="J62" s="21">
        <v>610</v>
      </c>
      <c r="K62" s="21">
        <v>488</v>
      </c>
      <c r="L62" s="21">
        <v>305</v>
      </c>
      <c r="M62" s="21">
        <v>61</v>
      </c>
      <c r="N62" s="21">
        <v>122</v>
      </c>
      <c r="O62" s="21">
        <v>10</v>
      </c>
      <c r="P62" s="21">
        <v>10</v>
      </c>
      <c r="Q62" s="21">
        <v>10</v>
      </c>
      <c r="R62" s="22">
        <v>184325.35417321799</v>
      </c>
      <c r="S62" s="22">
        <v>184017.55687126401</v>
      </c>
      <c r="T62" s="22">
        <v>183589.970797266</v>
      </c>
      <c r="U62" s="22">
        <v>369.61916046315702</v>
      </c>
      <c r="V62" s="22">
        <v>203.455504138252</v>
      </c>
      <c r="W62" s="22">
        <v>1878.5778974172299</v>
      </c>
      <c r="X62" s="22">
        <v>1878.5778974172299</v>
      </c>
      <c r="Y62" s="22">
        <v>52.662187500001302</v>
      </c>
      <c r="Z62" s="22">
        <v>1244724.7209119101</v>
      </c>
      <c r="AA62" s="22">
        <v>1</v>
      </c>
    </row>
    <row r="63" spans="1:27" x14ac:dyDescent="0.25">
      <c r="A63" s="48">
        <f t="shared" si="0"/>
        <v>25995.999988425927</v>
      </c>
      <c r="B63" s="21">
        <v>10414.983611111111</v>
      </c>
      <c r="C63" s="21">
        <v>10397.077499999999</v>
      </c>
      <c r="D63" s="21">
        <v>10369.793888888889</v>
      </c>
      <c r="E63" s="21">
        <v>21.074722222222221</v>
      </c>
      <c r="F63" s="21">
        <v>9.9877777777777776</v>
      </c>
      <c r="G63" s="21">
        <v>90.223055555555561</v>
      </c>
      <c r="H63" s="21">
        <v>90.05638888888889</v>
      </c>
      <c r="I63" s="21">
        <v>1.0497222222222222</v>
      </c>
      <c r="J63" s="21">
        <v>620</v>
      </c>
      <c r="K63" s="21">
        <v>496</v>
      </c>
      <c r="L63" s="21">
        <v>310</v>
      </c>
      <c r="M63" s="21">
        <v>62</v>
      </c>
      <c r="N63" s="21">
        <v>124</v>
      </c>
      <c r="O63" s="21">
        <v>10</v>
      </c>
      <c r="P63" s="21">
        <v>10</v>
      </c>
      <c r="Q63" s="21">
        <v>10</v>
      </c>
      <c r="R63" s="22">
        <v>187349.35417273399</v>
      </c>
      <c r="S63" s="22">
        <v>187041.55687078001</v>
      </c>
      <c r="T63" s="22">
        <v>186613.970796782</v>
      </c>
      <c r="U63" s="22">
        <v>369.61916046315702</v>
      </c>
      <c r="V63" s="22">
        <v>203.455504138252</v>
      </c>
      <c r="W63" s="22">
        <v>1878.5778974172299</v>
      </c>
      <c r="X63" s="22">
        <v>1878.5778974172299</v>
      </c>
      <c r="Y63" s="22">
        <v>52.662187500001302</v>
      </c>
      <c r="Z63" s="22">
        <v>1265220.72091329</v>
      </c>
      <c r="AA63" s="22">
        <v>1</v>
      </c>
    </row>
    <row r="64" spans="1:27" x14ac:dyDescent="0.25">
      <c r="A64" s="48">
        <f t="shared" si="0"/>
        <v>26002.999988425927</v>
      </c>
      <c r="B64" s="21">
        <v>10582.983611111111</v>
      </c>
      <c r="C64" s="21">
        <v>10565.077499999999</v>
      </c>
      <c r="D64" s="21">
        <v>10537.793888888889</v>
      </c>
      <c r="E64" s="21">
        <v>21.074722222222221</v>
      </c>
      <c r="F64" s="21">
        <v>9.9877777777777776</v>
      </c>
      <c r="G64" s="21">
        <v>90.223055555555561</v>
      </c>
      <c r="H64" s="21">
        <v>90.05638888888889</v>
      </c>
      <c r="I64" s="21">
        <v>1.0497222222222222</v>
      </c>
      <c r="J64" s="21">
        <v>630</v>
      </c>
      <c r="K64" s="21">
        <v>504</v>
      </c>
      <c r="L64" s="21">
        <v>315</v>
      </c>
      <c r="M64" s="21">
        <v>63</v>
      </c>
      <c r="N64" s="21">
        <v>126</v>
      </c>
      <c r="O64" s="21">
        <v>10</v>
      </c>
      <c r="P64" s="21">
        <v>10</v>
      </c>
      <c r="Q64" s="21">
        <v>10</v>
      </c>
      <c r="R64" s="22">
        <v>190373.35417224999</v>
      </c>
      <c r="S64" s="22">
        <v>190065.55687029599</v>
      </c>
      <c r="T64" s="22">
        <v>189637.970796298</v>
      </c>
      <c r="U64" s="22">
        <v>369.61916046315702</v>
      </c>
      <c r="V64" s="22">
        <v>203.455504138252</v>
      </c>
      <c r="W64" s="22">
        <v>1878.5778974172299</v>
      </c>
      <c r="X64" s="22">
        <v>1878.5778974172299</v>
      </c>
      <c r="Y64" s="22">
        <v>52.662187500001302</v>
      </c>
      <c r="Z64" s="22">
        <v>1285716.72091468</v>
      </c>
      <c r="AA64" s="22">
        <v>1</v>
      </c>
    </row>
    <row r="65" spans="1:27" x14ac:dyDescent="0.25">
      <c r="A65" s="48">
        <f t="shared" si="0"/>
        <v>26009.999988425927</v>
      </c>
      <c r="B65" s="21">
        <v>10750.983611111111</v>
      </c>
      <c r="C65" s="21">
        <v>10733.077499999999</v>
      </c>
      <c r="D65" s="21">
        <v>10705.793888888889</v>
      </c>
      <c r="E65" s="21">
        <v>21.074722222222221</v>
      </c>
      <c r="F65" s="21">
        <v>9.9877777777777776</v>
      </c>
      <c r="G65" s="21">
        <v>90.223055555555561</v>
      </c>
      <c r="H65" s="21">
        <v>90.05638888888889</v>
      </c>
      <c r="I65" s="21">
        <v>1.0497222222222222</v>
      </c>
      <c r="J65" s="21">
        <v>640</v>
      </c>
      <c r="K65" s="21">
        <v>512</v>
      </c>
      <c r="L65" s="21">
        <v>320</v>
      </c>
      <c r="M65" s="21">
        <v>64</v>
      </c>
      <c r="N65" s="21">
        <v>128</v>
      </c>
      <c r="O65" s="21">
        <v>10</v>
      </c>
      <c r="P65" s="21">
        <v>10</v>
      </c>
      <c r="Q65" s="21">
        <v>10</v>
      </c>
      <c r="R65" s="22">
        <v>193397.354171766</v>
      </c>
      <c r="S65" s="22">
        <v>193089.55686981199</v>
      </c>
      <c r="T65" s="22">
        <v>192661.97079581299</v>
      </c>
      <c r="U65" s="22">
        <v>369.61916046315702</v>
      </c>
      <c r="V65" s="22">
        <v>203.455504138252</v>
      </c>
      <c r="W65" s="22">
        <v>1878.5778974172299</v>
      </c>
      <c r="X65" s="22">
        <v>1878.5778974172299</v>
      </c>
      <c r="Y65" s="22">
        <v>52.662187500001302</v>
      </c>
      <c r="Z65" s="22">
        <v>1306212.72091607</v>
      </c>
      <c r="AA65" s="22">
        <v>1</v>
      </c>
    </row>
    <row r="66" spans="1:27" x14ac:dyDescent="0.25">
      <c r="A66" s="48">
        <f t="shared" si="0"/>
        <v>26016.999988425927</v>
      </c>
      <c r="B66" s="21">
        <v>10918.983611111111</v>
      </c>
      <c r="C66" s="21">
        <v>10901.077499999999</v>
      </c>
      <c r="D66" s="21">
        <v>10873.793888888889</v>
      </c>
      <c r="E66" s="21">
        <v>21.074722222222221</v>
      </c>
      <c r="F66" s="21">
        <v>9.9877777777777776</v>
      </c>
      <c r="G66" s="21">
        <v>90.223055555555561</v>
      </c>
      <c r="H66" s="21">
        <v>90.05638888888889</v>
      </c>
      <c r="I66" s="21">
        <v>1.0497222222222222</v>
      </c>
      <c r="J66" s="21">
        <v>650</v>
      </c>
      <c r="K66" s="21">
        <v>520</v>
      </c>
      <c r="L66" s="21">
        <v>325</v>
      </c>
      <c r="M66" s="21">
        <v>65</v>
      </c>
      <c r="N66" s="21">
        <v>130</v>
      </c>
      <c r="O66" s="21">
        <v>10</v>
      </c>
      <c r="P66" s="21">
        <v>10</v>
      </c>
      <c r="Q66" s="21">
        <v>10</v>
      </c>
      <c r="R66" s="22">
        <v>196421.354171282</v>
      </c>
      <c r="S66" s="22">
        <v>196113.55686932799</v>
      </c>
      <c r="T66" s="22">
        <v>195685.97079532899</v>
      </c>
      <c r="U66" s="22">
        <v>369.61916046315702</v>
      </c>
      <c r="V66" s="22">
        <v>203.455504138252</v>
      </c>
      <c r="W66" s="22">
        <v>1878.5778974172299</v>
      </c>
      <c r="X66" s="22">
        <v>1878.5778974172299</v>
      </c>
      <c r="Y66" s="22">
        <v>52.662187500001302</v>
      </c>
      <c r="Z66" s="22">
        <v>1326708.72091745</v>
      </c>
      <c r="AA66" s="22">
        <v>1</v>
      </c>
    </row>
    <row r="67" spans="1:27" x14ac:dyDescent="0.25">
      <c r="A67" s="48">
        <f t="shared" si="0"/>
        <v>26023.999988425927</v>
      </c>
      <c r="B67" s="21">
        <v>11086.983611111111</v>
      </c>
      <c r="C67" s="21">
        <v>11069.077499999999</v>
      </c>
      <c r="D67" s="21">
        <v>11041.793888888889</v>
      </c>
      <c r="E67" s="21">
        <v>21.074722222222221</v>
      </c>
      <c r="F67" s="21">
        <v>9.9877777777777776</v>
      </c>
      <c r="G67" s="21">
        <v>90.223055555555561</v>
      </c>
      <c r="H67" s="21">
        <v>90.05638888888889</v>
      </c>
      <c r="I67" s="21">
        <v>1.0497222222222222</v>
      </c>
      <c r="J67" s="21">
        <v>660</v>
      </c>
      <c r="K67" s="21">
        <v>528</v>
      </c>
      <c r="L67" s="21">
        <v>330</v>
      </c>
      <c r="M67" s="21">
        <v>66</v>
      </c>
      <c r="N67" s="21">
        <v>132</v>
      </c>
      <c r="O67" s="21">
        <v>10</v>
      </c>
      <c r="P67" s="21">
        <v>10</v>
      </c>
      <c r="Q67" s="21">
        <v>10</v>
      </c>
      <c r="R67" s="22">
        <v>199445.354170798</v>
      </c>
      <c r="S67" s="22">
        <v>199137.556868844</v>
      </c>
      <c r="T67" s="22">
        <v>198709.97079484499</v>
      </c>
      <c r="U67" s="22">
        <v>369.61916046315702</v>
      </c>
      <c r="V67" s="22">
        <v>203.455504138252</v>
      </c>
      <c r="W67" s="22">
        <v>1878.5778974172299</v>
      </c>
      <c r="X67" s="22">
        <v>1878.5778974172299</v>
      </c>
      <c r="Y67" s="22">
        <v>52.662187500001302</v>
      </c>
      <c r="Z67" s="22">
        <v>1347204.72091884</v>
      </c>
      <c r="AA67" s="22">
        <v>1</v>
      </c>
    </row>
    <row r="68" spans="1:27" x14ac:dyDescent="0.25">
      <c r="A68" s="48">
        <f t="shared" ref="A68:A100" si="1">A67+7</f>
        <v>26030.999988425927</v>
      </c>
      <c r="B68" s="21">
        <v>11254.983611111111</v>
      </c>
      <c r="C68" s="21">
        <v>11237.077499999999</v>
      </c>
      <c r="D68" s="21">
        <v>11209.793888888889</v>
      </c>
      <c r="E68" s="21">
        <v>21.074722222222221</v>
      </c>
      <c r="F68" s="21">
        <v>9.9877777777777776</v>
      </c>
      <c r="G68" s="21">
        <v>90.223055555555561</v>
      </c>
      <c r="H68" s="21">
        <v>90.05638888888889</v>
      </c>
      <c r="I68" s="21">
        <v>1.0497222222222222</v>
      </c>
      <c r="J68" s="21">
        <v>670</v>
      </c>
      <c r="K68" s="21">
        <v>536</v>
      </c>
      <c r="L68" s="21">
        <v>335</v>
      </c>
      <c r="M68" s="21">
        <v>67</v>
      </c>
      <c r="N68" s="21">
        <v>134</v>
      </c>
      <c r="O68" s="21">
        <v>10</v>
      </c>
      <c r="P68" s="21">
        <v>10</v>
      </c>
      <c r="Q68" s="21">
        <v>10</v>
      </c>
      <c r="R68" s="22">
        <v>202469.35417031401</v>
      </c>
      <c r="S68" s="22">
        <v>202161.55686836</v>
      </c>
      <c r="T68" s="22">
        <v>201733.970794361</v>
      </c>
      <c r="U68" s="22">
        <v>369.61916046315702</v>
      </c>
      <c r="V68" s="22">
        <v>203.455504138252</v>
      </c>
      <c r="W68" s="22">
        <v>1878.5778974172299</v>
      </c>
      <c r="X68" s="22">
        <v>1878.5778974172299</v>
      </c>
      <c r="Y68" s="22">
        <v>52.662187500001302</v>
      </c>
      <c r="Z68" s="22">
        <v>1367700.72092022</v>
      </c>
      <c r="AA68" s="22">
        <v>1</v>
      </c>
    </row>
    <row r="69" spans="1:27" x14ac:dyDescent="0.25">
      <c r="A69" s="48">
        <f t="shared" si="1"/>
        <v>26037.999988425927</v>
      </c>
      <c r="B69" s="21">
        <v>11422.983611111111</v>
      </c>
      <c r="C69" s="21">
        <v>11405.077499999999</v>
      </c>
      <c r="D69" s="21">
        <v>11377.793888888889</v>
      </c>
      <c r="E69" s="21">
        <v>21.074722222222221</v>
      </c>
      <c r="F69" s="21">
        <v>9.9877777777777776</v>
      </c>
      <c r="G69" s="21">
        <v>90.223055555555561</v>
      </c>
      <c r="H69" s="21">
        <v>90.05638888888889</v>
      </c>
      <c r="I69" s="21">
        <v>1.0497222222222222</v>
      </c>
      <c r="J69" s="21">
        <v>680</v>
      </c>
      <c r="K69" s="21">
        <v>544</v>
      </c>
      <c r="L69" s="21">
        <v>340</v>
      </c>
      <c r="M69" s="21">
        <v>68</v>
      </c>
      <c r="N69" s="21">
        <v>136</v>
      </c>
      <c r="O69" s="21">
        <v>10</v>
      </c>
      <c r="P69" s="21">
        <v>10</v>
      </c>
      <c r="Q69" s="21">
        <v>10</v>
      </c>
      <c r="R69" s="22">
        <v>205493.35416983001</v>
      </c>
      <c r="S69" s="22">
        <v>205185.55686787501</v>
      </c>
      <c r="T69" s="22">
        <v>204757.970793877</v>
      </c>
      <c r="U69" s="22">
        <v>369.61916046315702</v>
      </c>
      <c r="V69" s="22">
        <v>203.455504138252</v>
      </c>
      <c r="W69" s="22">
        <v>1878.5778974172299</v>
      </c>
      <c r="X69" s="22">
        <v>1878.5778974172299</v>
      </c>
      <c r="Y69" s="22">
        <v>52.662187500001302</v>
      </c>
      <c r="Z69" s="22">
        <v>1388196.72092161</v>
      </c>
      <c r="AA69" s="22">
        <v>1</v>
      </c>
    </row>
    <row r="70" spans="1:27" x14ac:dyDescent="0.25">
      <c r="A70" s="48">
        <f t="shared" si="1"/>
        <v>26044.999988425927</v>
      </c>
      <c r="B70" s="21">
        <v>11590.983611111111</v>
      </c>
      <c r="C70" s="21">
        <v>11573.077499999999</v>
      </c>
      <c r="D70" s="21">
        <v>11545.793888888889</v>
      </c>
      <c r="E70" s="21">
        <v>21.074722222222221</v>
      </c>
      <c r="F70" s="21">
        <v>9.9877777777777776</v>
      </c>
      <c r="G70" s="21">
        <v>90.223055555555561</v>
      </c>
      <c r="H70" s="21">
        <v>90.05638888888889</v>
      </c>
      <c r="I70" s="21">
        <v>1.0497222222222222</v>
      </c>
      <c r="J70" s="21">
        <v>690</v>
      </c>
      <c r="K70" s="21">
        <v>552</v>
      </c>
      <c r="L70" s="21">
        <v>345</v>
      </c>
      <c r="M70" s="21">
        <v>69</v>
      </c>
      <c r="N70" s="21">
        <v>138</v>
      </c>
      <c r="O70" s="21">
        <v>10</v>
      </c>
      <c r="P70" s="21">
        <v>10</v>
      </c>
      <c r="Q70" s="21">
        <v>10</v>
      </c>
      <c r="R70" s="22">
        <v>208517.35416934601</v>
      </c>
      <c r="S70" s="22">
        <v>208209.55686739099</v>
      </c>
      <c r="T70" s="22">
        <v>207781.970793393</v>
      </c>
      <c r="U70" s="22">
        <v>369.61916046315702</v>
      </c>
      <c r="V70" s="22">
        <v>203.455504138252</v>
      </c>
      <c r="W70" s="22">
        <v>1878.5778974172299</v>
      </c>
      <c r="X70" s="22">
        <v>1878.5778974172299</v>
      </c>
      <c r="Y70" s="22">
        <v>52.662187500001302</v>
      </c>
      <c r="Z70" s="22">
        <v>1408692.72092299</v>
      </c>
      <c r="AA70" s="22">
        <v>1</v>
      </c>
    </row>
    <row r="71" spans="1:27" x14ac:dyDescent="0.25">
      <c r="A71" s="48">
        <f t="shared" si="1"/>
        <v>26051.999988425927</v>
      </c>
      <c r="B71" s="21">
        <v>11758.983611111111</v>
      </c>
      <c r="C71" s="21">
        <v>11741.077499999999</v>
      </c>
      <c r="D71" s="21">
        <v>11713.793888888889</v>
      </c>
      <c r="E71" s="21">
        <v>21.074722222222221</v>
      </c>
      <c r="F71" s="21">
        <v>9.9877777777777776</v>
      </c>
      <c r="G71" s="21">
        <v>90.223055555555561</v>
      </c>
      <c r="H71" s="21">
        <v>90.05638888888889</v>
      </c>
      <c r="I71" s="21">
        <v>1.0497222222222222</v>
      </c>
      <c r="J71" s="21">
        <v>700</v>
      </c>
      <c r="K71" s="21">
        <v>560</v>
      </c>
      <c r="L71" s="21">
        <v>350</v>
      </c>
      <c r="M71" s="21">
        <v>70</v>
      </c>
      <c r="N71" s="21">
        <v>140</v>
      </c>
      <c r="O71" s="21">
        <v>10</v>
      </c>
      <c r="P71" s="21">
        <v>10</v>
      </c>
      <c r="Q71" s="21">
        <v>10</v>
      </c>
      <c r="R71" s="22">
        <v>211541.35416886199</v>
      </c>
      <c r="S71" s="22">
        <v>211233.55686690699</v>
      </c>
      <c r="T71" s="22">
        <v>210805.97079290901</v>
      </c>
      <c r="U71" s="22">
        <v>369.61916046315702</v>
      </c>
      <c r="V71" s="22">
        <v>203.455504138252</v>
      </c>
      <c r="W71" s="22">
        <v>1878.5778974172299</v>
      </c>
      <c r="X71" s="22">
        <v>1878.5778974172299</v>
      </c>
      <c r="Y71" s="22">
        <v>52.662187500001302</v>
      </c>
      <c r="Z71" s="22">
        <v>1429188.72092438</v>
      </c>
      <c r="AA71" s="22">
        <v>1</v>
      </c>
    </row>
    <row r="72" spans="1:27" x14ac:dyDescent="0.25">
      <c r="A72" s="48">
        <f t="shared" si="1"/>
        <v>26058.999988425927</v>
      </c>
      <c r="B72" s="21">
        <v>11926.983611111111</v>
      </c>
      <c r="C72" s="21">
        <v>11909.077499999999</v>
      </c>
      <c r="D72" s="21">
        <v>11881.793888888889</v>
      </c>
      <c r="E72" s="21">
        <v>21.074722222222221</v>
      </c>
      <c r="F72" s="21">
        <v>9.9877777777777776</v>
      </c>
      <c r="G72" s="21">
        <v>90.223055555555561</v>
      </c>
      <c r="H72" s="21">
        <v>90.05638888888889</v>
      </c>
      <c r="I72" s="21">
        <v>1.0497222222222222</v>
      </c>
      <c r="J72" s="21">
        <v>710</v>
      </c>
      <c r="K72" s="21">
        <v>568</v>
      </c>
      <c r="L72" s="21">
        <v>355</v>
      </c>
      <c r="M72" s="21">
        <v>71</v>
      </c>
      <c r="N72" s="21">
        <v>142</v>
      </c>
      <c r="O72" s="21">
        <v>10</v>
      </c>
      <c r="P72" s="21">
        <v>10</v>
      </c>
      <c r="Q72" s="21">
        <v>10</v>
      </c>
      <c r="R72" s="22">
        <v>214565.35416837799</v>
      </c>
      <c r="S72" s="22">
        <v>214257.55686642299</v>
      </c>
      <c r="T72" s="22">
        <v>213829.97079242501</v>
      </c>
      <c r="U72" s="22">
        <v>369.61916046315702</v>
      </c>
      <c r="V72" s="22">
        <v>203.455504138252</v>
      </c>
      <c r="W72" s="22">
        <v>1878.5778974172299</v>
      </c>
      <c r="X72" s="22">
        <v>1878.5778974172299</v>
      </c>
      <c r="Y72" s="22">
        <v>52.662187500001302</v>
      </c>
      <c r="Z72" s="22">
        <v>1449684.72092576</v>
      </c>
      <c r="AA72" s="22">
        <v>1</v>
      </c>
    </row>
    <row r="73" spans="1:27" x14ac:dyDescent="0.25">
      <c r="A73" s="48">
        <f t="shared" si="1"/>
        <v>26065.999988425927</v>
      </c>
      <c r="B73" s="21">
        <v>12094.983611111111</v>
      </c>
      <c r="C73" s="21">
        <v>12077.077499999999</v>
      </c>
      <c r="D73" s="21">
        <v>12049.793888888889</v>
      </c>
      <c r="E73" s="21">
        <v>21.074722222222221</v>
      </c>
      <c r="F73" s="21">
        <v>9.9877777777777776</v>
      </c>
      <c r="G73" s="21">
        <v>90.223055555555561</v>
      </c>
      <c r="H73" s="21">
        <v>90.05638888888889</v>
      </c>
      <c r="I73" s="21">
        <v>1.0497222222222222</v>
      </c>
      <c r="J73" s="21">
        <v>720</v>
      </c>
      <c r="K73" s="21">
        <v>576</v>
      </c>
      <c r="L73" s="21">
        <v>360</v>
      </c>
      <c r="M73" s="21">
        <v>72</v>
      </c>
      <c r="N73" s="21">
        <v>144</v>
      </c>
      <c r="O73" s="21">
        <v>10</v>
      </c>
      <c r="P73" s="21">
        <v>10</v>
      </c>
      <c r="Q73" s="21">
        <v>10</v>
      </c>
      <c r="R73" s="22">
        <v>217589.35416789399</v>
      </c>
      <c r="S73" s="22">
        <v>217281.556865939</v>
      </c>
      <c r="T73" s="22">
        <v>216853.97079194101</v>
      </c>
      <c r="U73" s="22">
        <v>369.61916046315702</v>
      </c>
      <c r="V73" s="22">
        <v>203.455504138252</v>
      </c>
      <c r="W73" s="22">
        <v>1878.5778974172299</v>
      </c>
      <c r="X73" s="22">
        <v>1878.5778974172299</v>
      </c>
      <c r="Y73" s="22">
        <v>52.662187500001302</v>
      </c>
      <c r="Z73" s="22">
        <v>1470180.72092715</v>
      </c>
      <c r="AA73" s="22">
        <v>1</v>
      </c>
    </row>
    <row r="74" spans="1:27" x14ac:dyDescent="0.25">
      <c r="A74" s="48">
        <f t="shared" si="1"/>
        <v>26072.999988425927</v>
      </c>
      <c r="B74" s="21">
        <v>12262.983611111111</v>
      </c>
      <c r="C74" s="21">
        <v>12245.077499999999</v>
      </c>
      <c r="D74" s="21">
        <v>12217.793888888889</v>
      </c>
      <c r="E74" s="21">
        <v>21.074722222222221</v>
      </c>
      <c r="F74" s="21">
        <v>9.9877777777777776</v>
      </c>
      <c r="G74" s="21">
        <v>90.223055555555561</v>
      </c>
      <c r="H74" s="21">
        <v>90.05638888888889</v>
      </c>
      <c r="I74" s="21">
        <v>1.0497222222222222</v>
      </c>
      <c r="J74" s="21">
        <v>730</v>
      </c>
      <c r="K74" s="21">
        <v>584</v>
      </c>
      <c r="L74" s="21">
        <v>365</v>
      </c>
      <c r="M74" s="21">
        <v>73</v>
      </c>
      <c r="N74" s="21">
        <v>146</v>
      </c>
      <c r="O74" s="21">
        <v>10</v>
      </c>
      <c r="P74" s="21">
        <v>10</v>
      </c>
      <c r="Q74" s="21">
        <v>10</v>
      </c>
      <c r="R74" s="22">
        <v>220613.35416741</v>
      </c>
      <c r="S74" s="22">
        <v>220305.556865455</v>
      </c>
      <c r="T74" s="22">
        <v>219877.97079145699</v>
      </c>
      <c r="U74" s="22">
        <v>369.61916046315702</v>
      </c>
      <c r="V74" s="22">
        <v>203.455504138252</v>
      </c>
      <c r="W74" s="22">
        <v>1878.5778974172299</v>
      </c>
      <c r="X74" s="22">
        <v>1878.5778974172299</v>
      </c>
      <c r="Y74" s="22">
        <v>52.662187500001302</v>
      </c>
      <c r="Z74" s="22">
        <v>1490676.72092853</v>
      </c>
      <c r="AA74" s="22">
        <v>1</v>
      </c>
    </row>
    <row r="75" spans="1:27" x14ac:dyDescent="0.25">
      <c r="A75" s="48">
        <f t="shared" si="1"/>
        <v>26079.999988425927</v>
      </c>
      <c r="B75" s="21">
        <v>12430.983611111111</v>
      </c>
      <c r="C75" s="21">
        <v>12413.077499999999</v>
      </c>
      <c r="D75" s="21">
        <v>12385.793888888889</v>
      </c>
      <c r="E75" s="21">
        <v>21.074722222222221</v>
      </c>
      <c r="F75" s="21">
        <v>9.9877777777777776</v>
      </c>
      <c r="G75" s="21">
        <v>90.223055555555561</v>
      </c>
      <c r="H75" s="21">
        <v>90.05638888888889</v>
      </c>
      <c r="I75" s="21">
        <v>1.0497222222222222</v>
      </c>
      <c r="J75" s="21">
        <v>740</v>
      </c>
      <c r="K75" s="21">
        <v>592</v>
      </c>
      <c r="L75" s="21">
        <v>370</v>
      </c>
      <c r="M75" s="21">
        <v>74</v>
      </c>
      <c r="N75" s="21">
        <v>148</v>
      </c>
      <c r="O75" s="21">
        <v>10</v>
      </c>
      <c r="P75" s="21">
        <v>10</v>
      </c>
      <c r="Q75" s="21">
        <v>10</v>
      </c>
      <c r="R75" s="22">
        <v>223637.354166926</v>
      </c>
      <c r="S75" s="22">
        <v>223329.556864971</v>
      </c>
      <c r="T75" s="22">
        <v>222901.97079097299</v>
      </c>
      <c r="U75" s="22">
        <v>369.61916046315702</v>
      </c>
      <c r="V75" s="22">
        <v>203.455504138252</v>
      </c>
      <c r="W75" s="22">
        <v>1878.5778974172299</v>
      </c>
      <c r="X75" s="22">
        <v>1878.5778974172299</v>
      </c>
      <c r="Y75" s="22">
        <v>52.662187500001302</v>
      </c>
      <c r="Z75" s="22">
        <v>1511172.72092992</v>
      </c>
      <c r="AA75" s="22">
        <v>1</v>
      </c>
    </row>
    <row r="76" spans="1:27" x14ac:dyDescent="0.25">
      <c r="A76" s="48">
        <f t="shared" si="1"/>
        <v>26086.999988425927</v>
      </c>
      <c r="B76" s="21">
        <v>12598.983611111111</v>
      </c>
      <c r="C76" s="21">
        <v>12581.077499999999</v>
      </c>
      <c r="D76" s="21">
        <v>12553.793888888889</v>
      </c>
      <c r="E76" s="21">
        <v>21.074722222222221</v>
      </c>
      <c r="F76" s="21">
        <v>9.9877777777777776</v>
      </c>
      <c r="G76" s="21">
        <v>90.223055555555561</v>
      </c>
      <c r="H76" s="21">
        <v>90.05638888888889</v>
      </c>
      <c r="I76" s="21">
        <v>1.0497222222222222</v>
      </c>
      <c r="J76" s="21">
        <v>750</v>
      </c>
      <c r="K76" s="21">
        <v>600</v>
      </c>
      <c r="L76" s="21">
        <v>375</v>
      </c>
      <c r="M76" s="21">
        <v>75</v>
      </c>
      <c r="N76" s="21">
        <v>150</v>
      </c>
      <c r="O76" s="21">
        <v>10</v>
      </c>
      <c r="P76" s="21">
        <v>10</v>
      </c>
      <c r="Q76" s="21">
        <v>10</v>
      </c>
      <c r="R76" s="22">
        <v>226661.354166442</v>
      </c>
      <c r="S76" s="22">
        <v>226353.55686448701</v>
      </c>
      <c r="T76" s="22">
        <v>225925.97079048801</v>
      </c>
      <c r="U76" s="22">
        <v>369.61916046315702</v>
      </c>
      <c r="V76" s="22">
        <v>203.455504138252</v>
      </c>
      <c r="W76" s="22">
        <v>1878.5778974172299</v>
      </c>
      <c r="X76" s="22">
        <v>1878.5778974172299</v>
      </c>
      <c r="Y76" s="22">
        <v>52.662187500001302</v>
      </c>
      <c r="Z76" s="22">
        <v>1531668.72093131</v>
      </c>
      <c r="AA76" s="22">
        <v>1</v>
      </c>
    </row>
    <row r="77" spans="1:27" x14ac:dyDescent="0.25">
      <c r="A77" s="48">
        <f t="shared" si="1"/>
        <v>26093.999988425927</v>
      </c>
      <c r="B77" s="21">
        <v>12766.983611111111</v>
      </c>
      <c r="C77" s="21">
        <v>12749.077499999999</v>
      </c>
      <c r="D77" s="21">
        <v>12721.793888888889</v>
      </c>
      <c r="E77" s="21">
        <v>21.074722222222221</v>
      </c>
      <c r="F77" s="21">
        <v>9.9877777777777776</v>
      </c>
      <c r="G77" s="21">
        <v>90.223055555555561</v>
      </c>
      <c r="H77" s="21">
        <v>90.05638888888889</v>
      </c>
      <c r="I77" s="21">
        <v>1.0497222222222222</v>
      </c>
      <c r="J77" s="21">
        <v>760</v>
      </c>
      <c r="K77" s="21">
        <v>608</v>
      </c>
      <c r="L77" s="21">
        <v>380</v>
      </c>
      <c r="M77" s="21">
        <v>76</v>
      </c>
      <c r="N77" s="21">
        <v>152</v>
      </c>
      <c r="O77" s="21">
        <v>10</v>
      </c>
      <c r="P77" s="21">
        <v>10</v>
      </c>
      <c r="Q77" s="21">
        <v>10</v>
      </c>
      <c r="R77" s="22">
        <v>229685.35416595801</v>
      </c>
      <c r="S77" s="22">
        <v>229377.55686400301</v>
      </c>
      <c r="T77" s="22">
        <v>228949.97079000401</v>
      </c>
      <c r="U77" s="22">
        <v>369.61916046315702</v>
      </c>
      <c r="V77" s="22">
        <v>203.455504138252</v>
      </c>
      <c r="W77" s="22">
        <v>1878.5778974172299</v>
      </c>
      <c r="X77" s="22">
        <v>1878.5778974172299</v>
      </c>
      <c r="Y77" s="22">
        <v>52.662187500001302</v>
      </c>
      <c r="Z77" s="22">
        <v>1552164.72093269</v>
      </c>
      <c r="AA77" s="22">
        <v>1</v>
      </c>
    </row>
    <row r="78" spans="1:27" x14ac:dyDescent="0.25">
      <c r="A78" s="48">
        <f t="shared" si="1"/>
        <v>26100.999988425927</v>
      </c>
      <c r="B78" s="21">
        <v>12934.983611111111</v>
      </c>
      <c r="C78" s="21">
        <v>12917.077499999999</v>
      </c>
      <c r="D78" s="21">
        <v>12889.793888888889</v>
      </c>
      <c r="E78" s="21">
        <v>21.074722222222221</v>
      </c>
      <c r="F78" s="21">
        <v>9.9877777777777776</v>
      </c>
      <c r="G78" s="21">
        <v>90.223055555555561</v>
      </c>
      <c r="H78" s="21">
        <v>90.05638888888889</v>
      </c>
      <c r="I78" s="21">
        <v>1.0497222222222222</v>
      </c>
      <c r="J78" s="21">
        <v>770</v>
      </c>
      <c r="K78" s="21">
        <v>616</v>
      </c>
      <c r="L78" s="21">
        <v>385</v>
      </c>
      <c r="M78" s="21">
        <v>77</v>
      </c>
      <c r="N78" s="21">
        <v>154</v>
      </c>
      <c r="O78" s="21">
        <v>10</v>
      </c>
      <c r="P78" s="21">
        <v>10</v>
      </c>
      <c r="Q78" s="21">
        <v>10</v>
      </c>
      <c r="R78" s="22">
        <v>232709.35416547401</v>
      </c>
      <c r="S78" s="22">
        <v>232401.55686351901</v>
      </c>
      <c r="T78" s="22">
        <v>231973.97078952001</v>
      </c>
      <c r="U78" s="22">
        <v>369.61916046315702</v>
      </c>
      <c r="V78" s="22">
        <v>203.455504138252</v>
      </c>
      <c r="W78" s="22">
        <v>1878.5778974172299</v>
      </c>
      <c r="X78" s="22">
        <v>1878.5778974172299</v>
      </c>
      <c r="Y78" s="22">
        <v>52.662187500001302</v>
      </c>
      <c r="Z78" s="22">
        <v>1572660.72093408</v>
      </c>
      <c r="AA78" s="22">
        <v>1</v>
      </c>
    </row>
    <row r="79" spans="1:27" x14ac:dyDescent="0.25">
      <c r="A79" s="48">
        <f t="shared" si="1"/>
        <v>26107.999988425927</v>
      </c>
      <c r="B79" s="21">
        <v>13102.983611111111</v>
      </c>
      <c r="C79" s="21">
        <v>13085.077499999999</v>
      </c>
      <c r="D79" s="21">
        <v>13057.793888888889</v>
      </c>
      <c r="E79" s="21">
        <v>21.074722222222221</v>
      </c>
      <c r="F79" s="21">
        <v>9.9877777777777776</v>
      </c>
      <c r="G79" s="21">
        <v>90.223055555555561</v>
      </c>
      <c r="H79" s="21">
        <v>90.05638888888889</v>
      </c>
      <c r="I79" s="21">
        <v>1.0497222222222222</v>
      </c>
      <c r="J79" s="21">
        <v>780</v>
      </c>
      <c r="K79" s="21">
        <v>624</v>
      </c>
      <c r="L79" s="21">
        <v>390</v>
      </c>
      <c r="M79" s="21">
        <v>78</v>
      </c>
      <c r="N79" s="21">
        <v>156</v>
      </c>
      <c r="O79" s="21">
        <v>10</v>
      </c>
      <c r="P79" s="21">
        <v>10</v>
      </c>
      <c r="Q79" s="21">
        <v>10</v>
      </c>
      <c r="R79" s="22">
        <v>235733.35416499001</v>
      </c>
      <c r="S79" s="22">
        <v>235425.556863034</v>
      </c>
      <c r="T79" s="22">
        <v>234997.97078903599</v>
      </c>
      <c r="U79" s="22">
        <v>369.61916046315702</v>
      </c>
      <c r="V79" s="22">
        <v>203.455504138252</v>
      </c>
      <c r="W79" s="22">
        <v>1878.5778974172299</v>
      </c>
      <c r="X79" s="22">
        <v>1878.5778974172299</v>
      </c>
      <c r="Y79" s="22">
        <v>52.662187500001302</v>
      </c>
      <c r="Z79" s="22">
        <v>1593156.7209354599</v>
      </c>
      <c r="AA79" s="22">
        <v>1</v>
      </c>
    </row>
    <row r="80" spans="1:27" x14ac:dyDescent="0.25">
      <c r="A80" s="48">
        <f t="shared" si="1"/>
        <v>26114.999988425927</v>
      </c>
      <c r="B80" s="21">
        <v>13270.983611111111</v>
      </c>
      <c r="C80" s="21">
        <v>13253.077499999999</v>
      </c>
      <c r="D80" s="21">
        <v>13225.793888888889</v>
      </c>
      <c r="E80" s="21">
        <v>21.074722222222221</v>
      </c>
      <c r="F80" s="21">
        <v>9.9877777777777776</v>
      </c>
      <c r="G80" s="21">
        <v>90.223055555555561</v>
      </c>
      <c r="H80" s="21">
        <v>90.05638888888889</v>
      </c>
      <c r="I80" s="21">
        <v>1.0497222222222222</v>
      </c>
      <c r="J80" s="21">
        <v>790</v>
      </c>
      <c r="K80" s="21">
        <v>632</v>
      </c>
      <c r="L80" s="21">
        <v>395</v>
      </c>
      <c r="M80" s="21">
        <v>79</v>
      </c>
      <c r="N80" s="21">
        <v>158</v>
      </c>
      <c r="O80" s="21">
        <v>10</v>
      </c>
      <c r="P80" s="21">
        <v>10</v>
      </c>
      <c r="Q80" s="21">
        <v>10</v>
      </c>
      <c r="R80" s="22">
        <v>238757.35416450599</v>
      </c>
      <c r="S80" s="22">
        <v>238449.55686255</v>
      </c>
      <c r="T80" s="22">
        <v>238021.97078855199</v>
      </c>
      <c r="U80" s="22">
        <v>369.61916046315702</v>
      </c>
      <c r="V80" s="22">
        <v>203.455504138252</v>
      </c>
      <c r="W80" s="22">
        <v>1878.5778974172299</v>
      </c>
      <c r="X80" s="22">
        <v>1878.5778974172299</v>
      </c>
      <c r="Y80" s="22">
        <v>52.662187500001302</v>
      </c>
      <c r="Z80" s="22">
        <v>1613652.7209368499</v>
      </c>
      <c r="AA80" s="22">
        <v>1</v>
      </c>
    </row>
    <row r="81" spans="1:27" x14ac:dyDescent="0.25">
      <c r="A81" s="48">
        <f t="shared" si="1"/>
        <v>26121.999988425927</v>
      </c>
      <c r="B81" s="21">
        <v>13438.983611111111</v>
      </c>
      <c r="C81" s="21">
        <v>13421.077499999999</v>
      </c>
      <c r="D81" s="21">
        <v>13393.793888888889</v>
      </c>
      <c r="E81" s="21">
        <v>21.074722222222221</v>
      </c>
      <c r="F81" s="21">
        <v>9.9877777777777776</v>
      </c>
      <c r="G81" s="21">
        <v>90.223055555555561</v>
      </c>
      <c r="H81" s="21">
        <v>90.05638888888889</v>
      </c>
      <c r="I81" s="21">
        <v>1.0497222222222222</v>
      </c>
      <c r="J81" s="21">
        <v>800</v>
      </c>
      <c r="K81" s="21">
        <v>640</v>
      </c>
      <c r="L81" s="21">
        <v>400</v>
      </c>
      <c r="M81" s="21">
        <v>80</v>
      </c>
      <c r="N81" s="21">
        <v>160</v>
      </c>
      <c r="O81" s="21">
        <v>10</v>
      </c>
      <c r="P81" s="21">
        <v>10</v>
      </c>
      <c r="Q81" s="21">
        <v>10</v>
      </c>
      <c r="R81" s="22">
        <v>241781.35416402199</v>
      </c>
      <c r="S81" s="22">
        <v>241473.55686206601</v>
      </c>
      <c r="T81" s="22">
        <v>241045.97078806799</v>
      </c>
      <c r="U81" s="22">
        <v>369.61916046315702</v>
      </c>
      <c r="V81" s="22">
        <v>203.455504138252</v>
      </c>
      <c r="W81" s="22">
        <v>1878.5778974172299</v>
      </c>
      <c r="X81" s="22">
        <v>1878.5778974172299</v>
      </c>
      <c r="Y81" s="22">
        <v>52.662187500001302</v>
      </c>
      <c r="Z81" s="22">
        <v>1634148.7209382299</v>
      </c>
      <c r="AA81" s="22">
        <v>1</v>
      </c>
    </row>
    <row r="82" spans="1:27" x14ac:dyDescent="0.25">
      <c r="A82" s="48">
        <f t="shared" si="1"/>
        <v>26128.999988425927</v>
      </c>
      <c r="B82" s="21">
        <v>13606.983611111111</v>
      </c>
      <c r="C82" s="21">
        <v>13589.077499999999</v>
      </c>
      <c r="D82" s="21">
        <v>13561.793888888889</v>
      </c>
      <c r="E82" s="21">
        <v>21.074722222222221</v>
      </c>
      <c r="F82" s="21">
        <v>9.9877777777777776</v>
      </c>
      <c r="G82" s="21">
        <v>90.223055555555561</v>
      </c>
      <c r="H82" s="21">
        <v>90.05638888888889</v>
      </c>
      <c r="I82" s="21">
        <v>1.0497222222222222</v>
      </c>
      <c r="J82" s="21">
        <v>810</v>
      </c>
      <c r="K82" s="21">
        <v>648</v>
      </c>
      <c r="L82" s="21">
        <v>405</v>
      </c>
      <c r="M82" s="21">
        <v>81</v>
      </c>
      <c r="N82" s="21">
        <v>162</v>
      </c>
      <c r="O82" s="21">
        <v>10</v>
      </c>
      <c r="P82" s="21">
        <v>10</v>
      </c>
      <c r="Q82" s="21">
        <v>10</v>
      </c>
      <c r="R82" s="22">
        <v>244805.354163538</v>
      </c>
      <c r="S82" s="22">
        <v>244497.55686158201</v>
      </c>
      <c r="T82" s="22">
        <v>244069.970787584</v>
      </c>
      <c r="U82" s="22">
        <v>369.61916046315702</v>
      </c>
      <c r="V82" s="22">
        <v>203.455504138252</v>
      </c>
      <c r="W82" s="22">
        <v>1878.5778974172299</v>
      </c>
      <c r="X82" s="22">
        <v>1878.5778974172299</v>
      </c>
      <c r="Y82" s="22">
        <v>52.662187500001302</v>
      </c>
      <c r="Z82" s="22">
        <v>1654644.7209396199</v>
      </c>
      <c r="AA82" s="22">
        <v>1</v>
      </c>
    </row>
    <row r="83" spans="1:27" x14ac:dyDescent="0.25">
      <c r="A83" s="48">
        <f t="shared" si="1"/>
        <v>26135.999988425927</v>
      </c>
      <c r="B83" s="21">
        <v>13774.983611111111</v>
      </c>
      <c r="C83" s="21">
        <v>13757.077499999999</v>
      </c>
      <c r="D83" s="21">
        <v>13729.793888888889</v>
      </c>
      <c r="E83" s="21">
        <v>21.074722222222221</v>
      </c>
      <c r="F83" s="21">
        <v>9.9877777777777776</v>
      </c>
      <c r="G83" s="21">
        <v>90.223055555555561</v>
      </c>
      <c r="H83" s="21">
        <v>90.05638888888889</v>
      </c>
      <c r="I83" s="21">
        <v>1.0497222222222222</v>
      </c>
      <c r="J83" s="21">
        <v>820</v>
      </c>
      <c r="K83" s="21">
        <v>656</v>
      </c>
      <c r="L83" s="21">
        <v>410</v>
      </c>
      <c r="M83" s="21">
        <v>82</v>
      </c>
      <c r="N83" s="21">
        <v>164</v>
      </c>
      <c r="O83" s="21">
        <v>10</v>
      </c>
      <c r="P83" s="21">
        <v>10</v>
      </c>
      <c r="Q83" s="21">
        <v>10</v>
      </c>
      <c r="R83" s="22">
        <v>247829.354163054</v>
      </c>
      <c r="S83" s="22">
        <v>247521.55686109801</v>
      </c>
      <c r="T83" s="22">
        <v>247093.9707871</v>
      </c>
      <c r="U83" s="22">
        <v>369.61916046315702</v>
      </c>
      <c r="V83" s="22">
        <v>203.455504138252</v>
      </c>
      <c r="W83" s="22">
        <v>1878.5778974172299</v>
      </c>
      <c r="X83" s="22">
        <v>1878.5778974172299</v>
      </c>
      <c r="Y83" s="22">
        <v>52.662187500001302</v>
      </c>
      <c r="Z83" s="22">
        <v>1675140.7209409999</v>
      </c>
      <c r="AA83" s="22">
        <v>1</v>
      </c>
    </row>
    <row r="84" spans="1:27" x14ac:dyDescent="0.25">
      <c r="A84" s="48">
        <f t="shared" si="1"/>
        <v>26142.999988425927</v>
      </c>
      <c r="B84" s="21">
        <v>13942.983611111111</v>
      </c>
      <c r="C84" s="21">
        <v>13925.077499999999</v>
      </c>
      <c r="D84" s="21">
        <v>13897.793888888889</v>
      </c>
      <c r="E84" s="21">
        <v>21.074722222222221</v>
      </c>
      <c r="F84" s="21">
        <v>9.9877777777777776</v>
      </c>
      <c r="G84" s="21">
        <v>90.223055555555561</v>
      </c>
      <c r="H84" s="21">
        <v>90.05638888888889</v>
      </c>
      <c r="I84" s="21">
        <v>1.0497222222222222</v>
      </c>
      <c r="J84" s="21">
        <v>830</v>
      </c>
      <c r="K84" s="21">
        <v>664</v>
      </c>
      <c r="L84" s="21">
        <v>415</v>
      </c>
      <c r="M84" s="21">
        <v>83</v>
      </c>
      <c r="N84" s="21">
        <v>166</v>
      </c>
      <c r="O84" s="21">
        <v>10</v>
      </c>
      <c r="P84" s="21">
        <v>10</v>
      </c>
      <c r="Q84" s="21">
        <v>10</v>
      </c>
      <c r="R84" s="22">
        <v>250853.35416257</v>
      </c>
      <c r="S84" s="22">
        <v>250545.55686061399</v>
      </c>
      <c r="T84" s="22">
        <v>250117.970786616</v>
      </c>
      <c r="U84" s="22">
        <v>369.61916046315702</v>
      </c>
      <c r="V84" s="22">
        <v>203.455504138252</v>
      </c>
      <c r="W84" s="22">
        <v>1878.5778974172299</v>
      </c>
      <c r="X84" s="22">
        <v>1878.5778974172299</v>
      </c>
      <c r="Y84" s="22">
        <v>52.662187500001302</v>
      </c>
      <c r="Z84" s="22">
        <v>1695636.7209423899</v>
      </c>
      <c r="AA84" s="22">
        <v>1</v>
      </c>
    </row>
    <row r="85" spans="1:27" x14ac:dyDescent="0.25">
      <c r="A85" s="48">
        <f t="shared" si="1"/>
        <v>26149.999988425927</v>
      </c>
      <c r="B85" s="21">
        <v>14110.983611111111</v>
      </c>
      <c r="C85" s="21">
        <v>14093.077499999999</v>
      </c>
      <c r="D85" s="21">
        <v>14065.793888888889</v>
      </c>
      <c r="E85" s="21">
        <v>21.074722222222221</v>
      </c>
      <c r="F85" s="21">
        <v>9.9877777777777776</v>
      </c>
      <c r="G85" s="21">
        <v>90.223055555555561</v>
      </c>
      <c r="H85" s="21">
        <v>90.05638888888889</v>
      </c>
      <c r="I85" s="21">
        <v>1.0497222222222222</v>
      </c>
      <c r="J85" s="21">
        <v>840</v>
      </c>
      <c r="K85" s="21">
        <v>672</v>
      </c>
      <c r="L85" s="21">
        <v>420</v>
      </c>
      <c r="M85" s="21">
        <v>84</v>
      </c>
      <c r="N85" s="21">
        <v>168</v>
      </c>
      <c r="O85" s="21">
        <v>10</v>
      </c>
      <c r="P85" s="21">
        <v>10</v>
      </c>
      <c r="Q85" s="21">
        <v>10</v>
      </c>
      <c r="R85" s="22">
        <v>253877.35416208601</v>
      </c>
      <c r="S85" s="22">
        <v>253569.55686012999</v>
      </c>
      <c r="T85" s="22">
        <v>253141.97078613201</v>
      </c>
      <c r="U85" s="22">
        <v>369.61916046315702</v>
      </c>
      <c r="V85" s="22">
        <v>203.455504138252</v>
      </c>
      <c r="W85" s="22">
        <v>1878.5778974172299</v>
      </c>
      <c r="X85" s="22">
        <v>1878.5778974172299</v>
      </c>
      <c r="Y85" s="22">
        <v>52.662187500001302</v>
      </c>
      <c r="Z85" s="22">
        <v>1716132.7209437799</v>
      </c>
      <c r="AA85" s="22">
        <v>1</v>
      </c>
    </row>
    <row r="86" spans="1:27" x14ac:dyDescent="0.25">
      <c r="A86" s="48">
        <f t="shared" si="1"/>
        <v>26156.999988425927</v>
      </c>
      <c r="B86" s="21">
        <v>14278.983611111111</v>
      </c>
      <c r="C86" s="21">
        <v>14261.077499999999</v>
      </c>
      <c r="D86" s="21">
        <v>14233.793888888889</v>
      </c>
      <c r="E86" s="21">
        <v>21.074722222222221</v>
      </c>
      <c r="F86" s="21">
        <v>9.9877777777777776</v>
      </c>
      <c r="G86" s="21">
        <v>90.223055555555561</v>
      </c>
      <c r="H86" s="21">
        <v>90.05638888888889</v>
      </c>
      <c r="I86" s="21">
        <v>1.0497222222222222</v>
      </c>
      <c r="J86" s="21">
        <v>850</v>
      </c>
      <c r="K86" s="21">
        <v>680</v>
      </c>
      <c r="L86" s="21">
        <v>425</v>
      </c>
      <c r="M86" s="21">
        <v>85</v>
      </c>
      <c r="N86" s="21">
        <v>170</v>
      </c>
      <c r="O86" s="21">
        <v>10</v>
      </c>
      <c r="P86" s="21">
        <v>10</v>
      </c>
      <c r="Q86" s="21">
        <v>10</v>
      </c>
      <c r="R86" s="22">
        <v>256901.35416160201</v>
      </c>
      <c r="S86" s="22">
        <v>256593.55685964599</v>
      </c>
      <c r="T86" s="22">
        <v>256165.97078564801</v>
      </c>
      <c r="U86" s="22">
        <v>369.61916046315702</v>
      </c>
      <c r="V86" s="22">
        <v>203.455504138252</v>
      </c>
      <c r="W86" s="22">
        <v>1878.5778974172299</v>
      </c>
      <c r="X86" s="22">
        <v>1878.5778974172299</v>
      </c>
      <c r="Y86" s="22">
        <v>52.662187500001302</v>
      </c>
      <c r="Z86" s="22">
        <v>1736628.7209451599</v>
      </c>
      <c r="AA86" s="22">
        <v>1</v>
      </c>
    </row>
    <row r="87" spans="1:27" x14ac:dyDescent="0.25">
      <c r="A87" s="48">
        <f t="shared" si="1"/>
        <v>26163.999988425927</v>
      </c>
      <c r="B87" s="21">
        <v>14446.983611111111</v>
      </c>
      <c r="C87" s="21">
        <v>14429.077499999999</v>
      </c>
      <c r="D87" s="21">
        <v>14401.793888888889</v>
      </c>
      <c r="E87" s="21">
        <v>21.074722222222221</v>
      </c>
      <c r="F87" s="21">
        <v>9.9877777777777776</v>
      </c>
      <c r="G87" s="21">
        <v>90.223055555555561</v>
      </c>
      <c r="H87" s="21">
        <v>90.05638888888889</v>
      </c>
      <c r="I87" s="21">
        <v>1.0497222222222222</v>
      </c>
      <c r="J87" s="21">
        <v>860</v>
      </c>
      <c r="K87" s="21">
        <v>688</v>
      </c>
      <c r="L87" s="21">
        <v>430</v>
      </c>
      <c r="M87" s="21">
        <v>86</v>
      </c>
      <c r="N87" s="21">
        <v>172</v>
      </c>
      <c r="O87" s="21">
        <v>10</v>
      </c>
      <c r="P87" s="21">
        <v>10</v>
      </c>
      <c r="Q87" s="21">
        <v>10</v>
      </c>
      <c r="R87" s="22">
        <v>259925.35416111801</v>
      </c>
      <c r="S87" s="22">
        <v>259617.556859162</v>
      </c>
      <c r="T87" s="22">
        <v>259189.97078516299</v>
      </c>
      <c r="U87" s="22">
        <v>369.61916046315702</v>
      </c>
      <c r="V87" s="22">
        <v>203.455504138252</v>
      </c>
      <c r="W87" s="22">
        <v>1878.5778974172299</v>
      </c>
      <c r="X87" s="22">
        <v>1878.5778974172299</v>
      </c>
      <c r="Y87" s="22">
        <v>52.662187500001302</v>
      </c>
      <c r="Z87" s="22">
        <v>1757124.7209465499</v>
      </c>
      <c r="AA87" s="22">
        <v>1</v>
      </c>
    </row>
    <row r="88" spans="1:27" x14ac:dyDescent="0.25">
      <c r="A88" s="48">
        <f t="shared" si="1"/>
        <v>26170.999988425927</v>
      </c>
      <c r="B88" s="21">
        <v>14614.983611111111</v>
      </c>
      <c r="C88" s="21">
        <v>14597.077499999999</v>
      </c>
      <c r="D88" s="21">
        <v>14569.793888888889</v>
      </c>
      <c r="E88" s="21">
        <v>21.074722222222221</v>
      </c>
      <c r="F88" s="21">
        <v>9.9877777777777776</v>
      </c>
      <c r="G88" s="21">
        <v>90.223055555555561</v>
      </c>
      <c r="H88" s="21">
        <v>90.05638888888889</v>
      </c>
      <c r="I88" s="21">
        <v>1.0497222222222222</v>
      </c>
      <c r="J88" s="21">
        <v>870</v>
      </c>
      <c r="K88" s="21">
        <v>696</v>
      </c>
      <c r="L88" s="21">
        <v>435</v>
      </c>
      <c r="M88" s="21">
        <v>87</v>
      </c>
      <c r="N88" s="21">
        <v>174</v>
      </c>
      <c r="O88" s="21">
        <v>10</v>
      </c>
      <c r="P88" s="21">
        <v>10</v>
      </c>
      <c r="Q88" s="21">
        <v>10</v>
      </c>
      <c r="R88" s="22">
        <v>262949.35416063399</v>
      </c>
      <c r="S88" s="22">
        <v>262641.556858678</v>
      </c>
      <c r="T88" s="22">
        <v>262213.970784679</v>
      </c>
      <c r="U88" s="22">
        <v>369.61916046315702</v>
      </c>
      <c r="V88" s="22">
        <v>203.455504138252</v>
      </c>
      <c r="W88" s="22">
        <v>1878.5778974172299</v>
      </c>
      <c r="X88" s="22">
        <v>1878.5778974172299</v>
      </c>
      <c r="Y88" s="22">
        <v>52.662187500001302</v>
      </c>
      <c r="Z88" s="22">
        <v>1777620.7209479299</v>
      </c>
      <c r="AA88" s="22">
        <v>1</v>
      </c>
    </row>
    <row r="89" spans="1:27" x14ac:dyDescent="0.25">
      <c r="A89" s="48">
        <f t="shared" si="1"/>
        <v>26177.999988425927</v>
      </c>
      <c r="B89" s="21">
        <v>14782.983611111111</v>
      </c>
      <c r="C89" s="21">
        <v>14765.077499999999</v>
      </c>
      <c r="D89" s="21">
        <v>14737.793888888889</v>
      </c>
      <c r="E89" s="21">
        <v>21.074722222222221</v>
      </c>
      <c r="F89" s="21">
        <v>9.9877777777777776</v>
      </c>
      <c r="G89" s="21">
        <v>90.223055555555561</v>
      </c>
      <c r="H89" s="21">
        <v>90.05638888888889</v>
      </c>
      <c r="I89" s="21">
        <v>1.0497222222222222</v>
      </c>
      <c r="J89" s="21">
        <v>880</v>
      </c>
      <c r="K89" s="21">
        <v>704</v>
      </c>
      <c r="L89" s="21">
        <v>440</v>
      </c>
      <c r="M89" s="21">
        <v>88</v>
      </c>
      <c r="N89" s="21">
        <v>176</v>
      </c>
      <c r="O89" s="21">
        <v>10</v>
      </c>
      <c r="P89" s="21">
        <v>10</v>
      </c>
      <c r="Q89" s="21">
        <v>10</v>
      </c>
      <c r="R89" s="22">
        <v>265973.35416014999</v>
      </c>
      <c r="S89" s="22">
        <v>265665.55685819301</v>
      </c>
      <c r="T89" s="22">
        <v>265237.970784195</v>
      </c>
      <c r="U89" s="22">
        <v>369.61916046315702</v>
      </c>
      <c r="V89" s="22">
        <v>203.455504138252</v>
      </c>
      <c r="W89" s="22">
        <v>1878.5778974172299</v>
      </c>
      <c r="X89" s="22">
        <v>1878.5778974172299</v>
      </c>
      <c r="Y89" s="22">
        <v>52.662187500001302</v>
      </c>
      <c r="Z89" s="22">
        <v>1798116.7209493199</v>
      </c>
      <c r="AA89" s="22">
        <v>1</v>
      </c>
    </row>
    <row r="90" spans="1:27" x14ac:dyDescent="0.25">
      <c r="A90" s="48">
        <f t="shared" si="1"/>
        <v>26184.999988425927</v>
      </c>
      <c r="B90" s="21">
        <v>14950.983611111111</v>
      </c>
      <c r="C90" s="21">
        <v>14933.077499999999</v>
      </c>
      <c r="D90" s="21">
        <v>14905.793888888889</v>
      </c>
      <c r="E90" s="21">
        <v>21.074722222222221</v>
      </c>
      <c r="F90" s="21">
        <v>9.9877777777777776</v>
      </c>
      <c r="G90" s="21">
        <v>90.223055555555561</v>
      </c>
      <c r="H90" s="21">
        <v>90.05638888888889</v>
      </c>
      <c r="I90" s="21">
        <v>1.0497222222222222</v>
      </c>
      <c r="J90" s="21">
        <v>890</v>
      </c>
      <c r="K90" s="21">
        <v>712</v>
      </c>
      <c r="L90" s="21">
        <v>445</v>
      </c>
      <c r="M90" s="21">
        <v>89</v>
      </c>
      <c r="N90" s="21">
        <v>178</v>
      </c>
      <c r="O90" s="21">
        <v>10</v>
      </c>
      <c r="P90" s="21">
        <v>10</v>
      </c>
      <c r="Q90" s="21">
        <v>10</v>
      </c>
      <c r="R90" s="22">
        <v>268997.35415966599</v>
      </c>
      <c r="S90" s="22">
        <v>268689.55685770902</v>
      </c>
      <c r="T90" s="22">
        <v>268261.970783711</v>
      </c>
      <c r="U90" s="22">
        <v>369.61916046315702</v>
      </c>
      <c r="V90" s="22">
        <v>203.455504138252</v>
      </c>
      <c r="W90" s="22">
        <v>1878.5778974172299</v>
      </c>
      <c r="X90" s="22">
        <v>1878.5778974172299</v>
      </c>
      <c r="Y90" s="22">
        <v>52.662187500001302</v>
      </c>
      <c r="Z90" s="22">
        <v>1818612.7209507001</v>
      </c>
      <c r="AA90" s="22">
        <v>1</v>
      </c>
    </row>
    <row r="91" spans="1:27" x14ac:dyDescent="0.25">
      <c r="A91" s="48">
        <f t="shared" si="1"/>
        <v>26191.999988425927</v>
      </c>
      <c r="B91" s="21">
        <v>15118.983611111111</v>
      </c>
      <c r="C91" s="21">
        <v>15101.077499999999</v>
      </c>
      <c r="D91" s="21">
        <v>15073.793888888889</v>
      </c>
      <c r="E91" s="21">
        <v>21.074722222222221</v>
      </c>
      <c r="F91" s="21">
        <v>9.9877777777777776</v>
      </c>
      <c r="G91" s="21">
        <v>90.223055555555561</v>
      </c>
      <c r="H91" s="21">
        <v>90.05638888888889</v>
      </c>
      <c r="I91" s="21">
        <v>1.0497222222222222</v>
      </c>
      <c r="J91" s="21">
        <v>900</v>
      </c>
      <c r="K91" s="21">
        <v>720</v>
      </c>
      <c r="L91" s="21">
        <v>450</v>
      </c>
      <c r="M91" s="21">
        <v>90</v>
      </c>
      <c r="N91" s="21">
        <v>180</v>
      </c>
      <c r="O91" s="21">
        <v>10</v>
      </c>
      <c r="P91" s="21">
        <v>10</v>
      </c>
      <c r="Q91" s="21">
        <v>10</v>
      </c>
      <c r="R91" s="22">
        <v>272021.354159182</v>
      </c>
      <c r="S91" s="22">
        <v>271713.55685722502</v>
      </c>
      <c r="T91" s="22">
        <v>271285.97078322701</v>
      </c>
      <c r="U91" s="22">
        <v>369.61916046315702</v>
      </c>
      <c r="V91" s="22">
        <v>203.455504138252</v>
      </c>
      <c r="W91" s="22">
        <v>1878.5778974172299</v>
      </c>
      <c r="X91" s="22">
        <v>1878.5778974172299</v>
      </c>
      <c r="Y91" s="22">
        <v>52.662187500001302</v>
      </c>
      <c r="Z91" s="22">
        <v>1839108.7209520901</v>
      </c>
      <c r="AA91" s="22">
        <v>1</v>
      </c>
    </row>
    <row r="92" spans="1:27" x14ac:dyDescent="0.25">
      <c r="A92" s="48">
        <f t="shared" si="1"/>
        <v>26198.999988425927</v>
      </c>
      <c r="B92" s="21">
        <v>15286.983611111111</v>
      </c>
      <c r="C92" s="21">
        <v>15269.077499999999</v>
      </c>
      <c r="D92" s="21">
        <v>15241.793888888889</v>
      </c>
      <c r="E92" s="21">
        <v>21.074722222222221</v>
      </c>
      <c r="F92" s="21">
        <v>9.9877777777777776</v>
      </c>
      <c r="G92" s="21">
        <v>90.223055555555561</v>
      </c>
      <c r="H92" s="21">
        <v>90.05638888888889</v>
      </c>
      <c r="I92" s="21">
        <v>1.0497222222222222</v>
      </c>
      <c r="J92" s="21">
        <v>910</v>
      </c>
      <c r="K92" s="21">
        <v>728</v>
      </c>
      <c r="L92" s="21">
        <v>455</v>
      </c>
      <c r="M92" s="21">
        <v>91</v>
      </c>
      <c r="N92" s="21">
        <v>182</v>
      </c>
      <c r="O92" s="21">
        <v>10</v>
      </c>
      <c r="P92" s="21">
        <v>10</v>
      </c>
      <c r="Q92" s="21">
        <v>10</v>
      </c>
      <c r="R92" s="22">
        <v>275045.354158698</v>
      </c>
      <c r="S92" s="22">
        <v>274737.55685674102</v>
      </c>
      <c r="T92" s="22">
        <v>274309.97078274301</v>
      </c>
      <c r="U92" s="22">
        <v>369.61916046315702</v>
      </c>
      <c r="V92" s="22">
        <v>203.455504138252</v>
      </c>
      <c r="W92" s="22">
        <v>1878.5778974172299</v>
      </c>
      <c r="X92" s="22">
        <v>1878.5778974172299</v>
      </c>
      <c r="Y92" s="22">
        <v>52.662187500001302</v>
      </c>
      <c r="Z92" s="22">
        <v>1859604.7209534701</v>
      </c>
      <c r="AA92" s="22">
        <v>1</v>
      </c>
    </row>
    <row r="93" spans="1:27" x14ac:dyDescent="0.25">
      <c r="A93" s="48">
        <f t="shared" si="1"/>
        <v>26205.999988425927</v>
      </c>
      <c r="B93" s="21">
        <v>15454.983611111111</v>
      </c>
      <c r="C93" s="21">
        <v>15437.077499999999</v>
      </c>
      <c r="D93" s="21">
        <v>15409.793888888889</v>
      </c>
      <c r="E93" s="21">
        <v>21.074722222222221</v>
      </c>
      <c r="F93" s="21">
        <v>9.9877777777777776</v>
      </c>
      <c r="G93" s="21">
        <v>90.223055555555561</v>
      </c>
      <c r="H93" s="21">
        <v>90.05638888888889</v>
      </c>
      <c r="I93" s="21">
        <v>1.0497222222222222</v>
      </c>
      <c r="J93" s="21">
        <v>920</v>
      </c>
      <c r="K93" s="21">
        <v>736</v>
      </c>
      <c r="L93" s="21">
        <v>460</v>
      </c>
      <c r="M93" s="21">
        <v>92</v>
      </c>
      <c r="N93" s="21">
        <v>184</v>
      </c>
      <c r="O93" s="21">
        <v>10</v>
      </c>
      <c r="P93" s="21">
        <v>10</v>
      </c>
      <c r="Q93" s="21">
        <v>10</v>
      </c>
      <c r="R93" s="22">
        <v>278069.354158214</v>
      </c>
      <c r="S93" s="22">
        <v>277761.55685625703</v>
      </c>
      <c r="T93" s="22">
        <v>277333.97078225901</v>
      </c>
      <c r="U93" s="22">
        <v>369.61916046315702</v>
      </c>
      <c r="V93" s="22">
        <v>203.455504138252</v>
      </c>
      <c r="W93" s="22">
        <v>1878.5778974172299</v>
      </c>
      <c r="X93" s="22">
        <v>1878.5778974172299</v>
      </c>
      <c r="Y93" s="22">
        <v>52.662187500001302</v>
      </c>
      <c r="Z93" s="22">
        <v>1880100.7209548601</v>
      </c>
      <c r="AA93" s="22">
        <v>1</v>
      </c>
    </row>
    <row r="94" spans="1:27" x14ac:dyDescent="0.25">
      <c r="A94" s="48">
        <f t="shared" si="1"/>
        <v>26212.999988425927</v>
      </c>
      <c r="B94" s="21">
        <v>15622.983611111111</v>
      </c>
      <c r="C94" s="21">
        <v>15605.077499999999</v>
      </c>
      <c r="D94" s="21">
        <v>15577.793888888889</v>
      </c>
      <c r="E94" s="21">
        <v>21.074722222222221</v>
      </c>
      <c r="F94" s="21">
        <v>9.9877777777777776</v>
      </c>
      <c r="G94" s="21">
        <v>90.223055555555561</v>
      </c>
      <c r="H94" s="21">
        <v>90.05638888888889</v>
      </c>
      <c r="I94" s="21">
        <v>1.0497222222222222</v>
      </c>
      <c r="J94" s="21">
        <v>930</v>
      </c>
      <c r="K94" s="21">
        <v>744</v>
      </c>
      <c r="L94" s="21">
        <v>465</v>
      </c>
      <c r="M94" s="21">
        <v>93</v>
      </c>
      <c r="N94" s="21">
        <v>186</v>
      </c>
      <c r="O94" s="21">
        <v>10</v>
      </c>
      <c r="P94" s="21">
        <v>10</v>
      </c>
      <c r="Q94" s="21">
        <v>10</v>
      </c>
      <c r="R94" s="22">
        <v>281093.35415773001</v>
      </c>
      <c r="S94" s="22">
        <v>280785.55685577297</v>
      </c>
      <c r="T94" s="22">
        <v>280357.97078177502</v>
      </c>
      <c r="U94" s="22">
        <v>369.61916046315702</v>
      </c>
      <c r="V94" s="22">
        <v>203.455504138252</v>
      </c>
      <c r="W94" s="22">
        <v>1878.5778974172299</v>
      </c>
      <c r="X94" s="22">
        <v>1878.5778974172299</v>
      </c>
      <c r="Y94" s="22">
        <v>52.662187500001302</v>
      </c>
      <c r="Z94" s="22">
        <v>1900596.7209562401</v>
      </c>
      <c r="AA94" s="22">
        <v>1</v>
      </c>
    </row>
    <row r="95" spans="1:27" x14ac:dyDescent="0.25">
      <c r="A95" s="48">
        <f t="shared" si="1"/>
        <v>26219.999988425927</v>
      </c>
      <c r="B95" s="21">
        <v>15790.983611111111</v>
      </c>
      <c r="C95" s="21">
        <v>15773.077499999999</v>
      </c>
      <c r="D95" s="21">
        <v>15745.793888888889</v>
      </c>
      <c r="E95" s="21">
        <v>21.074722222222221</v>
      </c>
      <c r="F95" s="21">
        <v>9.9877777777777776</v>
      </c>
      <c r="G95" s="21">
        <v>90.223055555555561</v>
      </c>
      <c r="H95" s="21">
        <v>90.05638888888889</v>
      </c>
      <c r="I95" s="21">
        <v>1.0497222222222222</v>
      </c>
      <c r="J95" s="21">
        <v>940</v>
      </c>
      <c r="K95" s="21">
        <v>752</v>
      </c>
      <c r="L95" s="21">
        <v>470</v>
      </c>
      <c r="M95" s="21">
        <v>94</v>
      </c>
      <c r="N95" s="21">
        <v>188</v>
      </c>
      <c r="O95" s="21">
        <v>10</v>
      </c>
      <c r="P95" s="21">
        <v>10</v>
      </c>
      <c r="Q95" s="21">
        <v>10</v>
      </c>
      <c r="R95" s="22">
        <v>284117.35415724601</v>
      </c>
      <c r="S95" s="22">
        <v>283809.55685528897</v>
      </c>
      <c r="T95" s="22">
        <v>283381.97078129102</v>
      </c>
      <c r="U95" s="22">
        <v>369.61916046315702</v>
      </c>
      <c r="V95" s="22">
        <v>203.455504138252</v>
      </c>
      <c r="W95" s="22">
        <v>1878.5778974172299</v>
      </c>
      <c r="X95" s="22">
        <v>1878.5778974172299</v>
      </c>
      <c r="Y95" s="22">
        <v>52.662187500001302</v>
      </c>
      <c r="Z95" s="22">
        <v>1921092.7209576301</v>
      </c>
      <c r="AA95" s="22">
        <v>1</v>
      </c>
    </row>
    <row r="96" spans="1:27" x14ac:dyDescent="0.25">
      <c r="A96" s="48">
        <f t="shared" si="1"/>
        <v>26226.999988425927</v>
      </c>
      <c r="B96" s="21">
        <v>15958.983611111111</v>
      </c>
      <c r="C96" s="21">
        <v>15941.077499999999</v>
      </c>
      <c r="D96" s="21">
        <v>15913.793888888889</v>
      </c>
      <c r="E96" s="21">
        <v>21.074722222222221</v>
      </c>
      <c r="F96" s="21">
        <v>9.9877777777777776</v>
      </c>
      <c r="G96" s="21">
        <v>90.223055555555561</v>
      </c>
      <c r="H96" s="21">
        <v>90.05638888888889</v>
      </c>
      <c r="I96" s="21">
        <v>1.0497222222222222</v>
      </c>
      <c r="J96" s="21">
        <v>950</v>
      </c>
      <c r="K96" s="21">
        <v>760</v>
      </c>
      <c r="L96" s="21">
        <v>475</v>
      </c>
      <c r="M96" s="21">
        <v>95</v>
      </c>
      <c r="N96" s="21">
        <v>190</v>
      </c>
      <c r="O96" s="21">
        <v>10</v>
      </c>
      <c r="P96" s="21">
        <v>10</v>
      </c>
      <c r="Q96" s="21">
        <v>10</v>
      </c>
      <c r="R96" s="22">
        <v>287141.35415676201</v>
      </c>
      <c r="S96" s="22">
        <v>286833.55685480498</v>
      </c>
      <c r="T96" s="22">
        <v>286405.97078080702</v>
      </c>
      <c r="U96" s="22">
        <v>369.61916046315702</v>
      </c>
      <c r="V96" s="22">
        <v>203.455504138252</v>
      </c>
      <c r="W96" s="22">
        <v>1878.5778974172299</v>
      </c>
      <c r="X96" s="22">
        <v>1878.5778974172299</v>
      </c>
      <c r="Y96" s="22">
        <v>52.662187500001302</v>
      </c>
      <c r="Z96" s="22">
        <v>1941588.7209590201</v>
      </c>
      <c r="AA96" s="22">
        <v>1</v>
      </c>
    </row>
    <row r="97" spans="1:27" x14ac:dyDescent="0.25">
      <c r="A97" s="48">
        <f t="shared" si="1"/>
        <v>26233.999988425927</v>
      </c>
      <c r="B97" s="21">
        <v>16126.983611111111</v>
      </c>
      <c r="C97" s="21">
        <v>16109.077499999999</v>
      </c>
      <c r="D97" s="21">
        <v>16081.793888888889</v>
      </c>
      <c r="E97" s="21">
        <v>21.074722222222221</v>
      </c>
      <c r="F97" s="21">
        <v>9.9877777777777776</v>
      </c>
      <c r="G97" s="21">
        <v>90.223055555555561</v>
      </c>
      <c r="H97" s="21">
        <v>90.05638888888889</v>
      </c>
      <c r="I97" s="21">
        <v>1.0497222222222222</v>
      </c>
      <c r="J97" s="21">
        <v>960</v>
      </c>
      <c r="K97" s="21">
        <v>768</v>
      </c>
      <c r="L97" s="21">
        <v>480</v>
      </c>
      <c r="M97" s="21">
        <v>96</v>
      </c>
      <c r="N97" s="21">
        <v>192</v>
      </c>
      <c r="O97" s="21">
        <v>10</v>
      </c>
      <c r="P97" s="21">
        <v>10</v>
      </c>
      <c r="Q97" s="21">
        <v>10</v>
      </c>
      <c r="R97" s="22">
        <v>290165.35415627802</v>
      </c>
      <c r="S97" s="22">
        <v>289857.55685432098</v>
      </c>
      <c r="T97" s="22">
        <v>289429.97078032303</v>
      </c>
      <c r="U97" s="22">
        <v>369.61916046315702</v>
      </c>
      <c r="V97" s="22">
        <v>203.455504138252</v>
      </c>
      <c r="W97" s="22">
        <v>1878.5778974172299</v>
      </c>
      <c r="X97" s="22">
        <v>1878.5778974172299</v>
      </c>
      <c r="Y97" s="22">
        <v>52.662187500001302</v>
      </c>
      <c r="Z97" s="22">
        <v>1962084.7209604001</v>
      </c>
      <c r="AA97" s="22">
        <v>1</v>
      </c>
    </row>
    <row r="98" spans="1:27" x14ac:dyDescent="0.25">
      <c r="A98" s="48">
        <f t="shared" si="1"/>
        <v>26240.999988425927</v>
      </c>
      <c r="B98" s="21">
        <v>16294.983611111111</v>
      </c>
      <c r="C98" s="21">
        <v>16277.077499999999</v>
      </c>
      <c r="D98" s="21">
        <v>16249.793888888889</v>
      </c>
      <c r="E98" s="21">
        <v>21.074722222222221</v>
      </c>
      <c r="F98" s="21">
        <v>9.9877777777777776</v>
      </c>
      <c r="G98" s="21">
        <v>90.223055555555561</v>
      </c>
      <c r="H98" s="21">
        <v>90.05638888888889</v>
      </c>
      <c r="I98" s="21">
        <v>1.0497222222222222</v>
      </c>
      <c r="J98" s="21">
        <v>970</v>
      </c>
      <c r="K98" s="21">
        <v>776</v>
      </c>
      <c r="L98" s="21">
        <v>485</v>
      </c>
      <c r="M98" s="21">
        <v>97</v>
      </c>
      <c r="N98" s="21">
        <v>194</v>
      </c>
      <c r="O98" s="21">
        <v>10</v>
      </c>
      <c r="P98" s="21">
        <v>10</v>
      </c>
      <c r="Q98" s="21">
        <v>10</v>
      </c>
      <c r="R98" s="22">
        <v>293189.35415579402</v>
      </c>
      <c r="S98" s="22">
        <v>292881.55685383698</v>
      </c>
      <c r="T98" s="22">
        <v>292453.97077983798</v>
      </c>
      <c r="U98" s="22">
        <v>369.61916046315702</v>
      </c>
      <c r="V98" s="22">
        <v>203.455504138252</v>
      </c>
      <c r="W98" s="22">
        <v>1878.5778974172299</v>
      </c>
      <c r="X98" s="22">
        <v>1878.5778974172299</v>
      </c>
      <c r="Y98" s="22">
        <v>52.662187500001302</v>
      </c>
      <c r="Z98" s="22">
        <v>1982580.7209617901</v>
      </c>
      <c r="AA98" s="22">
        <v>1</v>
      </c>
    </row>
    <row r="99" spans="1:27" x14ac:dyDescent="0.25">
      <c r="A99" s="48">
        <f t="shared" si="1"/>
        <v>26247.999988425927</v>
      </c>
      <c r="B99" s="21">
        <v>16462.983611111111</v>
      </c>
      <c r="C99" s="21">
        <v>16445.077499999999</v>
      </c>
      <c r="D99" s="21">
        <v>16417.793888888889</v>
      </c>
      <c r="E99" s="21">
        <v>21.074722222222221</v>
      </c>
      <c r="F99" s="21">
        <v>9.9877777777777776</v>
      </c>
      <c r="G99" s="21">
        <v>90.223055555555561</v>
      </c>
      <c r="H99" s="21">
        <v>90.05638888888889</v>
      </c>
      <c r="I99" s="21">
        <v>1.0497222222222222</v>
      </c>
      <c r="J99" s="21">
        <v>980</v>
      </c>
      <c r="K99" s="21">
        <v>784</v>
      </c>
      <c r="L99" s="21">
        <v>490</v>
      </c>
      <c r="M99" s="21">
        <v>98</v>
      </c>
      <c r="N99" s="21">
        <v>196</v>
      </c>
      <c r="O99" s="21">
        <v>10</v>
      </c>
      <c r="P99" s="21">
        <v>10</v>
      </c>
      <c r="Q99" s="21">
        <v>10</v>
      </c>
      <c r="R99" s="22">
        <v>296213.35415531002</v>
      </c>
      <c r="S99" s="22">
        <v>295905.556853352</v>
      </c>
      <c r="T99" s="22">
        <v>295477.97077935399</v>
      </c>
      <c r="U99" s="22">
        <v>369.61916046315702</v>
      </c>
      <c r="V99" s="22">
        <v>203.455504138252</v>
      </c>
      <c r="W99" s="22">
        <v>1878.5778974172299</v>
      </c>
      <c r="X99" s="22">
        <v>1878.5778974172299</v>
      </c>
      <c r="Y99" s="22">
        <v>52.662187500001302</v>
      </c>
      <c r="Z99" s="22">
        <v>2003076.7209631701</v>
      </c>
      <c r="AA99" s="22">
        <v>1</v>
      </c>
    </row>
    <row r="100" spans="1:27" x14ac:dyDescent="0.25">
      <c r="A100" s="48">
        <f t="shared" si="1"/>
        <v>26254.999988425927</v>
      </c>
      <c r="B100" s="21">
        <v>16630.983611111111</v>
      </c>
      <c r="C100" s="21">
        <v>16613.077499999999</v>
      </c>
      <c r="D100" s="21">
        <v>16585.793888888889</v>
      </c>
      <c r="E100" s="21">
        <v>21.074722222222221</v>
      </c>
      <c r="F100" s="21">
        <v>9.9877777777777776</v>
      </c>
      <c r="G100" s="21">
        <v>90.223055555555561</v>
      </c>
      <c r="H100" s="21">
        <v>90.05638888888889</v>
      </c>
      <c r="I100" s="21">
        <v>1.0497222222222222</v>
      </c>
      <c r="J100" s="21">
        <v>990</v>
      </c>
      <c r="K100" s="21">
        <v>792</v>
      </c>
      <c r="L100" s="21">
        <v>495</v>
      </c>
      <c r="M100" s="21">
        <v>99</v>
      </c>
      <c r="N100" s="21">
        <v>198</v>
      </c>
      <c r="O100" s="21">
        <v>10</v>
      </c>
      <c r="P100" s="21">
        <v>10</v>
      </c>
      <c r="Q100" s="21">
        <v>10</v>
      </c>
      <c r="R100" s="22">
        <v>299237.35415482603</v>
      </c>
      <c r="S100" s="22">
        <v>298929.556852868</v>
      </c>
      <c r="T100" s="22">
        <v>298501.97077886999</v>
      </c>
      <c r="U100" s="22">
        <v>369.61916046315702</v>
      </c>
      <c r="V100" s="22">
        <v>203.455504138252</v>
      </c>
      <c r="W100" s="22">
        <v>1878.5778974172299</v>
      </c>
      <c r="X100" s="22">
        <v>1878.5778974172299</v>
      </c>
      <c r="Y100" s="22">
        <v>52.662187500001302</v>
      </c>
      <c r="Z100" s="22">
        <v>2023572.7209645601</v>
      </c>
      <c r="AA100" s="22">
        <v>1</v>
      </c>
    </row>
    <row r="101" spans="1:27" x14ac:dyDescent="0.25">
      <c r="R101" s="22"/>
      <c r="S101" s="22"/>
    </row>
    <row r="102" spans="1:27" x14ac:dyDescent="0.25">
      <c r="R102" s="22"/>
      <c r="S102" s="22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96</vt:i4>
      </vt:variant>
    </vt:vector>
  </HeadingPairs>
  <TitlesOfParts>
    <vt:vector size="100" baseType="lpstr">
      <vt:lpstr>Gen Running Costs</vt:lpstr>
      <vt:lpstr>PV Service Costs</vt:lpstr>
      <vt:lpstr>Helper</vt:lpstr>
      <vt:lpstr>autofill</vt:lpstr>
      <vt:lpstr>Column</vt:lpstr>
      <vt:lpstr>Finished_On</vt:lpstr>
      <vt:lpstr>Gen1_Fuel_Used</vt:lpstr>
      <vt:lpstr>Gen1_Run_Hours</vt:lpstr>
      <vt:lpstr>Gen1_Run_Time</vt:lpstr>
      <vt:lpstr>Gen1_Start_Count</vt:lpstr>
      <vt:lpstr>Gen2_Fuel_Used</vt:lpstr>
      <vt:lpstr>Gen2_Run_Hours</vt:lpstr>
      <vt:lpstr>Gen2_Run_Time</vt:lpstr>
      <vt:lpstr>Gen2_Start_Count</vt:lpstr>
      <vt:lpstr>Gen3_Fuel_Used</vt:lpstr>
      <vt:lpstr>Gen3_Run_Hours</vt:lpstr>
      <vt:lpstr>Gen3_Run_Time</vt:lpstr>
      <vt:lpstr>Gen3_Start_Count</vt:lpstr>
      <vt:lpstr>Gen4_Fuel_Used</vt:lpstr>
      <vt:lpstr>Gen4_Run_Hours</vt:lpstr>
      <vt:lpstr>Gen4_Run_Time</vt:lpstr>
      <vt:lpstr>Gen4_Start_Count</vt:lpstr>
      <vt:lpstr>Gen5_Fuel_Used</vt:lpstr>
      <vt:lpstr>Gen5_Run_Hours</vt:lpstr>
      <vt:lpstr>Gen5_Run_Time</vt:lpstr>
      <vt:lpstr>Gen5_Start_Count</vt:lpstr>
      <vt:lpstr>Gen6_Fuel_Used</vt:lpstr>
      <vt:lpstr>Gen6_Run_Hours</vt:lpstr>
      <vt:lpstr>Gen6_Run_Time</vt:lpstr>
      <vt:lpstr>Gen6_Start_Count</vt:lpstr>
      <vt:lpstr>Gen7_Fuel_Used</vt:lpstr>
      <vt:lpstr>Gen7_Run_Hours</vt:lpstr>
      <vt:lpstr>Gen7_Run_Time</vt:lpstr>
      <vt:lpstr>Gen7_Start_Count</vt:lpstr>
      <vt:lpstr>Gen8_Fuel_Used</vt:lpstr>
      <vt:lpstr>Gen8_Run_Hours</vt:lpstr>
      <vt:lpstr>Gen8_Run_Time</vt:lpstr>
      <vt:lpstr>Gen8_Start_Count</vt:lpstr>
      <vt:lpstr>Last_Data_Row</vt:lpstr>
      <vt:lpstr>Leftover_Days_Run</vt:lpstr>
      <vt:lpstr>Leftover_Hours_Run</vt:lpstr>
      <vt:lpstr>Leftover_Minutes_Run</vt:lpstr>
      <vt:lpstr>Leftover_Months_Run</vt:lpstr>
      <vt:lpstr>Leftover_Seconds_Run</vt:lpstr>
      <vt:lpstr>Leftover_Years_Run</vt:lpstr>
      <vt:lpstr>RangeYear1</vt:lpstr>
      <vt:lpstr>RangeYear10</vt:lpstr>
      <vt:lpstr>RangeYear11</vt:lpstr>
      <vt:lpstr>RangeYear12</vt:lpstr>
      <vt:lpstr>RangeYear13</vt:lpstr>
      <vt:lpstr>RangeYear14</vt:lpstr>
      <vt:lpstr>RangeYear15</vt:lpstr>
      <vt:lpstr>RangeYear16</vt:lpstr>
      <vt:lpstr>RangeYear17</vt:lpstr>
      <vt:lpstr>RangeYear18</vt:lpstr>
      <vt:lpstr>RangeYear19</vt:lpstr>
      <vt:lpstr>RangeYear2</vt:lpstr>
      <vt:lpstr>RangeYear20</vt:lpstr>
      <vt:lpstr>RangeYear3</vt:lpstr>
      <vt:lpstr>RangeYear4</vt:lpstr>
      <vt:lpstr>RangeYear5</vt:lpstr>
      <vt:lpstr>RangeYear6</vt:lpstr>
      <vt:lpstr>RangeYear7</vt:lpstr>
      <vt:lpstr>RangeYear8</vt:lpstr>
      <vt:lpstr>RangeYear9</vt:lpstr>
      <vt:lpstr>Real_Name</vt:lpstr>
      <vt:lpstr>Seconds_in_a_day</vt:lpstr>
      <vt:lpstr>Seconds_in_a_Month__30d</vt:lpstr>
      <vt:lpstr>Seconds_in_a_week</vt:lpstr>
      <vt:lpstr>Seconds_in_a_Year</vt:lpstr>
      <vt:lpstr>Seconds_in_an_hour</vt:lpstr>
      <vt:lpstr>Started_On</vt:lpstr>
      <vt:lpstr>Total</vt:lpstr>
      <vt:lpstr>Total_Days</vt:lpstr>
      <vt:lpstr>Total_for_Y1</vt:lpstr>
      <vt:lpstr>Total_for_Y10</vt:lpstr>
      <vt:lpstr>Total_for_Y11</vt:lpstr>
      <vt:lpstr>Total_for_Y12</vt:lpstr>
      <vt:lpstr>Total_for_Y13</vt:lpstr>
      <vt:lpstr>Total_for_Y14</vt:lpstr>
      <vt:lpstr>Total_for_Y15</vt:lpstr>
      <vt:lpstr>Total_for_Y16</vt:lpstr>
      <vt:lpstr>Total_for_Y17</vt:lpstr>
      <vt:lpstr>Total_for_Y18</vt:lpstr>
      <vt:lpstr>Total_for_Y19</vt:lpstr>
      <vt:lpstr>Total_for_Y2</vt:lpstr>
      <vt:lpstr>Total_for_Y20</vt:lpstr>
      <vt:lpstr>Total_for_Y3</vt:lpstr>
      <vt:lpstr>Total_for_Y4</vt:lpstr>
      <vt:lpstr>Total_for_Y5</vt:lpstr>
      <vt:lpstr>Total_for_Y6</vt:lpstr>
      <vt:lpstr>Total_for_Y7</vt:lpstr>
      <vt:lpstr>Total_for_Y8</vt:lpstr>
      <vt:lpstr>Total_for_Y9</vt:lpstr>
      <vt:lpstr>Total_Hours</vt:lpstr>
      <vt:lpstr>Total_Minutes</vt:lpstr>
      <vt:lpstr>Total_Months__30d</vt:lpstr>
      <vt:lpstr>Total_Seconds</vt:lpstr>
      <vt:lpstr>Total_Weeks</vt:lpstr>
      <vt:lpstr>Total_Years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Buchanan</dc:creator>
  <cp:lastModifiedBy>Iain Buchanan</cp:lastModifiedBy>
  <dcterms:created xsi:type="dcterms:W3CDTF">2012-10-19T13:40:59Z</dcterms:created>
  <dcterms:modified xsi:type="dcterms:W3CDTF">2013-01-10T09:04:31Z</dcterms:modified>
</cp:coreProperties>
</file>